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tables/table10.xml" ContentType="application/vnd.openxmlformats-officedocument.spreadsheetml.table+xml"/>
  <Override PartName="/xl/slicers/slicer2.xml" ContentType="application/vnd.ms-excel.slicer+xml"/>
  <Override PartName="/xl/drawings/drawing5.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slicers/slicer3.xml" ContentType="application/vnd.ms-excel.slicer+xml"/>
  <Override PartName="/xl/drawings/drawing6.xml" ContentType="application/vnd.openxmlformats-officedocument.drawing+xml"/>
  <Override PartName="/xl/tables/table13.xml" ContentType="application/vnd.openxmlformats-officedocument.spreadsheetml.table+xml"/>
  <Override PartName="/xl/slicers/slicer4.xml" ContentType="application/vnd.ms-excel.slicer+xml"/>
  <Override PartName="/xl/drawings/drawing7.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slicers/slicer5.xml" ContentType="application/vnd.ms-excel.slicer+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8.xml" ContentType="application/vnd.openxmlformats-officedocument.drawing+xml"/>
  <Override PartName="/xl/tables/table19.xml" ContentType="application/vnd.openxmlformats-officedocument.spreadsheetml.table+xml"/>
  <Override PartName="/xl/slicers/slicer6.xml" ContentType="application/vnd.ms-excel.slicer+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showInkAnnotation="0" codeName="ThisWorkbook"/>
  <mc:AlternateContent xmlns:mc="http://schemas.openxmlformats.org/markup-compatibility/2006">
    <mc:Choice Requires="x15">
      <x15ac:absPath xmlns:x15ac="http://schemas.microsoft.com/office/spreadsheetml/2010/11/ac" url="C:\Users\Blake\Dropbox\R2Labs\Blake\Reminder Walker\equipment\shopping\"/>
    </mc:Choice>
  </mc:AlternateContent>
  <bookViews>
    <workbookView xWindow="0" yWindow="24948" windowWidth="25200" windowHeight="11496" tabRatio="915" firstSheet="4" activeTab="7" xr2:uid="{00000000-000D-0000-FFFF-FFFF00000000}"/>
  </bookViews>
  <sheets>
    <sheet name="OrganizedList" sheetId="23" r:id="rId1"/>
    <sheet name="Category Lookup" sheetId="2" r:id="rId2"/>
    <sheet name="FilterSpecs" sheetId="24" r:id="rId3"/>
    <sheet name="Distance Priority" sheetId="52" r:id="rId4"/>
    <sheet name="RawList" sheetId="6" r:id="rId5"/>
    <sheet name="Mouser" sheetId="55" r:id="rId6"/>
    <sheet name="Order Form" sheetId="56" r:id="rId7"/>
    <sheet name="Initial Order (2)" sheetId="57" r:id="rId8"/>
    <sheet name="Primary" sheetId="11" r:id="rId9"/>
    <sheet name="Secondary" sheetId="8" r:id="rId10"/>
    <sheet name="Advanced&amp;Optional" sheetId="12" r:id="rId11"/>
    <sheet name="SmartHome&amp;IoT" sheetId="26" r:id="rId12"/>
    <sheet name="Hardware" sheetId="18" r:id="rId13"/>
    <sheet name="LowLevel" sheetId="16" r:id="rId14"/>
    <sheet name="Tools" sheetId="13" r:id="rId15"/>
    <sheet name="Sheet1" sheetId="53" r:id="rId16"/>
    <sheet name="Alternatives&amp;Extras" sheetId="28" r:id="rId17"/>
    <sheet name="ItemQty" sheetId="39" r:id="rId18"/>
    <sheet name="Connectors" sheetId="51" r:id="rId19"/>
    <sheet name="DesignSpecs" sheetId="4" r:id="rId20"/>
    <sheet name="PO List" sheetId="1" r:id="rId21"/>
    <sheet name="SlicerInfo" sheetId="42" r:id="rId22"/>
    <sheet name="SlicerInfoTable" sheetId="40" r:id="rId23"/>
  </sheets>
  <externalReferences>
    <externalReference r:id="rId24"/>
  </externalReferences>
  <definedNames>
    <definedName name="_xlnm._FilterDatabase" localSheetId="20" hidden="1">'PO List'!$B$1:$J$3</definedName>
    <definedName name="_xlcn.LinkedTable_EquipmentTable1" hidden="1">EquipmentTable[]</definedName>
    <definedName name="ColumnTitle1" localSheetId="10">Equipment[[#Headers],[Item '#]]</definedName>
    <definedName name="ColumnTitle1" localSheetId="12">Equipment[[#Headers],[Item '#]]</definedName>
    <definedName name="ColumnTitle1" localSheetId="7">Equipment[[#Headers],[Item '#]]</definedName>
    <definedName name="ColumnTitle1" localSheetId="13">Equipment[[#Headers],[Item '#]]</definedName>
    <definedName name="ColumnTitle1" localSheetId="5">Equipment[[#Headers],[Item '#]]</definedName>
    <definedName name="ColumnTitle1" localSheetId="6">Equipment[[#Headers],[Item '#]]</definedName>
    <definedName name="ColumnTitle1" localSheetId="8">Equipment[[#Headers],[Item '#]]</definedName>
    <definedName name="ColumnTitle1" localSheetId="14">Equipment[[#Headers],[Item '#]]</definedName>
    <definedName name="ColumnTitle1">Equipment[[#Headers],[Item '#]]</definedName>
    <definedName name="ColumnTitle2" localSheetId="10">CategoryLookup[[#Headers],[Category]]</definedName>
    <definedName name="ColumnTitle2" localSheetId="12">CategoryLookup[[#Headers],[Category]]</definedName>
    <definedName name="ColumnTitle2" localSheetId="7">CategoryLookup[[#Headers],[Category]]</definedName>
    <definedName name="ColumnTitle2" localSheetId="13">CategoryLookup[[#Headers],[Category]]</definedName>
    <definedName name="ColumnTitle2" localSheetId="5">CategoryLookup[[#Headers],[Category]]</definedName>
    <definedName name="ColumnTitle2" localSheetId="6">CategoryLookup[[#Headers],[Category]]</definedName>
    <definedName name="ColumnTitle2" localSheetId="8">CategoryLookup[[#Headers],[Category]]</definedName>
    <definedName name="ColumnTitle2" localSheetId="14">CategoryLookup[[#Headers],[Category]]</definedName>
    <definedName name="ColumnTitle2">CategoryLookup[[#Headers],[Category]]</definedName>
    <definedName name="EquipmentList" localSheetId="7">EquipmentTable[]</definedName>
    <definedName name="EquipmentList" localSheetId="5">EquipmentTable[]</definedName>
    <definedName name="EquipmentList" localSheetId="6">EquipmentTable[]</definedName>
    <definedName name="EquipmentList">EquipmentTable[]</definedName>
    <definedName name="EquipmentLookupDescriptions" localSheetId="7">CategoryTypeDescriptions[Group]</definedName>
    <definedName name="EquipmentLookupDescriptions" localSheetId="5">CategoryTypeDescriptions[Group]</definedName>
    <definedName name="EquipmentLookupDescriptions" localSheetId="6">CategoryTypeDescriptions[Group]</definedName>
    <definedName name="EquipmentLookupDescriptions">CategoryTypeDescriptions[Group]</definedName>
    <definedName name="_xlnm.Print_Titles" localSheetId="1">'Category Lookup'!$3:$3</definedName>
    <definedName name="_xlnm.Print_Titles" localSheetId="20">'PO List'!$6:$6</definedName>
    <definedName name="RoomList" localSheetId="10">CategoryLookup[]</definedName>
    <definedName name="RoomList" localSheetId="12">CategoryLookup[]</definedName>
    <definedName name="RoomList" localSheetId="7">CategoryLookup[]</definedName>
    <definedName name="RoomList" localSheetId="13">CategoryLookup[]</definedName>
    <definedName name="RoomList" localSheetId="5">CategoryLookup[]</definedName>
    <definedName name="RoomList" localSheetId="6">CategoryLookup[]</definedName>
    <definedName name="RoomList" localSheetId="8">CategoryLookup[]</definedName>
    <definedName name="RoomList" localSheetId="14">CategoryLookup[]</definedName>
    <definedName name="RoomList">CategoryLookup[]</definedName>
    <definedName name="RowTitleRegion1..E2">'PO List'!$B$2</definedName>
    <definedName name="Separating" localSheetId="12">Equipment[[#Headers],[Item '#]]</definedName>
    <definedName name="Separating" localSheetId="7">Equipment[[#Headers],[Item '#]]</definedName>
    <definedName name="Separating" localSheetId="13">Equipment[[#Headers],[Item '#]]</definedName>
    <definedName name="Separating" localSheetId="5">Equipment[[#Headers],[Item '#]]</definedName>
    <definedName name="Separating" localSheetId="6">Equipment[[#Headers],[Item '#]]</definedName>
    <definedName name="Separating">Equipment[[#Headers],[Item '#]]</definedName>
    <definedName name="Slicer_____0_?_T_F">#N/A</definedName>
    <definedName name="Slicer_Category1">#N/A</definedName>
    <definedName name="Slicer_Category2">#N/A</definedName>
    <definedName name="Slicer_Category22">#N/A</definedName>
    <definedName name="Slicer_Equipment_Category">#N/A</definedName>
    <definedName name="Slicer_Equipment_Type">#N/A</definedName>
    <definedName name="Slicer_Initial1">#N/A</definedName>
    <definedName name="Slicer_Initial11">#N/A</definedName>
    <definedName name="Slicer_Initial12">#N/A</definedName>
    <definedName name="Slicer_Quantity1">#N/A</definedName>
    <definedName name="Slicer_Quantity2">#N/A</definedName>
    <definedName name="Slicer_Quantity22">#N/A</definedName>
    <definedName name="Slicer_Room__area">#N/A</definedName>
    <definedName name="Slicer_Tag1">#N/A</definedName>
    <definedName name="Slicer_Tag2">#N/A</definedName>
    <definedName name="Slicer_Tag22">#N/A</definedName>
    <definedName name="Slicer_Type">#N/A</definedName>
    <definedName name="Slicer_Type11">#N/A</definedName>
    <definedName name="Slicer_Type112">#N/A</definedName>
    <definedName name="Slicer_Type2">#N/A</definedName>
    <definedName name="Slicer_Vendor">#N/A</definedName>
    <definedName name="Slicer_Vendor11">#N/A</definedName>
    <definedName name="Slicer_Vendor112">#N/A</definedName>
    <definedName name="Slicer_Vendor2">#N/A</definedName>
  </definedNames>
  <calcPr calcId="171027"/>
  <fileRecoveryPr autoRecover="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5:slicerCaches>
    </ext>
    <ext xmlns:x15="http://schemas.microsoft.com/office/spreadsheetml/2010/11/main" uri="{FCE2AD5D-F65C-4FA6-A056-5C36A1767C68}">
      <x15:dataModel>
        <x15:modelTables>
          <x15:modelTable id="EquipmentTable" name="EquipmentTable" connection="LinkedTable_EquipmentTable"/>
        </x15:modelTables>
      </x15:dataModel>
    </ext>
  </extLst>
</workbook>
</file>

<file path=xl/calcChain.xml><?xml version="1.0" encoding="utf-8"?>
<calcChain xmlns="http://schemas.openxmlformats.org/spreadsheetml/2006/main">
  <c r="A67" i="56" l="1"/>
  <c r="A68" i="56" s="1"/>
  <c r="A69" i="56" s="1"/>
  <c r="A70" i="56" s="1"/>
  <c r="A71" i="56" s="1"/>
  <c r="A72" i="56" s="1"/>
  <c r="B67" i="56"/>
  <c r="C67" i="56"/>
  <c r="D67" i="56"/>
  <c r="E67" i="56"/>
  <c r="F67" i="56"/>
  <c r="D607" i="56"/>
  <c r="E607" i="56"/>
  <c r="T401" i="55" l="1"/>
  <c r="F14" i="55"/>
  <c r="F15" i="55"/>
  <c r="F16" i="55"/>
  <c r="F17" i="55"/>
  <c r="F18" i="55"/>
  <c r="F19" i="55"/>
  <c r="F20" i="55"/>
  <c r="F21" i="55"/>
  <c r="F22" i="55"/>
  <c r="F23" i="55"/>
  <c r="F24" i="55"/>
  <c r="F25" i="55"/>
  <c r="F26" i="55"/>
  <c r="F27" i="55"/>
  <c r="F28" i="55"/>
  <c r="F29" i="55"/>
  <c r="F30" i="55"/>
  <c r="F31" i="55"/>
  <c r="F32" i="55"/>
  <c r="F33" i="55"/>
  <c r="F34" i="55"/>
  <c r="F35" i="55"/>
  <c r="F36" i="55"/>
  <c r="F37" i="55"/>
  <c r="F38" i="55"/>
  <c r="F39" i="55"/>
  <c r="F40" i="55"/>
  <c r="F41" i="55"/>
  <c r="F42" i="55"/>
  <c r="F43" i="55"/>
  <c r="F44" i="55"/>
  <c r="F45" i="55"/>
  <c r="F46" i="55"/>
  <c r="F47" i="55"/>
  <c r="F48" i="55"/>
  <c r="F49" i="55"/>
  <c r="F50" i="55"/>
  <c r="F51" i="55"/>
  <c r="F52" i="55"/>
  <c r="F53" i="55"/>
  <c r="F54" i="55"/>
  <c r="F55" i="55"/>
  <c r="F56" i="55"/>
  <c r="F57" i="55"/>
  <c r="F58" i="55"/>
  <c r="F59" i="55"/>
  <c r="F60" i="55"/>
  <c r="F61" i="55"/>
  <c r="F62" i="55"/>
  <c r="F63" i="55"/>
  <c r="F64" i="55"/>
  <c r="F65" i="55"/>
  <c r="F66" i="55"/>
  <c r="F67" i="55"/>
  <c r="F68" i="55"/>
  <c r="F69" i="55"/>
  <c r="F70" i="55"/>
  <c r="F71" i="55"/>
  <c r="F72" i="55"/>
  <c r="F73" i="55"/>
  <c r="F74" i="55"/>
  <c r="F75" i="55"/>
  <c r="F76" i="55"/>
  <c r="F77" i="55"/>
  <c r="F78" i="55"/>
  <c r="F79" i="55"/>
  <c r="F80" i="55"/>
  <c r="F81" i="55"/>
  <c r="F82" i="55"/>
  <c r="F83"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3" i="55"/>
  <c r="F154" i="55"/>
  <c r="F155" i="55"/>
  <c r="F15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F188" i="55"/>
  <c r="F189" i="55"/>
  <c r="F190" i="55"/>
  <c r="F191" i="55"/>
  <c r="F192" i="55"/>
  <c r="F193" i="55"/>
  <c r="F194" i="55"/>
  <c r="F195" i="55"/>
  <c r="F196" i="55"/>
  <c r="F197" i="55"/>
  <c r="F198" i="55"/>
  <c r="F199" i="55"/>
  <c r="F200" i="55"/>
  <c r="F201" i="55"/>
  <c r="F202" i="55"/>
  <c r="F203" i="55"/>
  <c r="F204" i="55"/>
  <c r="F205" i="55"/>
  <c r="F206" i="55"/>
  <c r="F207" i="55"/>
  <c r="F208" i="55"/>
  <c r="F209" i="55"/>
  <c r="F210" i="55"/>
  <c r="F211" i="55"/>
  <c r="F212" i="55"/>
  <c r="F213" i="55"/>
  <c r="F214" i="55"/>
  <c r="F215" i="55"/>
  <c r="F216" i="55"/>
  <c r="F217" i="55"/>
  <c r="F218" i="55"/>
  <c r="F219" i="55"/>
  <c r="F220" i="55"/>
  <c r="F221" i="55"/>
  <c r="F222" i="55"/>
  <c r="F223" i="55"/>
  <c r="F224" i="55"/>
  <c r="F225" i="55"/>
  <c r="F226" i="55"/>
  <c r="F227" i="55"/>
  <c r="F228" i="55"/>
  <c r="F229" i="55"/>
  <c r="F230" i="55"/>
  <c r="F231" i="55"/>
  <c r="F232" i="55"/>
  <c r="F233" i="55"/>
  <c r="F234" i="55"/>
  <c r="F235" i="55"/>
  <c r="F236" i="55"/>
  <c r="F237" i="55"/>
  <c r="F238" i="55"/>
  <c r="F239" i="55"/>
  <c r="F240" i="55"/>
  <c r="F241" i="55"/>
  <c r="F242" i="55"/>
  <c r="F243" i="55"/>
  <c r="F244" i="55"/>
  <c r="F245" i="55"/>
  <c r="F246" i="55"/>
  <c r="F247" i="55"/>
  <c r="F248" i="55"/>
  <c r="F249" i="55"/>
  <c r="F250" i="55"/>
  <c r="F251" i="55"/>
  <c r="F252" i="55"/>
  <c r="F253" i="55"/>
  <c r="F254" i="55"/>
  <c r="F255" i="55"/>
  <c r="F256" i="55"/>
  <c r="F257" i="55"/>
  <c r="F258" i="55"/>
  <c r="F259" i="55"/>
  <c r="F260" i="55"/>
  <c r="F261" i="55"/>
  <c r="F262" i="55"/>
  <c r="F263" i="55"/>
  <c r="F264" i="55"/>
  <c r="F265" i="55"/>
  <c r="F266" i="55"/>
  <c r="F267" i="55"/>
  <c r="F268" i="55"/>
  <c r="F269" i="55"/>
  <c r="F270" i="55"/>
  <c r="F271" i="55"/>
  <c r="F272" i="55"/>
  <c r="F273" i="55"/>
  <c r="F274" i="55"/>
  <c r="F275" i="55"/>
  <c r="F276" i="55"/>
  <c r="F277" i="55"/>
  <c r="F278" i="55"/>
  <c r="F279" i="55"/>
  <c r="F280" i="55"/>
  <c r="F281" i="55"/>
  <c r="F282" i="55"/>
  <c r="F283" i="55"/>
  <c r="F284" i="55"/>
  <c r="F285" i="55"/>
  <c r="F286" i="55"/>
  <c r="F287" i="55"/>
  <c r="F288" i="55"/>
  <c r="F289" i="55"/>
  <c r="F290" i="55"/>
  <c r="F291" i="55"/>
  <c r="F292" i="55"/>
  <c r="F293" i="55"/>
  <c r="F294" i="55"/>
  <c r="F295" i="55"/>
  <c r="F296" i="55"/>
  <c r="F297" i="55"/>
  <c r="F298" i="55"/>
  <c r="F299" i="55"/>
  <c r="F300" i="55"/>
  <c r="F301" i="55"/>
  <c r="F302" i="55"/>
  <c r="F303" i="55"/>
  <c r="F304" i="55"/>
  <c r="F305" i="55"/>
  <c r="F306" i="55"/>
  <c r="F307" i="55"/>
  <c r="F308" i="55"/>
  <c r="F309" i="55"/>
  <c r="F310" i="55"/>
  <c r="F311" i="55"/>
  <c r="F312" i="55"/>
  <c r="F313" i="55"/>
  <c r="F314" i="55"/>
  <c r="F315" i="55"/>
  <c r="F316" i="55"/>
  <c r="F317" i="55"/>
  <c r="F318" i="55"/>
  <c r="F319" i="55"/>
  <c r="F320" i="55"/>
  <c r="F321" i="55"/>
  <c r="F322" i="55"/>
  <c r="F323" i="55"/>
  <c r="F324" i="55"/>
  <c r="F325" i="55"/>
  <c r="F326" i="55"/>
  <c r="F327" i="55"/>
  <c r="F328" i="55"/>
  <c r="F329" i="55"/>
  <c r="F330" i="55"/>
  <c r="F331" i="55"/>
  <c r="F332" i="55"/>
  <c r="F333" i="55"/>
  <c r="F334" i="55"/>
  <c r="F335" i="55"/>
  <c r="F336" i="55"/>
  <c r="F337" i="55"/>
  <c r="F338" i="55"/>
  <c r="F339" i="55"/>
  <c r="F340" i="55"/>
  <c r="F341" i="55"/>
  <c r="F342" i="55"/>
  <c r="F343" i="55"/>
  <c r="F344" i="55"/>
  <c r="F345" i="55"/>
  <c r="F346" i="55"/>
  <c r="F347" i="55"/>
  <c r="F348" i="55"/>
  <c r="F350" i="55"/>
  <c r="F351" i="55"/>
  <c r="F352" i="55"/>
  <c r="F353" i="55"/>
  <c r="F354" i="55"/>
  <c r="F355" i="55"/>
  <c r="F356" i="55"/>
  <c r="F357" i="55"/>
  <c r="F358" i="55"/>
  <c r="F359" i="55"/>
  <c r="F360" i="55"/>
  <c r="F361" i="55"/>
  <c r="F362" i="55"/>
  <c r="F363" i="55"/>
  <c r="F364" i="55"/>
  <c r="F365" i="55"/>
  <c r="F366" i="55"/>
  <c r="F367" i="55"/>
  <c r="F368" i="55"/>
  <c r="F369" i="55"/>
  <c r="F370" i="55"/>
  <c r="F371" i="55"/>
  <c r="F372" i="55"/>
  <c r="F373" i="55"/>
  <c r="F374" i="55"/>
  <c r="F375" i="55"/>
  <c r="F376" i="55"/>
  <c r="F377" i="55"/>
  <c r="F378" i="55"/>
  <c r="F379" i="55"/>
  <c r="F380" i="55"/>
  <c r="F381" i="55"/>
  <c r="F382" i="55"/>
  <c r="F383" i="55"/>
  <c r="F386" i="55"/>
  <c r="F387" i="55"/>
  <c r="F388" i="55"/>
  <c r="F389" i="55"/>
  <c r="F390" i="55"/>
  <c r="F391" i="55"/>
  <c r="F392" i="55"/>
  <c r="F393" i="55"/>
  <c r="F394" i="55"/>
  <c r="F395" i="55"/>
  <c r="F396" i="55"/>
  <c r="F397" i="55"/>
  <c r="F398" i="55"/>
  <c r="F399" i="55"/>
  <c r="F400" i="55"/>
  <c r="F401" i="55"/>
  <c r="F402" i="55"/>
  <c r="F403" i="55"/>
  <c r="F404" i="55"/>
  <c r="F405" i="55"/>
  <c r="F406" i="55"/>
  <c r="F407" i="55"/>
  <c r="F408" i="55"/>
  <c r="F409" i="55"/>
  <c r="F410" i="55"/>
  <c r="F411" i="55"/>
  <c r="F412" i="55"/>
  <c r="F413" i="55"/>
  <c r="F414" i="55"/>
  <c r="F415" i="55"/>
  <c r="F416" i="55"/>
  <c r="F417" i="55"/>
  <c r="F418" i="55"/>
  <c r="F419" i="55"/>
  <c r="F420" i="55"/>
  <c r="F421" i="55"/>
  <c r="F422" i="55"/>
  <c r="F423" i="55"/>
  <c r="F424" i="55"/>
  <c r="F425" i="55"/>
  <c r="F426" i="55"/>
  <c r="F427" i="55"/>
  <c r="F428" i="55"/>
  <c r="F429" i="55"/>
  <c r="F430" i="55"/>
  <c r="F431" i="55"/>
  <c r="F432" i="55"/>
  <c r="F433" i="55"/>
  <c r="F434" i="55"/>
  <c r="F435" i="55"/>
  <c r="F436" i="55"/>
  <c r="F437" i="55"/>
  <c r="F438" i="55"/>
  <c r="F439" i="55"/>
  <c r="F440" i="55"/>
  <c r="F441" i="55"/>
  <c r="F442" i="55"/>
  <c r="F443" i="55"/>
  <c r="F444" i="55"/>
  <c r="F445" i="55"/>
  <c r="F446" i="55"/>
  <c r="F447" i="55"/>
  <c r="F448" i="55"/>
  <c r="F449" i="55"/>
  <c r="F450" i="55"/>
  <c r="F451" i="55"/>
  <c r="F452" i="55"/>
  <c r="F453" i="55"/>
  <c r="F454" i="55"/>
  <c r="F455" i="55"/>
  <c r="F456" i="55"/>
  <c r="F457" i="55"/>
  <c r="F458" i="55"/>
  <c r="F459" i="55"/>
  <c r="F460" i="55"/>
  <c r="F461" i="55"/>
  <c r="F462" i="55"/>
  <c r="F463" i="55"/>
  <c r="F464" i="55"/>
  <c r="F465" i="55"/>
  <c r="F466" i="55"/>
  <c r="F467" i="55"/>
  <c r="F468" i="55"/>
  <c r="F469" i="55"/>
  <c r="F470" i="55"/>
  <c r="F471" i="55"/>
  <c r="F472" i="55"/>
  <c r="F473" i="55"/>
  <c r="F474" i="55"/>
  <c r="F475" i="55"/>
  <c r="F476" i="55"/>
  <c r="F477" i="55"/>
  <c r="F478" i="55"/>
  <c r="F479" i="55"/>
  <c r="F480" i="55"/>
  <c r="F481" i="55"/>
  <c r="F482" i="55"/>
  <c r="F483" i="55"/>
  <c r="F484" i="55"/>
  <c r="F485" i="55"/>
  <c r="F486" i="55"/>
  <c r="F487" i="55"/>
  <c r="F488" i="55"/>
  <c r="F489" i="55"/>
  <c r="F490" i="55"/>
  <c r="F491" i="55"/>
  <c r="F492" i="55"/>
  <c r="F493" i="55"/>
  <c r="F494" i="55"/>
  <c r="F495" i="55"/>
  <c r="F496" i="55"/>
  <c r="F497" i="55"/>
  <c r="F498" i="55"/>
  <c r="F499" i="55"/>
  <c r="F500" i="55"/>
  <c r="F501" i="55"/>
  <c r="F502" i="55"/>
  <c r="F503" i="55"/>
  <c r="F504" i="55"/>
  <c r="F505" i="55"/>
  <c r="F506" i="55"/>
  <c r="F507" i="55"/>
  <c r="F508" i="55"/>
  <c r="F509" i="55"/>
  <c r="F510" i="55"/>
  <c r="F511" i="55"/>
  <c r="F512" i="55"/>
  <c r="F513" i="55"/>
  <c r="F514" i="55"/>
  <c r="F515" i="55"/>
  <c r="F516" i="55"/>
  <c r="F517" i="55"/>
  <c r="F518" i="55"/>
  <c r="F519" i="55"/>
  <c r="F520" i="55"/>
  <c r="F521" i="55"/>
  <c r="F522" i="55"/>
  <c r="F523" i="55"/>
  <c r="F524" i="55"/>
  <c r="F525" i="55"/>
  <c r="F526" i="55"/>
  <c r="F527" i="55"/>
  <c r="F528" i="55"/>
  <c r="F529" i="55"/>
  <c r="F530" i="55"/>
  <c r="F531" i="55"/>
  <c r="F532" i="55"/>
  <c r="F533" i="55"/>
  <c r="F534" i="55"/>
  <c r="F535" i="55"/>
  <c r="F536" i="55"/>
  <c r="F537" i="55"/>
  <c r="F538" i="55"/>
  <c r="F539" i="55"/>
  <c r="F540" i="55"/>
  <c r="F541" i="55"/>
  <c r="F542" i="55"/>
  <c r="F543" i="55"/>
  <c r="F544" i="55"/>
  <c r="F545" i="55"/>
  <c r="F546" i="55"/>
  <c r="F547" i="55"/>
  <c r="F548" i="55"/>
  <c r="F549" i="55"/>
  <c r="F550" i="55"/>
  <c r="F551" i="55"/>
  <c r="F552" i="55"/>
  <c r="F553" i="55"/>
  <c r="F554" i="55"/>
  <c r="F555" i="55"/>
  <c r="F556" i="55"/>
  <c r="F557" i="55"/>
  <c r="F558" i="55"/>
  <c r="F559" i="55"/>
  <c r="F560" i="55"/>
  <c r="F561" i="55"/>
  <c r="F562" i="55"/>
  <c r="F563" i="55"/>
  <c r="F564" i="55"/>
  <c r="F565" i="55"/>
  <c r="F566" i="55"/>
  <c r="F567" i="55"/>
  <c r="F568" i="55"/>
  <c r="F569" i="55"/>
  <c r="F570" i="55"/>
  <c r="F571" i="55"/>
  <c r="F572" i="55"/>
  <c r="F573" i="55"/>
  <c r="F574" i="55"/>
  <c r="F575" i="55"/>
  <c r="F576" i="55"/>
  <c r="F577" i="55"/>
  <c r="F578" i="55"/>
  <c r="F579" i="55"/>
  <c r="F580" i="55"/>
  <c r="F581" i="55"/>
  <c r="F582" i="55"/>
  <c r="F583" i="55"/>
  <c r="F584" i="55"/>
  <c r="F585" i="55"/>
  <c r="F586" i="55"/>
  <c r="F587" i="55"/>
  <c r="F588" i="55"/>
  <c r="F589" i="55"/>
  <c r="F590" i="55"/>
  <c r="F591" i="55"/>
  <c r="F592" i="55"/>
  <c r="F593" i="55"/>
  <c r="F594" i="55"/>
  <c r="F595" i="55"/>
  <c r="F596" i="55"/>
  <c r="F597" i="55"/>
  <c r="F598" i="55"/>
  <c r="F599" i="55"/>
  <c r="F600" i="55"/>
  <c r="F601" i="55"/>
  <c r="F602" i="55"/>
  <c r="F603" i="55"/>
  <c r="F604" i="55"/>
  <c r="F605" i="55"/>
  <c r="F606" i="55"/>
  <c r="F607" i="55"/>
  <c r="C607" i="56" s="1"/>
  <c r="D14" i="56"/>
  <c r="X15" i="55"/>
  <c r="X16" i="55"/>
  <c r="X17" i="55"/>
  <c r="X18" i="55"/>
  <c r="X19" i="55"/>
  <c r="X20" i="55"/>
  <c r="X21" i="55"/>
  <c r="X22" i="55"/>
  <c r="X23" i="55"/>
  <c r="X24" i="55"/>
  <c r="X25" i="55"/>
  <c r="X26" i="55"/>
  <c r="X27" i="55"/>
  <c r="X28" i="55"/>
  <c r="X29" i="55"/>
  <c r="X30" i="55"/>
  <c r="X31" i="55"/>
  <c r="X32" i="55"/>
  <c r="X33" i="55"/>
  <c r="X34" i="55"/>
  <c r="X35" i="55"/>
  <c r="X36" i="55"/>
  <c r="X37" i="55"/>
  <c r="X38" i="55"/>
  <c r="X39" i="55"/>
  <c r="X40" i="55"/>
  <c r="X41" i="55"/>
  <c r="X42" i="55"/>
  <c r="X43" i="55"/>
  <c r="X44" i="55"/>
  <c r="X45" i="55"/>
  <c r="X46" i="55"/>
  <c r="X47" i="55"/>
  <c r="X48" i="55"/>
  <c r="X49" i="55"/>
  <c r="X50" i="55"/>
  <c r="X51" i="55"/>
  <c r="X52" i="55"/>
  <c r="X53" i="55"/>
  <c r="X54" i="55"/>
  <c r="X55" i="55"/>
  <c r="X56" i="55"/>
  <c r="X57" i="55"/>
  <c r="X58" i="55"/>
  <c r="X59" i="55"/>
  <c r="X60" i="55"/>
  <c r="X61" i="55"/>
  <c r="X62" i="55"/>
  <c r="X63" i="55"/>
  <c r="X64" i="55"/>
  <c r="X65" i="55"/>
  <c r="X66" i="55"/>
  <c r="X67" i="55"/>
  <c r="X68" i="55"/>
  <c r="X69" i="55"/>
  <c r="X70" i="55"/>
  <c r="X71" i="55"/>
  <c r="X72" i="55"/>
  <c r="X73" i="55"/>
  <c r="X74" i="55"/>
  <c r="X75" i="55"/>
  <c r="X76" i="55"/>
  <c r="X77" i="55"/>
  <c r="X78" i="55"/>
  <c r="X79" i="55"/>
  <c r="X80" i="55"/>
  <c r="X81" i="55"/>
  <c r="X82" i="55"/>
  <c r="X83" i="55"/>
  <c r="X84" i="55"/>
  <c r="X85" i="55"/>
  <c r="X86" i="55"/>
  <c r="X87" i="55"/>
  <c r="X88" i="55"/>
  <c r="X89" i="55"/>
  <c r="X90" i="55"/>
  <c r="X91" i="55"/>
  <c r="X92" i="55"/>
  <c r="X93" i="55"/>
  <c r="X94" i="55"/>
  <c r="X95" i="55"/>
  <c r="X96" i="55"/>
  <c r="X97" i="55"/>
  <c r="X98" i="55"/>
  <c r="X99" i="55"/>
  <c r="X100" i="55"/>
  <c r="X101" i="55"/>
  <c r="X102" i="55"/>
  <c r="X103" i="55"/>
  <c r="X104" i="55"/>
  <c r="X105" i="55"/>
  <c r="X106" i="55"/>
  <c r="X107" i="55"/>
  <c r="X108" i="55"/>
  <c r="X109" i="55"/>
  <c r="X110" i="55"/>
  <c r="X111" i="55"/>
  <c r="X112" i="55"/>
  <c r="X113" i="55"/>
  <c r="X114" i="55"/>
  <c r="X115" i="55"/>
  <c r="X116" i="55"/>
  <c r="X117" i="55"/>
  <c r="X118" i="55"/>
  <c r="X119" i="55"/>
  <c r="X120" i="55"/>
  <c r="X121" i="55"/>
  <c r="X122" i="55"/>
  <c r="X123" i="55"/>
  <c r="X124" i="55"/>
  <c r="X125" i="55"/>
  <c r="X126" i="55"/>
  <c r="X127" i="55"/>
  <c r="X128" i="55"/>
  <c r="X129" i="55"/>
  <c r="X130" i="55"/>
  <c r="X131" i="55"/>
  <c r="X132" i="55"/>
  <c r="X133" i="55"/>
  <c r="X134" i="55"/>
  <c r="X135" i="55"/>
  <c r="X136" i="55"/>
  <c r="X137" i="55"/>
  <c r="X138" i="55"/>
  <c r="X139" i="55"/>
  <c r="X140" i="55"/>
  <c r="X141" i="55"/>
  <c r="X142" i="55"/>
  <c r="X143" i="55"/>
  <c r="X144" i="55"/>
  <c r="X145" i="55"/>
  <c r="X146" i="55"/>
  <c r="X147" i="55"/>
  <c r="X148" i="55"/>
  <c r="X149" i="55"/>
  <c r="X150" i="55"/>
  <c r="X151" i="55"/>
  <c r="X153" i="55"/>
  <c r="X154" i="55"/>
  <c r="X155" i="55"/>
  <c r="X156" i="55"/>
  <c r="X157" i="55"/>
  <c r="X158" i="55"/>
  <c r="X159" i="55"/>
  <c r="X160" i="55"/>
  <c r="X161" i="55"/>
  <c r="X162" i="55"/>
  <c r="X163" i="55"/>
  <c r="X164" i="55"/>
  <c r="X165" i="55"/>
  <c r="X166" i="55"/>
  <c r="X167" i="55"/>
  <c r="X168" i="55"/>
  <c r="X169" i="55"/>
  <c r="X170" i="55"/>
  <c r="X171" i="55"/>
  <c r="X172" i="55"/>
  <c r="X173" i="55"/>
  <c r="X174" i="55"/>
  <c r="X175" i="55"/>
  <c r="X176" i="55"/>
  <c r="X177" i="55"/>
  <c r="X178" i="55"/>
  <c r="X179" i="55"/>
  <c r="X180" i="55"/>
  <c r="X181" i="55"/>
  <c r="X182" i="55"/>
  <c r="X183" i="55"/>
  <c r="X184" i="55"/>
  <c r="X185" i="55"/>
  <c r="X186" i="55"/>
  <c r="X187" i="55"/>
  <c r="X188" i="55"/>
  <c r="X189" i="55"/>
  <c r="X190" i="55"/>
  <c r="X191" i="55"/>
  <c r="X192" i="55"/>
  <c r="X193" i="55"/>
  <c r="X194" i="55"/>
  <c r="X195" i="55"/>
  <c r="X196" i="55"/>
  <c r="X197" i="55"/>
  <c r="X198" i="55"/>
  <c r="X199" i="55"/>
  <c r="X200" i="55"/>
  <c r="X201" i="55"/>
  <c r="X202" i="55"/>
  <c r="X203" i="55"/>
  <c r="X204" i="55"/>
  <c r="X205" i="55"/>
  <c r="X206" i="55"/>
  <c r="X207" i="55"/>
  <c r="X208" i="55"/>
  <c r="X209" i="55"/>
  <c r="X210" i="55"/>
  <c r="X211" i="55"/>
  <c r="X212" i="55"/>
  <c r="X213" i="55"/>
  <c r="X214" i="55"/>
  <c r="X215" i="55"/>
  <c r="X216" i="55"/>
  <c r="X217" i="55"/>
  <c r="X218" i="55"/>
  <c r="X219" i="55"/>
  <c r="X220" i="55"/>
  <c r="X221" i="55"/>
  <c r="X222" i="55"/>
  <c r="X223" i="55"/>
  <c r="X224" i="55"/>
  <c r="X225" i="55"/>
  <c r="X226" i="55"/>
  <c r="X227" i="55"/>
  <c r="X228" i="55"/>
  <c r="X229" i="55"/>
  <c r="X230" i="55"/>
  <c r="X231" i="55"/>
  <c r="X232" i="55"/>
  <c r="X233" i="55"/>
  <c r="X234" i="55"/>
  <c r="X235" i="55"/>
  <c r="X236" i="55"/>
  <c r="X237" i="55"/>
  <c r="X238" i="55"/>
  <c r="X239" i="55"/>
  <c r="X240" i="55"/>
  <c r="X241" i="55"/>
  <c r="X242" i="55"/>
  <c r="X243" i="55"/>
  <c r="X244" i="55"/>
  <c r="X245" i="55"/>
  <c r="X246" i="55"/>
  <c r="X247" i="55"/>
  <c r="X248" i="55"/>
  <c r="X249" i="55"/>
  <c r="X250" i="55"/>
  <c r="X251" i="55"/>
  <c r="X252" i="55"/>
  <c r="X253" i="55"/>
  <c r="X254" i="55"/>
  <c r="X255" i="55"/>
  <c r="X256" i="55"/>
  <c r="X257" i="55"/>
  <c r="X258" i="55"/>
  <c r="X259" i="55"/>
  <c r="X260" i="55"/>
  <c r="X261" i="55"/>
  <c r="X262" i="55"/>
  <c r="X263" i="55"/>
  <c r="X264" i="55"/>
  <c r="X265" i="55"/>
  <c r="X266" i="55"/>
  <c r="X267" i="55"/>
  <c r="X268" i="55"/>
  <c r="X269" i="55"/>
  <c r="X270" i="55"/>
  <c r="X271" i="55"/>
  <c r="X272" i="55"/>
  <c r="X273" i="55"/>
  <c r="X274" i="55"/>
  <c r="X275" i="55"/>
  <c r="X276" i="55"/>
  <c r="X277" i="55"/>
  <c r="X278" i="55"/>
  <c r="X279" i="55"/>
  <c r="X280" i="55"/>
  <c r="X281" i="55"/>
  <c r="X282" i="55"/>
  <c r="X283" i="55"/>
  <c r="X284" i="55"/>
  <c r="X285" i="55"/>
  <c r="X286" i="55"/>
  <c r="X287" i="55"/>
  <c r="X288" i="55"/>
  <c r="X289" i="55"/>
  <c r="X290" i="55"/>
  <c r="X291" i="55"/>
  <c r="X292" i="55"/>
  <c r="X293" i="55"/>
  <c r="X294" i="55"/>
  <c r="X295" i="55"/>
  <c r="X296" i="55"/>
  <c r="X297" i="55"/>
  <c r="X298" i="55"/>
  <c r="X299" i="55"/>
  <c r="X300" i="55"/>
  <c r="X301" i="55"/>
  <c r="X302" i="55"/>
  <c r="X303" i="55"/>
  <c r="X304" i="55"/>
  <c r="X305" i="55"/>
  <c r="X306" i="55"/>
  <c r="X307" i="55"/>
  <c r="X308" i="55"/>
  <c r="X309" i="55"/>
  <c r="X310" i="55"/>
  <c r="X311" i="55"/>
  <c r="X312" i="55"/>
  <c r="X313" i="55"/>
  <c r="X314" i="55"/>
  <c r="X315" i="55"/>
  <c r="X316" i="55"/>
  <c r="X317" i="55"/>
  <c r="X318" i="55"/>
  <c r="X319" i="55"/>
  <c r="X320" i="55"/>
  <c r="X321" i="55"/>
  <c r="X322" i="55"/>
  <c r="X323" i="55"/>
  <c r="X324" i="55"/>
  <c r="X325" i="55"/>
  <c r="X326" i="55"/>
  <c r="X327" i="55"/>
  <c r="X328" i="55"/>
  <c r="X329" i="55"/>
  <c r="X330" i="55"/>
  <c r="X331" i="55"/>
  <c r="X332" i="55"/>
  <c r="X333" i="55"/>
  <c r="X334" i="55"/>
  <c r="X335" i="55"/>
  <c r="X336" i="55"/>
  <c r="X337" i="55"/>
  <c r="X338" i="55"/>
  <c r="X339" i="55"/>
  <c r="X340" i="55"/>
  <c r="X341" i="55"/>
  <c r="X342" i="55"/>
  <c r="X343" i="55"/>
  <c r="X344" i="55"/>
  <c r="X345" i="55"/>
  <c r="X346" i="55"/>
  <c r="X347" i="55"/>
  <c r="X348" i="55"/>
  <c r="X350" i="55"/>
  <c r="X351" i="55"/>
  <c r="X352" i="55"/>
  <c r="X353" i="55"/>
  <c r="X354" i="55"/>
  <c r="X355" i="55"/>
  <c r="X356" i="55"/>
  <c r="X357" i="55"/>
  <c r="X358" i="55"/>
  <c r="X359" i="55"/>
  <c r="X360" i="55"/>
  <c r="X361" i="55"/>
  <c r="X362" i="55"/>
  <c r="X363" i="55"/>
  <c r="X364" i="55"/>
  <c r="X365" i="55"/>
  <c r="X366" i="55"/>
  <c r="X367" i="55"/>
  <c r="X368" i="55"/>
  <c r="X369" i="55"/>
  <c r="X370" i="55"/>
  <c r="X371" i="55"/>
  <c r="X372" i="55"/>
  <c r="X373" i="55"/>
  <c r="X374" i="55"/>
  <c r="X375" i="55"/>
  <c r="X376" i="55"/>
  <c r="X377" i="55"/>
  <c r="X378" i="55"/>
  <c r="X379" i="55"/>
  <c r="X380" i="55"/>
  <c r="X381" i="55"/>
  <c r="X382" i="55"/>
  <c r="X383" i="55"/>
  <c r="X386" i="55"/>
  <c r="X387" i="55"/>
  <c r="X388" i="55"/>
  <c r="X389" i="55"/>
  <c r="X390" i="55"/>
  <c r="X391" i="55"/>
  <c r="X392" i="55"/>
  <c r="X393" i="55"/>
  <c r="X394" i="55"/>
  <c r="X395" i="55"/>
  <c r="X396" i="55"/>
  <c r="X397" i="55"/>
  <c r="X398" i="55"/>
  <c r="X399" i="55"/>
  <c r="X400" i="55"/>
  <c r="X401" i="55"/>
  <c r="X402" i="55"/>
  <c r="X403" i="55"/>
  <c r="X404" i="55"/>
  <c r="X405" i="55"/>
  <c r="X406" i="55"/>
  <c r="X407" i="55"/>
  <c r="X408" i="55"/>
  <c r="X409" i="55"/>
  <c r="X410" i="55"/>
  <c r="X411" i="55"/>
  <c r="X412" i="55"/>
  <c r="X413" i="55"/>
  <c r="X414" i="55"/>
  <c r="X415" i="55"/>
  <c r="X416" i="55"/>
  <c r="X417" i="55"/>
  <c r="X418" i="55"/>
  <c r="X419" i="55"/>
  <c r="X420" i="55"/>
  <c r="X421" i="55"/>
  <c r="X422" i="55"/>
  <c r="X423" i="55"/>
  <c r="X424" i="55"/>
  <c r="X425" i="55"/>
  <c r="X426" i="55"/>
  <c r="X427" i="55"/>
  <c r="X428" i="55"/>
  <c r="X429" i="55"/>
  <c r="X430" i="55"/>
  <c r="X431" i="55"/>
  <c r="X432" i="55"/>
  <c r="X433" i="55"/>
  <c r="X434" i="55"/>
  <c r="X435" i="55"/>
  <c r="X436" i="55"/>
  <c r="X437" i="55"/>
  <c r="X438" i="55"/>
  <c r="X439" i="55"/>
  <c r="X440" i="55"/>
  <c r="X441" i="55"/>
  <c r="X442" i="55"/>
  <c r="X443" i="55"/>
  <c r="X444" i="55"/>
  <c r="X445" i="55"/>
  <c r="X446" i="55"/>
  <c r="X447" i="55"/>
  <c r="X448" i="55"/>
  <c r="X449" i="55"/>
  <c r="X450" i="55"/>
  <c r="X451" i="55"/>
  <c r="X452" i="55"/>
  <c r="X453" i="55"/>
  <c r="X454" i="55"/>
  <c r="X455" i="55"/>
  <c r="X456" i="55"/>
  <c r="X457" i="55"/>
  <c r="X458" i="55"/>
  <c r="X459" i="55"/>
  <c r="X460" i="55"/>
  <c r="X461" i="55"/>
  <c r="X462" i="55"/>
  <c r="X463" i="55"/>
  <c r="X464" i="55"/>
  <c r="X465" i="55"/>
  <c r="X466" i="55"/>
  <c r="X467" i="55"/>
  <c r="X468" i="55"/>
  <c r="X469" i="55"/>
  <c r="X470" i="55"/>
  <c r="X471" i="55"/>
  <c r="X472" i="55"/>
  <c r="X473" i="55"/>
  <c r="X474" i="55"/>
  <c r="X475" i="55"/>
  <c r="X476" i="55"/>
  <c r="X477" i="55"/>
  <c r="X478" i="55"/>
  <c r="X479" i="55"/>
  <c r="X480" i="55"/>
  <c r="X481" i="55"/>
  <c r="X482" i="55"/>
  <c r="X483" i="55"/>
  <c r="X484" i="55"/>
  <c r="X485" i="55"/>
  <c r="X486" i="55"/>
  <c r="X487" i="55"/>
  <c r="X488" i="55"/>
  <c r="X489" i="55"/>
  <c r="X490" i="55"/>
  <c r="X491" i="55"/>
  <c r="X492" i="55"/>
  <c r="X493" i="55"/>
  <c r="X494" i="55"/>
  <c r="X495" i="55"/>
  <c r="X496" i="55"/>
  <c r="X497" i="55"/>
  <c r="X498" i="55"/>
  <c r="X499" i="55"/>
  <c r="X500" i="55"/>
  <c r="X501" i="55"/>
  <c r="X502" i="55"/>
  <c r="X503" i="55"/>
  <c r="X504" i="55"/>
  <c r="X505" i="55"/>
  <c r="X506" i="55"/>
  <c r="X507" i="55"/>
  <c r="X508" i="55"/>
  <c r="X509" i="55"/>
  <c r="X510" i="55"/>
  <c r="X511" i="55"/>
  <c r="X512" i="55"/>
  <c r="X513" i="55"/>
  <c r="X514" i="55"/>
  <c r="X515" i="55"/>
  <c r="X516" i="55"/>
  <c r="X517" i="55"/>
  <c r="X518" i="55"/>
  <c r="X519" i="55"/>
  <c r="X520" i="55"/>
  <c r="X521" i="55"/>
  <c r="X522" i="55"/>
  <c r="X523" i="55"/>
  <c r="X524" i="55"/>
  <c r="X525" i="55"/>
  <c r="X526" i="55"/>
  <c r="X527" i="55"/>
  <c r="X528" i="55"/>
  <c r="X529" i="55"/>
  <c r="X530" i="55"/>
  <c r="X531" i="55"/>
  <c r="X532" i="55"/>
  <c r="X533" i="55"/>
  <c r="X534" i="55"/>
  <c r="X535" i="55"/>
  <c r="X536" i="55"/>
  <c r="X537" i="55"/>
  <c r="X538" i="55"/>
  <c r="X539" i="55"/>
  <c r="X540" i="55"/>
  <c r="X541" i="55"/>
  <c r="X542" i="55"/>
  <c r="X543" i="55"/>
  <c r="X544" i="55"/>
  <c r="X545" i="55"/>
  <c r="X546" i="55"/>
  <c r="X547" i="55"/>
  <c r="X548" i="55"/>
  <c r="X549" i="55"/>
  <c r="X550" i="55"/>
  <c r="X551" i="55"/>
  <c r="X552" i="55"/>
  <c r="X553" i="55"/>
  <c r="X554" i="55"/>
  <c r="X555" i="55"/>
  <c r="X556" i="55"/>
  <c r="X557" i="55"/>
  <c r="X558" i="55"/>
  <c r="X559" i="55"/>
  <c r="X560" i="55"/>
  <c r="X561" i="55"/>
  <c r="X562" i="55"/>
  <c r="X563" i="55"/>
  <c r="X564" i="55"/>
  <c r="X565" i="55"/>
  <c r="X566" i="55"/>
  <c r="X567" i="55"/>
  <c r="X568" i="55"/>
  <c r="X569" i="55"/>
  <c r="X570" i="55"/>
  <c r="X571" i="55"/>
  <c r="X572" i="55"/>
  <c r="X573" i="55"/>
  <c r="X574" i="55"/>
  <c r="X575" i="55"/>
  <c r="X576" i="55"/>
  <c r="X577" i="55"/>
  <c r="X578" i="55"/>
  <c r="X579" i="55"/>
  <c r="X580" i="55"/>
  <c r="X581" i="55"/>
  <c r="X582" i="55"/>
  <c r="X583" i="55"/>
  <c r="X584" i="55"/>
  <c r="X585" i="55"/>
  <c r="X586" i="55"/>
  <c r="X587" i="55"/>
  <c r="X588" i="55"/>
  <c r="X589" i="55"/>
  <c r="X590" i="55"/>
  <c r="X591" i="55"/>
  <c r="X592" i="55"/>
  <c r="X593" i="55"/>
  <c r="X594" i="55"/>
  <c r="X595" i="55"/>
  <c r="X596" i="55"/>
  <c r="X597" i="55"/>
  <c r="X598" i="55"/>
  <c r="X599" i="55"/>
  <c r="X600" i="55"/>
  <c r="X601" i="55"/>
  <c r="X602" i="55"/>
  <c r="X603" i="55"/>
  <c r="X604" i="55"/>
  <c r="X605" i="55"/>
  <c r="X606" i="55"/>
  <c r="X607" i="55"/>
  <c r="X14" i="55"/>
  <c r="E121" i="6"/>
  <c r="A620" i="57"/>
  <c r="A619" i="57"/>
  <c r="A618" i="57"/>
  <c r="A617" i="57"/>
  <c r="A616" i="57"/>
  <c r="A615" i="57"/>
  <c r="A614" i="57"/>
  <c r="A613" i="57"/>
  <c r="O609" i="57"/>
  <c r="M609" i="57"/>
  <c r="K609" i="57"/>
  <c r="B609" i="57"/>
  <c r="W608" i="57"/>
  <c r="V608" i="57"/>
  <c r="X608" i="57" s="1"/>
  <c r="R608" i="57"/>
  <c r="F608" i="57"/>
  <c r="D608" i="57"/>
  <c r="W607" i="57"/>
  <c r="V607" i="57"/>
  <c r="X607" i="57" s="1"/>
  <c r="R607" i="57"/>
  <c r="F607" i="57"/>
  <c r="D607" i="57"/>
  <c r="W606" i="57"/>
  <c r="V606" i="57"/>
  <c r="R606" i="57"/>
  <c r="N606" i="57"/>
  <c r="F606" i="57"/>
  <c r="D606" i="57"/>
  <c r="W605" i="57"/>
  <c r="V605" i="57"/>
  <c r="R605" i="57"/>
  <c r="N605" i="57"/>
  <c r="F605" i="57"/>
  <c r="D605" i="57"/>
  <c r="W604" i="57"/>
  <c r="V604" i="57"/>
  <c r="R604" i="57"/>
  <c r="F604" i="57"/>
  <c r="N604" i="57" s="1"/>
  <c r="D604" i="57"/>
  <c r="W603" i="57"/>
  <c r="V603" i="57"/>
  <c r="X603" i="57" s="1"/>
  <c r="R603" i="57"/>
  <c r="F603" i="57"/>
  <c r="N603" i="57" s="1"/>
  <c r="D603" i="57"/>
  <c r="W602" i="57"/>
  <c r="V602" i="57"/>
  <c r="R602" i="57"/>
  <c r="F602" i="57"/>
  <c r="N602" i="57" s="1"/>
  <c r="D602" i="57"/>
  <c r="W601" i="57"/>
  <c r="V601" i="57"/>
  <c r="E601" i="57" s="1"/>
  <c r="R601" i="57"/>
  <c r="N601" i="57"/>
  <c r="F601" i="57"/>
  <c r="D601" i="57"/>
  <c r="W600" i="57"/>
  <c r="V600" i="57"/>
  <c r="X600" i="57" s="1"/>
  <c r="R600" i="57"/>
  <c r="F600" i="57"/>
  <c r="D600" i="57"/>
  <c r="W599" i="57"/>
  <c r="V599" i="57"/>
  <c r="X599" i="57" s="1"/>
  <c r="R599" i="57"/>
  <c r="F599" i="57"/>
  <c r="E599" i="57" s="1"/>
  <c r="D599" i="57"/>
  <c r="W598" i="57"/>
  <c r="V598" i="57"/>
  <c r="R598" i="57"/>
  <c r="F598" i="57"/>
  <c r="N598" i="57" s="1"/>
  <c r="D598" i="57"/>
  <c r="W597" i="57"/>
  <c r="V597" i="57"/>
  <c r="R597" i="57"/>
  <c r="N597" i="57"/>
  <c r="F597" i="57"/>
  <c r="D597" i="57"/>
  <c r="W596" i="57"/>
  <c r="V596" i="57"/>
  <c r="E596" i="57" s="1"/>
  <c r="R596" i="57"/>
  <c r="F596" i="57"/>
  <c r="N596" i="57" s="1"/>
  <c r="D596" i="57"/>
  <c r="W595" i="57"/>
  <c r="V595" i="57"/>
  <c r="X595" i="57" s="1"/>
  <c r="R595" i="57"/>
  <c r="F595" i="57"/>
  <c r="N595" i="57" s="1"/>
  <c r="E595" i="57"/>
  <c r="D595" i="57"/>
  <c r="X594" i="57"/>
  <c r="W594" i="57"/>
  <c r="V594" i="57"/>
  <c r="R594" i="57"/>
  <c r="F594" i="57"/>
  <c r="N594" i="57" s="1"/>
  <c r="D594" i="57"/>
  <c r="X593" i="57"/>
  <c r="W593" i="57"/>
  <c r="V593" i="57"/>
  <c r="E593" i="57" s="1"/>
  <c r="R593" i="57"/>
  <c r="F593" i="57"/>
  <c r="N593" i="57" s="1"/>
  <c r="D593" i="57"/>
  <c r="X592" i="57"/>
  <c r="W592" i="57"/>
  <c r="V592" i="57"/>
  <c r="R592" i="57"/>
  <c r="F592" i="57"/>
  <c r="D592" i="57"/>
  <c r="W591" i="57"/>
  <c r="V591" i="57"/>
  <c r="X591" i="57" s="1"/>
  <c r="R591" i="57"/>
  <c r="N591" i="57"/>
  <c r="F591" i="57"/>
  <c r="E591" i="57" s="1"/>
  <c r="D591" i="57"/>
  <c r="W590" i="57"/>
  <c r="V590" i="57"/>
  <c r="R590" i="57"/>
  <c r="F590" i="57"/>
  <c r="N590" i="57" s="1"/>
  <c r="D590" i="57"/>
  <c r="X589" i="57"/>
  <c r="W589" i="57"/>
  <c r="V589" i="57"/>
  <c r="R589" i="57"/>
  <c r="N589" i="57"/>
  <c r="F589" i="57"/>
  <c r="D589" i="57"/>
  <c r="X588" i="57"/>
  <c r="W588" i="57"/>
  <c r="V588" i="57"/>
  <c r="E588" i="57" s="1"/>
  <c r="R588" i="57"/>
  <c r="F588" i="57"/>
  <c r="N588" i="57" s="1"/>
  <c r="D588" i="57"/>
  <c r="W587" i="57"/>
  <c r="V587" i="57"/>
  <c r="X587" i="57" s="1"/>
  <c r="R587" i="57"/>
  <c r="F587" i="57"/>
  <c r="N587" i="57" s="1"/>
  <c r="D587" i="57"/>
  <c r="W586" i="57"/>
  <c r="V586" i="57"/>
  <c r="X586" i="57" s="1"/>
  <c r="R586" i="57"/>
  <c r="F586" i="57"/>
  <c r="N586" i="57" s="1"/>
  <c r="D586" i="57"/>
  <c r="X585" i="57"/>
  <c r="W585" i="57"/>
  <c r="V585" i="57"/>
  <c r="R585" i="57"/>
  <c r="F585" i="57"/>
  <c r="N585" i="57" s="1"/>
  <c r="E585" i="57"/>
  <c r="D585" i="57"/>
  <c r="X584" i="57"/>
  <c r="W584" i="57"/>
  <c r="V584" i="57"/>
  <c r="R584" i="57"/>
  <c r="F584" i="57"/>
  <c r="D584" i="57"/>
  <c r="W583" i="57"/>
  <c r="V583" i="57"/>
  <c r="X583" i="57" s="1"/>
  <c r="R583" i="57"/>
  <c r="F583" i="57"/>
  <c r="D583" i="57"/>
  <c r="W582" i="57"/>
  <c r="V582" i="57"/>
  <c r="R582" i="57"/>
  <c r="F582" i="57"/>
  <c r="N582" i="57" s="1"/>
  <c r="D582" i="57"/>
  <c r="W581" i="57"/>
  <c r="V581" i="57"/>
  <c r="R581" i="57"/>
  <c r="N581" i="57"/>
  <c r="F581" i="57"/>
  <c r="D581" i="57"/>
  <c r="W580" i="57"/>
  <c r="V580" i="57"/>
  <c r="R580" i="57"/>
  <c r="F580" i="57"/>
  <c r="N580" i="57" s="1"/>
  <c r="D580" i="57"/>
  <c r="W579" i="57"/>
  <c r="V579" i="57"/>
  <c r="X579" i="57" s="1"/>
  <c r="R579" i="57"/>
  <c r="F579" i="57"/>
  <c r="N579" i="57" s="1"/>
  <c r="D579" i="57"/>
  <c r="W578" i="57"/>
  <c r="V578" i="57"/>
  <c r="R578" i="57"/>
  <c r="F578" i="57"/>
  <c r="N578" i="57" s="1"/>
  <c r="D578" i="57"/>
  <c r="W577" i="57"/>
  <c r="V577" i="57"/>
  <c r="X577" i="57" s="1"/>
  <c r="R577" i="57"/>
  <c r="N577" i="57"/>
  <c r="F577" i="57"/>
  <c r="E577" i="57"/>
  <c r="D577" i="57"/>
  <c r="W576" i="57"/>
  <c r="V576" i="57"/>
  <c r="X576" i="57" s="1"/>
  <c r="R576" i="57"/>
  <c r="F576" i="57"/>
  <c r="D576" i="57"/>
  <c r="W575" i="57"/>
  <c r="V575" i="57"/>
  <c r="X575" i="57" s="1"/>
  <c r="R575" i="57"/>
  <c r="N575" i="57"/>
  <c r="F575" i="57"/>
  <c r="E575" i="57" s="1"/>
  <c r="D575" i="57"/>
  <c r="W574" i="57"/>
  <c r="V574" i="57"/>
  <c r="R574" i="57"/>
  <c r="F574" i="57"/>
  <c r="N574" i="57" s="1"/>
  <c r="D574" i="57"/>
  <c r="W573" i="57"/>
  <c r="V573" i="57"/>
  <c r="R573" i="57"/>
  <c r="N573" i="57"/>
  <c r="F573" i="57"/>
  <c r="D573" i="57"/>
  <c r="W572" i="57"/>
  <c r="V572" i="57"/>
  <c r="R572" i="57"/>
  <c r="F572" i="57"/>
  <c r="N572" i="57" s="1"/>
  <c r="D572" i="57"/>
  <c r="W571" i="57"/>
  <c r="V571" i="57"/>
  <c r="X571" i="57" s="1"/>
  <c r="R571" i="57"/>
  <c r="F571" i="57"/>
  <c r="N571" i="57" s="1"/>
  <c r="D571" i="57"/>
  <c r="X570" i="57"/>
  <c r="W570" i="57"/>
  <c r="V570" i="57"/>
  <c r="E570" i="57" s="1"/>
  <c r="R570" i="57"/>
  <c r="F570" i="57"/>
  <c r="N570" i="57" s="1"/>
  <c r="D570" i="57"/>
  <c r="W569" i="57"/>
  <c r="V569" i="57"/>
  <c r="R569" i="57"/>
  <c r="N569" i="57"/>
  <c r="F569" i="57"/>
  <c r="D569" i="57"/>
  <c r="W568" i="57"/>
  <c r="V568" i="57"/>
  <c r="X568" i="57" s="1"/>
  <c r="R568" i="57"/>
  <c r="F568" i="57"/>
  <c r="D568" i="57"/>
  <c r="W567" i="57"/>
  <c r="V567" i="57"/>
  <c r="X567" i="57" s="1"/>
  <c r="R567" i="57"/>
  <c r="F567" i="57"/>
  <c r="D567" i="57"/>
  <c r="W566" i="57"/>
  <c r="V566" i="57"/>
  <c r="R566" i="57"/>
  <c r="N566" i="57"/>
  <c r="F566" i="57"/>
  <c r="D566" i="57"/>
  <c r="X565" i="57"/>
  <c r="W565" i="57"/>
  <c r="V565" i="57"/>
  <c r="E565" i="57" s="1"/>
  <c r="R565" i="57"/>
  <c r="F565" i="57"/>
  <c r="N565" i="57" s="1"/>
  <c r="D565" i="57"/>
  <c r="W564" i="57"/>
  <c r="V564" i="57"/>
  <c r="R564" i="57"/>
  <c r="F564" i="57"/>
  <c r="N564" i="57" s="1"/>
  <c r="D564" i="57"/>
  <c r="W563" i="57"/>
  <c r="V563" i="57"/>
  <c r="X563" i="57" s="1"/>
  <c r="R563" i="57"/>
  <c r="F563" i="57"/>
  <c r="N563" i="57" s="1"/>
  <c r="E563" i="57"/>
  <c r="D563" i="57"/>
  <c r="X562" i="57"/>
  <c r="W562" i="57"/>
  <c r="V562" i="57"/>
  <c r="R562" i="57"/>
  <c r="F562" i="57"/>
  <c r="N562" i="57" s="1"/>
  <c r="D562" i="57"/>
  <c r="X561" i="57"/>
  <c r="W561" i="57"/>
  <c r="V561" i="57"/>
  <c r="E561" i="57" s="1"/>
  <c r="R561" i="57"/>
  <c r="F561" i="57"/>
  <c r="N561" i="57" s="1"/>
  <c r="D561" i="57"/>
  <c r="X560" i="57"/>
  <c r="W560" i="57"/>
  <c r="V560" i="57"/>
  <c r="R560" i="57"/>
  <c r="F560" i="57"/>
  <c r="D560" i="57"/>
  <c r="W559" i="57"/>
  <c r="V559" i="57"/>
  <c r="X559" i="57" s="1"/>
  <c r="R559" i="57"/>
  <c r="N559" i="57"/>
  <c r="F559" i="57"/>
  <c r="D559" i="57"/>
  <c r="W558" i="57"/>
  <c r="V558" i="57"/>
  <c r="R558" i="57"/>
  <c r="F558" i="57"/>
  <c r="N558" i="57" s="1"/>
  <c r="D558" i="57"/>
  <c r="X557" i="57"/>
  <c r="W557" i="57"/>
  <c r="V557" i="57"/>
  <c r="R557" i="57"/>
  <c r="F557" i="57"/>
  <c r="N557" i="57" s="1"/>
  <c r="D557" i="57"/>
  <c r="X556" i="57"/>
  <c r="W556" i="57"/>
  <c r="V556" i="57"/>
  <c r="R556" i="57"/>
  <c r="F556" i="57"/>
  <c r="N556" i="57" s="1"/>
  <c r="D556" i="57"/>
  <c r="W555" i="57"/>
  <c r="V555" i="57"/>
  <c r="R555" i="57"/>
  <c r="F555" i="57"/>
  <c r="N555" i="57" s="1"/>
  <c r="D555" i="57"/>
  <c r="W554" i="57"/>
  <c r="V554" i="57"/>
  <c r="X554" i="57" s="1"/>
  <c r="R554" i="57"/>
  <c r="F554" i="57"/>
  <c r="N554" i="57" s="1"/>
  <c r="D554" i="57"/>
  <c r="W553" i="57"/>
  <c r="V553" i="57"/>
  <c r="X553" i="57" s="1"/>
  <c r="R553" i="57"/>
  <c r="F553" i="57"/>
  <c r="D553" i="57"/>
  <c r="W552" i="57"/>
  <c r="V552" i="57"/>
  <c r="X552" i="57" s="1"/>
  <c r="R552" i="57"/>
  <c r="F552" i="57"/>
  <c r="D552" i="57"/>
  <c r="W551" i="57"/>
  <c r="V551" i="57"/>
  <c r="X551" i="57" s="1"/>
  <c r="R551" i="57"/>
  <c r="F551" i="57"/>
  <c r="E551" i="57" s="1"/>
  <c r="D551" i="57"/>
  <c r="W550" i="57"/>
  <c r="V550" i="57"/>
  <c r="R550" i="57"/>
  <c r="N550" i="57"/>
  <c r="F550" i="57"/>
  <c r="D550" i="57"/>
  <c r="W549" i="57"/>
  <c r="V549" i="57"/>
  <c r="E549" i="57" s="1"/>
  <c r="R549" i="57"/>
  <c r="N549" i="57"/>
  <c r="F549" i="57"/>
  <c r="D549" i="57"/>
  <c r="W548" i="57"/>
  <c r="V548" i="57"/>
  <c r="R548" i="57"/>
  <c r="F548" i="57"/>
  <c r="N548" i="57" s="1"/>
  <c r="D548" i="57"/>
  <c r="W547" i="57"/>
  <c r="V547" i="57"/>
  <c r="X547" i="57" s="1"/>
  <c r="R547" i="57"/>
  <c r="F547" i="57"/>
  <c r="N547" i="57" s="1"/>
  <c r="D547" i="57"/>
  <c r="X546" i="57"/>
  <c r="W546" i="57"/>
  <c r="V546" i="57"/>
  <c r="R546" i="57"/>
  <c r="F546" i="57"/>
  <c r="N546" i="57" s="1"/>
  <c r="D546" i="57"/>
  <c r="W545" i="57"/>
  <c r="V545" i="57"/>
  <c r="R545" i="57"/>
  <c r="N545" i="57"/>
  <c r="F545" i="57"/>
  <c r="D545" i="57"/>
  <c r="W544" i="57"/>
  <c r="V544" i="57"/>
  <c r="X544" i="57" s="1"/>
  <c r="R544" i="57"/>
  <c r="F544" i="57"/>
  <c r="D544" i="57"/>
  <c r="W543" i="57"/>
  <c r="V543" i="57"/>
  <c r="X543" i="57" s="1"/>
  <c r="R543" i="57"/>
  <c r="F543" i="57"/>
  <c r="D543" i="57"/>
  <c r="W542" i="57"/>
  <c r="V542" i="57"/>
  <c r="R542" i="57"/>
  <c r="N542" i="57"/>
  <c r="F542" i="57"/>
  <c r="D542" i="57"/>
  <c r="X541" i="57"/>
  <c r="W541" i="57"/>
  <c r="V541" i="57"/>
  <c r="R541" i="57"/>
  <c r="F541" i="57"/>
  <c r="N541" i="57" s="1"/>
  <c r="D541" i="57"/>
  <c r="W540" i="57"/>
  <c r="V540" i="57"/>
  <c r="E540" i="57" s="1"/>
  <c r="R540" i="57"/>
  <c r="F540" i="57"/>
  <c r="N540" i="57" s="1"/>
  <c r="D540" i="57"/>
  <c r="W539" i="57"/>
  <c r="V539" i="57"/>
  <c r="X539" i="57" s="1"/>
  <c r="R539" i="57"/>
  <c r="F539" i="57"/>
  <c r="N539" i="57" s="1"/>
  <c r="E539" i="57"/>
  <c r="D539" i="57"/>
  <c r="X538" i="57"/>
  <c r="W538" i="57"/>
  <c r="V538" i="57"/>
  <c r="R538" i="57"/>
  <c r="F538" i="57"/>
  <c r="N538" i="57" s="1"/>
  <c r="D538" i="57"/>
  <c r="X537" i="57"/>
  <c r="W537" i="57"/>
  <c r="V537" i="57"/>
  <c r="R537" i="57"/>
  <c r="F537" i="57"/>
  <c r="N537" i="57" s="1"/>
  <c r="D537" i="57"/>
  <c r="X536" i="57"/>
  <c r="W536" i="57"/>
  <c r="V536" i="57"/>
  <c r="R536" i="57"/>
  <c r="F536" i="57"/>
  <c r="D536" i="57"/>
  <c r="W535" i="57"/>
  <c r="V535" i="57"/>
  <c r="X535" i="57" s="1"/>
  <c r="R535" i="57"/>
  <c r="N535" i="57"/>
  <c r="F535" i="57"/>
  <c r="D535" i="57"/>
  <c r="W534" i="57"/>
  <c r="V534" i="57"/>
  <c r="R534" i="57"/>
  <c r="F534" i="57"/>
  <c r="N534" i="57" s="1"/>
  <c r="D534" i="57"/>
  <c r="X533" i="57"/>
  <c r="W533" i="57"/>
  <c r="V533" i="57"/>
  <c r="R533" i="57"/>
  <c r="F533" i="57"/>
  <c r="N533" i="57" s="1"/>
  <c r="D533" i="57"/>
  <c r="X532" i="57"/>
  <c r="W532" i="57"/>
  <c r="V532" i="57"/>
  <c r="R532" i="57"/>
  <c r="F532" i="57"/>
  <c r="N532" i="57" s="1"/>
  <c r="D532" i="57"/>
  <c r="W531" i="57"/>
  <c r="V531" i="57"/>
  <c r="R531" i="57"/>
  <c r="F531" i="57"/>
  <c r="N531" i="57" s="1"/>
  <c r="D531" i="57"/>
  <c r="W530" i="57"/>
  <c r="V530" i="57"/>
  <c r="R530" i="57"/>
  <c r="F530" i="57"/>
  <c r="N530" i="57" s="1"/>
  <c r="D530" i="57"/>
  <c r="W529" i="57"/>
  <c r="V529" i="57"/>
  <c r="X529" i="57" s="1"/>
  <c r="R529" i="57"/>
  <c r="F529" i="57"/>
  <c r="D529" i="57"/>
  <c r="W528" i="57"/>
  <c r="V528" i="57"/>
  <c r="X528" i="57" s="1"/>
  <c r="R528" i="57"/>
  <c r="F528" i="57"/>
  <c r="D528" i="57"/>
  <c r="W527" i="57"/>
  <c r="V527" i="57"/>
  <c r="X527" i="57" s="1"/>
  <c r="R527" i="57"/>
  <c r="F527" i="57"/>
  <c r="E527" i="57" s="1"/>
  <c r="D527" i="57"/>
  <c r="W526" i="57"/>
  <c r="V526" i="57"/>
  <c r="R526" i="57"/>
  <c r="F526" i="57"/>
  <c r="N526" i="57" s="1"/>
  <c r="D526" i="57"/>
  <c r="W525" i="57"/>
  <c r="V525" i="57"/>
  <c r="E525" i="57" s="1"/>
  <c r="R525" i="57"/>
  <c r="N525" i="57"/>
  <c r="F525" i="57"/>
  <c r="D525" i="57"/>
  <c r="W524" i="57"/>
  <c r="V524" i="57"/>
  <c r="R524" i="57"/>
  <c r="F524" i="57"/>
  <c r="N524" i="57" s="1"/>
  <c r="D524" i="57"/>
  <c r="W523" i="57"/>
  <c r="V523" i="57"/>
  <c r="X523" i="57" s="1"/>
  <c r="R523" i="57"/>
  <c r="F523" i="57"/>
  <c r="N523" i="57" s="1"/>
  <c r="E523" i="57"/>
  <c r="D523" i="57"/>
  <c r="X522" i="57"/>
  <c r="W522" i="57"/>
  <c r="V522" i="57"/>
  <c r="R522" i="57"/>
  <c r="F522" i="57"/>
  <c r="N522" i="57" s="1"/>
  <c r="D522" i="57"/>
  <c r="W521" i="57"/>
  <c r="V521" i="57"/>
  <c r="R521" i="57"/>
  <c r="F521" i="57"/>
  <c r="N521" i="57" s="1"/>
  <c r="D521" i="57"/>
  <c r="W520" i="57"/>
  <c r="V520" i="57"/>
  <c r="X520" i="57" s="1"/>
  <c r="R520" i="57"/>
  <c r="F520" i="57"/>
  <c r="D520" i="57"/>
  <c r="W519" i="57"/>
  <c r="V519" i="57"/>
  <c r="X519" i="57" s="1"/>
  <c r="R519" i="57"/>
  <c r="F519" i="57"/>
  <c r="D519" i="57"/>
  <c r="W518" i="57"/>
  <c r="V518" i="57"/>
  <c r="R518" i="57"/>
  <c r="F518" i="57"/>
  <c r="N518" i="57" s="1"/>
  <c r="D518" i="57"/>
  <c r="X517" i="57"/>
  <c r="W517" i="57"/>
  <c r="V517" i="57"/>
  <c r="R517" i="57"/>
  <c r="F517" i="57"/>
  <c r="N517" i="57" s="1"/>
  <c r="D517" i="57"/>
  <c r="W516" i="57"/>
  <c r="V516" i="57"/>
  <c r="E516" i="57" s="1"/>
  <c r="R516" i="57"/>
  <c r="F516" i="57"/>
  <c r="N516" i="57" s="1"/>
  <c r="D516" i="57"/>
  <c r="W515" i="57"/>
  <c r="V515" i="57"/>
  <c r="X515" i="57" s="1"/>
  <c r="R515" i="57"/>
  <c r="F515" i="57"/>
  <c r="N515" i="57" s="1"/>
  <c r="E515" i="57"/>
  <c r="D515" i="57"/>
  <c r="W514" i="57"/>
  <c r="V514" i="57"/>
  <c r="R514" i="57"/>
  <c r="F514" i="57"/>
  <c r="N514" i="57" s="1"/>
  <c r="D514" i="57"/>
  <c r="X513" i="57"/>
  <c r="W513" i="57"/>
  <c r="V513" i="57"/>
  <c r="R513" i="57"/>
  <c r="F513" i="57"/>
  <c r="N513" i="57" s="1"/>
  <c r="E513" i="57"/>
  <c r="D513" i="57"/>
  <c r="X512" i="57"/>
  <c r="W512" i="57"/>
  <c r="V512" i="57"/>
  <c r="R512" i="57"/>
  <c r="F512" i="57"/>
  <c r="D512" i="57"/>
  <c r="W511" i="57"/>
  <c r="V511" i="57"/>
  <c r="X511" i="57" s="1"/>
  <c r="R511" i="57"/>
  <c r="N511" i="57"/>
  <c r="F511" i="57"/>
  <c r="D511" i="57"/>
  <c r="W510" i="57"/>
  <c r="V510" i="57"/>
  <c r="R510" i="57"/>
  <c r="F510" i="57"/>
  <c r="N510" i="57" s="1"/>
  <c r="D510" i="57"/>
  <c r="W509" i="57"/>
  <c r="V509" i="57"/>
  <c r="R509" i="57"/>
  <c r="N509" i="57"/>
  <c r="F509" i="57"/>
  <c r="D509" i="57"/>
  <c r="W508" i="57"/>
  <c r="V508" i="57"/>
  <c r="R508" i="57"/>
  <c r="F508" i="57"/>
  <c r="N508" i="57" s="1"/>
  <c r="D508" i="57"/>
  <c r="W507" i="57"/>
  <c r="V507" i="57"/>
  <c r="X507" i="57" s="1"/>
  <c r="R507" i="57"/>
  <c r="F507" i="57"/>
  <c r="N507" i="57" s="1"/>
  <c r="D507" i="57"/>
  <c r="W506" i="57"/>
  <c r="V506" i="57"/>
  <c r="R506" i="57"/>
  <c r="F506" i="57"/>
  <c r="N506" i="57" s="1"/>
  <c r="D506" i="57"/>
  <c r="W505" i="57"/>
  <c r="V505" i="57"/>
  <c r="X505" i="57" s="1"/>
  <c r="R505" i="57"/>
  <c r="N505" i="57"/>
  <c r="F505" i="57"/>
  <c r="E505" i="57"/>
  <c r="D505" i="57"/>
  <c r="W504" i="57"/>
  <c r="V504" i="57"/>
  <c r="X504" i="57" s="1"/>
  <c r="R504" i="57"/>
  <c r="F504" i="57"/>
  <c r="D504" i="57"/>
  <c r="W503" i="57"/>
  <c r="V503" i="57"/>
  <c r="X503" i="57" s="1"/>
  <c r="R503" i="57"/>
  <c r="N503" i="57"/>
  <c r="F503" i="57"/>
  <c r="D503" i="57"/>
  <c r="W502" i="57"/>
  <c r="V502" i="57"/>
  <c r="R502" i="57"/>
  <c r="N502" i="57"/>
  <c r="F502" i="57"/>
  <c r="D502" i="57"/>
  <c r="W501" i="57"/>
  <c r="V501" i="57"/>
  <c r="R501" i="57"/>
  <c r="N501" i="57"/>
  <c r="F501" i="57"/>
  <c r="D501" i="57"/>
  <c r="W500" i="57"/>
  <c r="V500" i="57"/>
  <c r="R500" i="57"/>
  <c r="F500" i="57"/>
  <c r="N500" i="57" s="1"/>
  <c r="D500" i="57"/>
  <c r="W499" i="57"/>
  <c r="V499" i="57"/>
  <c r="X499" i="57" s="1"/>
  <c r="R499" i="57"/>
  <c r="F499" i="57"/>
  <c r="N499" i="57" s="1"/>
  <c r="D499" i="57"/>
  <c r="W498" i="57"/>
  <c r="V498" i="57"/>
  <c r="X498" i="57" s="1"/>
  <c r="R498" i="57"/>
  <c r="F498" i="57"/>
  <c r="N498" i="57" s="1"/>
  <c r="D498" i="57"/>
  <c r="W497" i="57"/>
  <c r="V497" i="57"/>
  <c r="E497" i="57" s="1"/>
  <c r="R497" i="57"/>
  <c r="N497" i="57"/>
  <c r="F497" i="57"/>
  <c r="D497" i="57"/>
  <c r="W496" i="57"/>
  <c r="V496" i="57"/>
  <c r="X496" i="57" s="1"/>
  <c r="R496" i="57"/>
  <c r="F496" i="57"/>
  <c r="D496" i="57"/>
  <c r="W495" i="57"/>
  <c r="V495" i="57"/>
  <c r="X495" i="57" s="1"/>
  <c r="R495" i="57"/>
  <c r="N495" i="57"/>
  <c r="F495" i="57"/>
  <c r="D495" i="57"/>
  <c r="W494" i="57"/>
  <c r="V494" i="57"/>
  <c r="R494" i="57"/>
  <c r="N494" i="57"/>
  <c r="F494" i="57"/>
  <c r="D494" i="57"/>
  <c r="W493" i="57"/>
  <c r="V493" i="57"/>
  <c r="R493" i="57"/>
  <c r="F493" i="57"/>
  <c r="N493" i="57" s="1"/>
  <c r="D493" i="57"/>
  <c r="W492" i="57"/>
  <c r="V492" i="57"/>
  <c r="R492" i="57"/>
  <c r="F492" i="57"/>
  <c r="N492" i="57" s="1"/>
  <c r="D492" i="57"/>
  <c r="W491" i="57"/>
  <c r="V491" i="57"/>
  <c r="X491" i="57" s="1"/>
  <c r="R491" i="57"/>
  <c r="F491" i="57"/>
  <c r="N491" i="57" s="1"/>
  <c r="E491" i="57"/>
  <c r="D491" i="57"/>
  <c r="X490" i="57"/>
  <c r="W490" i="57"/>
  <c r="V490" i="57"/>
  <c r="R490" i="57"/>
  <c r="F490" i="57"/>
  <c r="N490" i="57" s="1"/>
  <c r="D490" i="57"/>
  <c r="W489" i="57"/>
  <c r="V489" i="57"/>
  <c r="E489" i="57" s="1"/>
  <c r="R489" i="57"/>
  <c r="N489" i="57"/>
  <c r="F489" i="57"/>
  <c r="D489" i="57"/>
  <c r="W488" i="57"/>
  <c r="V488" i="57"/>
  <c r="X488" i="57" s="1"/>
  <c r="R488" i="57"/>
  <c r="F488" i="57"/>
  <c r="D488" i="57"/>
  <c r="W487" i="57"/>
  <c r="V487" i="57"/>
  <c r="R487" i="57"/>
  <c r="N487" i="57"/>
  <c r="F487" i="57"/>
  <c r="D487" i="57"/>
  <c r="W486" i="57"/>
  <c r="V486" i="57"/>
  <c r="R486" i="57"/>
  <c r="F486" i="57"/>
  <c r="N486" i="57" s="1"/>
  <c r="D486" i="57"/>
  <c r="X485" i="57"/>
  <c r="W485" i="57"/>
  <c r="V485" i="57"/>
  <c r="E485" i="57" s="1"/>
  <c r="R485" i="57"/>
  <c r="N485" i="57"/>
  <c r="F485" i="57"/>
  <c r="D485" i="57"/>
  <c r="X484" i="57"/>
  <c r="W484" i="57"/>
  <c r="V484" i="57"/>
  <c r="R484" i="57"/>
  <c r="F484" i="57"/>
  <c r="N484" i="57" s="1"/>
  <c r="E484" i="57"/>
  <c r="D484" i="57"/>
  <c r="W483" i="57"/>
  <c r="V483" i="57"/>
  <c r="R483" i="57"/>
  <c r="F483" i="57"/>
  <c r="N483" i="57" s="1"/>
  <c r="D483" i="57"/>
  <c r="W482" i="57"/>
  <c r="V482" i="57"/>
  <c r="R482" i="57"/>
  <c r="F482" i="57"/>
  <c r="N482" i="57" s="1"/>
  <c r="D482" i="57"/>
  <c r="W481" i="57"/>
  <c r="V481" i="57"/>
  <c r="X481" i="57" s="1"/>
  <c r="R481" i="57"/>
  <c r="F481" i="57"/>
  <c r="D481" i="57"/>
  <c r="W480" i="57"/>
  <c r="V480" i="57"/>
  <c r="X480" i="57" s="1"/>
  <c r="R480" i="57"/>
  <c r="F480" i="57"/>
  <c r="D480" i="57"/>
  <c r="W479" i="57"/>
  <c r="V479" i="57"/>
  <c r="R479" i="57"/>
  <c r="F479" i="57"/>
  <c r="N479" i="57" s="1"/>
  <c r="D479" i="57"/>
  <c r="W478" i="57"/>
  <c r="V478" i="57"/>
  <c r="R478" i="57"/>
  <c r="F478" i="57"/>
  <c r="N478" i="57" s="1"/>
  <c r="D478" i="57"/>
  <c r="W477" i="57"/>
  <c r="V477" i="57"/>
  <c r="E477" i="57" s="1"/>
  <c r="R477" i="57"/>
  <c r="N477" i="57"/>
  <c r="F477" i="57"/>
  <c r="D477" i="57"/>
  <c r="W476" i="57"/>
  <c r="V476" i="57"/>
  <c r="X476" i="57" s="1"/>
  <c r="R476" i="57"/>
  <c r="F476" i="57"/>
  <c r="D476" i="57"/>
  <c r="W475" i="57"/>
  <c r="V475" i="57"/>
  <c r="X475" i="57" s="1"/>
  <c r="R475" i="57"/>
  <c r="F475" i="57"/>
  <c r="N475" i="57" s="1"/>
  <c r="E475" i="57"/>
  <c r="D475" i="57"/>
  <c r="X474" i="57"/>
  <c r="W474" i="57"/>
  <c r="V474" i="57"/>
  <c r="R474" i="57"/>
  <c r="F474" i="57"/>
  <c r="N474" i="57" s="1"/>
  <c r="D474" i="57"/>
  <c r="W473" i="57"/>
  <c r="V473" i="57"/>
  <c r="E473" i="57" s="1"/>
  <c r="R473" i="57"/>
  <c r="N473" i="57"/>
  <c r="F473" i="57"/>
  <c r="D473" i="57"/>
  <c r="W472" i="57"/>
  <c r="V472" i="57"/>
  <c r="X472" i="57" s="1"/>
  <c r="R472" i="57"/>
  <c r="F472" i="57"/>
  <c r="D472" i="57"/>
  <c r="W471" i="57"/>
  <c r="V471" i="57"/>
  <c r="R471" i="57"/>
  <c r="N471" i="57"/>
  <c r="F471" i="57"/>
  <c r="D471" i="57"/>
  <c r="W470" i="57"/>
  <c r="V470" i="57"/>
  <c r="R470" i="57"/>
  <c r="F470" i="57"/>
  <c r="N470" i="57" s="1"/>
  <c r="D470" i="57"/>
  <c r="X469" i="57"/>
  <c r="W469" i="57"/>
  <c r="V469" i="57"/>
  <c r="E469" i="57" s="1"/>
  <c r="R469" i="57"/>
  <c r="N469" i="57"/>
  <c r="F469" i="57"/>
  <c r="D469" i="57"/>
  <c r="X468" i="57"/>
  <c r="W468" i="57"/>
  <c r="V468" i="57"/>
  <c r="E468" i="57" s="1"/>
  <c r="R468" i="57"/>
  <c r="F468" i="57"/>
  <c r="N468" i="57" s="1"/>
  <c r="D468" i="57"/>
  <c r="W467" i="57"/>
  <c r="V467" i="57"/>
  <c r="X467" i="57" s="1"/>
  <c r="R467" i="57"/>
  <c r="F467" i="57"/>
  <c r="N467" i="57" s="1"/>
  <c r="D467" i="57"/>
  <c r="W466" i="57"/>
  <c r="V466" i="57"/>
  <c r="R466" i="57"/>
  <c r="F466" i="57"/>
  <c r="N466" i="57" s="1"/>
  <c r="D466" i="57"/>
  <c r="X465" i="57"/>
  <c r="W465" i="57"/>
  <c r="V465" i="57"/>
  <c r="R465" i="57"/>
  <c r="F465" i="57"/>
  <c r="N465" i="57" s="1"/>
  <c r="E465" i="57"/>
  <c r="D465" i="57"/>
  <c r="X464" i="57"/>
  <c r="W464" i="57"/>
  <c r="V464" i="57"/>
  <c r="R464" i="57"/>
  <c r="F464" i="57"/>
  <c r="D464" i="57"/>
  <c r="W463" i="57"/>
  <c r="V463" i="57"/>
  <c r="R463" i="57"/>
  <c r="N463" i="57"/>
  <c r="F463" i="57"/>
  <c r="D463" i="57"/>
  <c r="W462" i="57"/>
  <c r="V462" i="57"/>
  <c r="R462" i="57"/>
  <c r="N462" i="57"/>
  <c r="F462" i="57"/>
  <c r="D462" i="57"/>
  <c r="W461" i="57"/>
  <c r="V461" i="57"/>
  <c r="R461" i="57"/>
  <c r="N461" i="57"/>
  <c r="F461" i="57"/>
  <c r="D461" i="57"/>
  <c r="W460" i="57"/>
  <c r="V460" i="57"/>
  <c r="E460" i="57" s="1"/>
  <c r="R460" i="57"/>
  <c r="F460" i="57"/>
  <c r="N460" i="57" s="1"/>
  <c r="D460" i="57"/>
  <c r="W459" i="57"/>
  <c r="V459" i="57"/>
  <c r="R459" i="57"/>
  <c r="F459" i="57"/>
  <c r="N459" i="57" s="1"/>
  <c r="D459" i="57"/>
  <c r="W458" i="57"/>
  <c r="V458" i="57"/>
  <c r="R458" i="57"/>
  <c r="F458" i="57"/>
  <c r="N458" i="57" s="1"/>
  <c r="D458" i="57"/>
  <c r="W457" i="57"/>
  <c r="V457" i="57"/>
  <c r="E457" i="57" s="1"/>
  <c r="R457" i="57"/>
  <c r="N457" i="57"/>
  <c r="F457" i="57"/>
  <c r="D457" i="57"/>
  <c r="W456" i="57"/>
  <c r="V456" i="57"/>
  <c r="X456" i="57" s="1"/>
  <c r="R456" i="57"/>
  <c r="F456" i="57"/>
  <c r="D456" i="57"/>
  <c r="W455" i="57"/>
  <c r="V455" i="57"/>
  <c r="R455" i="57"/>
  <c r="F455" i="57"/>
  <c r="N455" i="57" s="1"/>
  <c r="D455" i="57"/>
  <c r="W454" i="57"/>
  <c r="V454" i="57"/>
  <c r="R454" i="57"/>
  <c r="F454" i="57"/>
  <c r="N454" i="57" s="1"/>
  <c r="D454" i="57"/>
  <c r="W453" i="57"/>
  <c r="V453" i="57"/>
  <c r="E453" i="57" s="1"/>
  <c r="R453" i="57"/>
  <c r="N453" i="57"/>
  <c r="F453" i="57"/>
  <c r="D453" i="57"/>
  <c r="W452" i="57"/>
  <c r="V452" i="57"/>
  <c r="X452" i="57" s="1"/>
  <c r="R452" i="57"/>
  <c r="F452" i="57"/>
  <c r="N452" i="57" s="1"/>
  <c r="D452" i="57"/>
  <c r="W451" i="57"/>
  <c r="V451" i="57"/>
  <c r="X451" i="57" s="1"/>
  <c r="R451" i="57"/>
  <c r="F451" i="57"/>
  <c r="N451" i="57" s="1"/>
  <c r="D451" i="57"/>
  <c r="X450" i="57"/>
  <c r="W450" i="57"/>
  <c r="V450" i="57"/>
  <c r="R450" i="57"/>
  <c r="N450" i="57"/>
  <c r="F450" i="57"/>
  <c r="D450" i="57"/>
  <c r="X449" i="57"/>
  <c r="W449" i="57"/>
  <c r="V449" i="57"/>
  <c r="R449" i="57"/>
  <c r="F449" i="57"/>
  <c r="N449" i="57" s="1"/>
  <c r="D449" i="57"/>
  <c r="X448" i="57"/>
  <c r="W448" i="57"/>
  <c r="V448" i="57"/>
  <c r="R448" i="57"/>
  <c r="F448" i="57"/>
  <c r="N448" i="57" s="1"/>
  <c r="D448" i="57"/>
  <c r="W447" i="57"/>
  <c r="V447" i="57"/>
  <c r="R447" i="57"/>
  <c r="F447" i="57"/>
  <c r="N447" i="57" s="1"/>
  <c r="D447" i="57"/>
  <c r="W446" i="57"/>
  <c r="V446" i="57"/>
  <c r="R446" i="57"/>
  <c r="F446" i="57"/>
  <c r="N446" i="57" s="1"/>
  <c r="D446" i="57"/>
  <c r="W445" i="57"/>
  <c r="V445" i="57"/>
  <c r="R445" i="57"/>
  <c r="F445" i="57"/>
  <c r="N445" i="57" s="1"/>
  <c r="D445" i="57"/>
  <c r="W444" i="57"/>
  <c r="V444" i="57"/>
  <c r="R444" i="57"/>
  <c r="N444" i="57"/>
  <c r="F444" i="57"/>
  <c r="D444" i="57"/>
  <c r="W443" i="57"/>
  <c r="V443" i="57"/>
  <c r="R443" i="57"/>
  <c r="F443" i="57"/>
  <c r="N443" i="57" s="1"/>
  <c r="D443" i="57"/>
  <c r="X442" i="57"/>
  <c r="W442" i="57"/>
  <c r="V442" i="57"/>
  <c r="R442" i="57"/>
  <c r="N442" i="57"/>
  <c r="F442" i="57"/>
  <c r="E442" i="57"/>
  <c r="D442" i="57"/>
  <c r="X441" i="57"/>
  <c r="W441" i="57"/>
  <c r="V441" i="57"/>
  <c r="R441" i="57"/>
  <c r="F441" i="57"/>
  <c r="N441" i="57" s="1"/>
  <c r="D441" i="57"/>
  <c r="W440" i="57"/>
  <c r="V440" i="57"/>
  <c r="R440" i="57"/>
  <c r="F440" i="57"/>
  <c r="N440" i="57" s="1"/>
  <c r="D440" i="57"/>
  <c r="W439" i="57"/>
  <c r="V439" i="57"/>
  <c r="R439" i="57"/>
  <c r="F439" i="57"/>
  <c r="N439" i="57" s="1"/>
  <c r="D439" i="57"/>
  <c r="W438" i="57"/>
  <c r="V438" i="57"/>
  <c r="R438" i="57"/>
  <c r="F438" i="57"/>
  <c r="N438" i="57" s="1"/>
  <c r="D438" i="57"/>
  <c r="W437" i="57"/>
  <c r="V437" i="57"/>
  <c r="R437" i="57"/>
  <c r="F437" i="57"/>
  <c r="N437" i="57" s="1"/>
  <c r="D437" i="57"/>
  <c r="W436" i="57"/>
  <c r="V436" i="57"/>
  <c r="E436" i="57" s="1"/>
  <c r="R436" i="57"/>
  <c r="F436" i="57"/>
  <c r="N436" i="57" s="1"/>
  <c r="D436" i="57"/>
  <c r="W435" i="57"/>
  <c r="V435" i="57"/>
  <c r="R435" i="57"/>
  <c r="F435" i="57"/>
  <c r="N435" i="57" s="1"/>
  <c r="D435" i="57"/>
  <c r="W434" i="57"/>
  <c r="V434" i="57"/>
  <c r="X434" i="57" s="1"/>
  <c r="R434" i="57"/>
  <c r="F434" i="57"/>
  <c r="N434" i="57" s="1"/>
  <c r="E434" i="57"/>
  <c r="D434" i="57"/>
  <c r="W433" i="57"/>
  <c r="V433" i="57"/>
  <c r="X433" i="57" s="1"/>
  <c r="R433" i="57"/>
  <c r="F433" i="57"/>
  <c r="N433" i="57" s="1"/>
  <c r="D433" i="57"/>
  <c r="W432" i="57"/>
  <c r="V432" i="57"/>
  <c r="X432" i="57" s="1"/>
  <c r="R432" i="57"/>
  <c r="N432" i="57"/>
  <c r="F432" i="57"/>
  <c r="E432" i="57"/>
  <c r="D432" i="57"/>
  <c r="W431" i="57"/>
  <c r="V431" i="57"/>
  <c r="R431" i="57"/>
  <c r="F431" i="57"/>
  <c r="N431" i="57" s="1"/>
  <c r="D431" i="57"/>
  <c r="W430" i="57"/>
  <c r="V430" i="57"/>
  <c r="R430" i="57"/>
  <c r="F430" i="57"/>
  <c r="N430" i="57" s="1"/>
  <c r="D430" i="57"/>
  <c r="W429" i="57"/>
  <c r="V429" i="57"/>
  <c r="R429" i="57"/>
  <c r="F429" i="57"/>
  <c r="N429" i="57" s="1"/>
  <c r="D429" i="57"/>
  <c r="W428" i="57"/>
  <c r="V428" i="57"/>
  <c r="E428" i="57" s="1"/>
  <c r="R428" i="57"/>
  <c r="F428" i="57"/>
  <c r="N428" i="57" s="1"/>
  <c r="D428" i="57"/>
  <c r="W427" i="57"/>
  <c r="V427" i="57"/>
  <c r="X427" i="57" s="1"/>
  <c r="R427" i="57"/>
  <c r="N427" i="57"/>
  <c r="F427" i="57"/>
  <c r="D427" i="57"/>
  <c r="W426" i="57"/>
  <c r="V426" i="57"/>
  <c r="X426" i="57" s="1"/>
  <c r="R426" i="57"/>
  <c r="F426" i="57"/>
  <c r="D426" i="57"/>
  <c r="X425" i="57"/>
  <c r="W425" i="57"/>
  <c r="V425" i="57"/>
  <c r="R425" i="57"/>
  <c r="N425" i="57"/>
  <c r="F425" i="57"/>
  <c r="D425" i="57"/>
  <c r="W424" i="57"/>
  <c r="V424" i="57"/>
  <c r="X424" i="57" s="1"/>
  <c r="R424" i="57"/>
  <c r="N424" i="57"/>
  <c r="F424" i="57"/>
  <c r="D424" i="57"/>
  <c r="W423" i="57"/>
  <c r="V423" i="57"/>
  <c r="E423" i="57" s="1"/>
  <c r="R423" i="57"/>
  <c r="F423" i="57"/>
  <c r="N423" i="57" s="1"/>
  <c r="D423" i="57"/>
  <c r="W422" i="57"/>
  <c r="V422" i="57"/>
  <c r="R422" i="57"/>
  <c r="F422" i="57"/>
  <c r="N422" i="57" s="1"/>
  <c r="D422" i="57"/>
  <c r="W421" i="57"/>
  <c r="V421" i="57"/>
  <c r="R421" i="57"/>
  <c r="F421" i="57"/>
  <c r="N421" i="57" s="1"/>
  <c r="D421" i="57"/>
  <c r="W420" i="57"/>
  <c r="V420" i="57"/>
  <c r="E420" i="57" s="1"/>
  <c r="R420" i="57"/>
  <c r="F420" i="57"/>
  <c r="N420" i="57" s="1"/>
  <c r="D420" i="57"/>
  <c r="W419" i="57"/>
  <c r="V419" i="57"/>
  <c r="R419" i="57"/>
  <c r="N419" i="57"/>
  <c r="F419" i="57"/>
  <c r="D419" i="57"/>
  <c r="W418" i="57"/>
  <c r="V418" i="57"/>
  <c r="X418" i="57" s="1"/>
  <c r="R418" i="57"/>
  <c r="F418" i="57"/>
  <c r="D418" i="57"/>
  <c r="X417" i="57"/>
  <c r="W417" i="57"/>
  <c r="V417" i="57"/>
  <c r="R417" i="57"/>
  <c r="N417" i="57"/>
  <c r="F417" i="57"/>
  <c r="E417" i="57" s="1"/>
  <c r="D417" i="57"/>
  <c r="W416" i="57"/>
  <c r="V416" i="57"/>
  <c r="X416" i="57" s="1"/>
  <c r="R416" i="57"/>
  <c r="N416" i="57"/>
  <c r="F416" i="57"/>
  <c r="D416" i="57"/>
  <c r="W415" i="57"/>
  <c r="V415" i="57"/>
  <c r="E415" i="57" s="1"/>
  <c r="R415" i="57"/>
  <c r="F415" i="57"/>
  <c r="N415" i="57" s="1"/>
  <c r="D415" i="57"/>
  <c r="W414" i="57"/>
  <c r="V414" i="57"/>
  <c r="R414" i="57"/>
  <c r="F414" i="57"/>
  <c r="N414" i="57" s="1"/>
  <c r="D414" i="57"/>
  <c r="W413" i="57"/>
  <c r="V413" i="57"/>
  <c r="R413" i="57"/>
  <c r="F413" i="57"/>
  <c r="N413" i="57" s="1"/>
  <c r="D413" i="57"/>
  <c r="W412" i="57"/>
  <c r="V412" i="57"/>
  <c r="E412" i="57" s="1"/>
  <c r="R412" i="57"/>
  <c r="F412" i="57"/>
  <c r="N412" i="57" s="1"/>
  <c r="D412" i="57"/>
  <c r="W411" i="57"/>
  <c r="V411" i="57"/>
  <c r="X411" i="57" s="1"/>
  <c r="R411" i="57"/>
  <c r="N411" i="57"/>
  <c r="F411" i="57"/>
  <c r="D411" i="57"/>
  <c r="W410" i="57"/>
  <c r="V410" i="57"/>
  <c r="X410" i="57" s="1"/>
  <c r="R410" i="57"/>
  <c r="F410" i="57"/>
  <c r="D410" i="57"/>
  <c r="X409" i="57"/>
  <c r="W409" i="57"/>
  <c r="V409" i="57"/>
  <c r="R409" i="57"/>
  <c r="F409" i="57"/>
  <c r="E409" i="57" s="1"/>
  <c r="D409" i="57"/>
  <c r="W408" i="57"/>
  <c r="V408" i="57"/>
  <c r="X408" i="57" s="1"/>
  <c r="R408" i="57"/>
  <c r="F408" i="57"/>
  <c r="N408" i="57" s="1"/>
  <c r="D408" i="57"/>
  <c r="W407" i="57"/>
  <c r="V407" i="57"/>
  <c r="E407" i="57" s="1"/>
  <c r="R407" i="57"/>
  <c r="F407" i="57"/>
  <c r="N407" i="57" s="1"/>
  <c r="D407" i="57"/>
  <c r="W406" i="57"/>
  <c r="V406" i="57"/>
  <c r="R406" i="57"/>
  <c r="N406" i="57"/>
  <c r="F406" i="57"/>
  <c r="D406" i="57"/>
  <c r="W405" i="57"/>
  <c r="V405" i="57"/>
  <c r="R405" i="57"/>
  <c r="F405" i="57"/>
  <c r="N405" i="57" s="1"/>
  <c r="D405" i="57"/>
  <c r="X404" i="57"/>
  <c r="W404" i="57"/>
  <c r="V404" i="57"/>
  <c r="E404" i="57" s="1"/>
  <c r="R404" i="57"/>
  <c r="F404" i="57"/>
  <c r="N404" i="57" s="1"/>
  <c r="D404" i="57"/>
  <c r="W403" i="57"/>
  <c r="V403" i="57"/>
  <c r="E403" i="57" s="1"/>
  <c r="R403" i="57"/>
  <c r="N403" i="57"/>
  <c r="F403" i="57"/>
  <c r="D403" i="57"/>
  <c r="W402" i="57"/>
  <c r="V402" i="57"/>
  <c r="X402" i="57" s="1"/>
  <c r="R402" i="57"/>
  <c r="F402" i="57"/>
  <c r="N402" i="57" s="1"/>
  <c r="D402" i="57"/>
  <c r="X401" i="57"/>
  <c r="W401" i="57"/>
  <c r="V401" i="57"/>
  <c r="R401" i="57"/>
  <c r="F401" i="57"/>
  <c r="E401" i="57" s="1"/>
  <c r="D401" i="57"/>
  <c r="W400" i="57"/>
  <c r="V400" i="57"/>
  <c r="X400" i="57" s="1"/>
  <c r="R400" i="57"/>
  <c r="F400" i="57"/>
  <c r="N400" i="57" s="1"/>
  <c r="D400" i="57"/>
  <c r="W399" i="57"/>
  <c r="V399" i="57"/>
  <c r="R399" i="57"/>
  <c r="F399" i="57"/>
  <c r="N399" i="57" s="1"/>
  <c r="D399" i="57"/>
  <c r="W398" i="57"/>
  <c r="V398" i="57"/>
  <c r="R398" i="57"/>
  <c r="N398" i="57"/>
  <c r="F398" i="57"/>
  <c r="D398" i="57"/>
  <c r="W397" i="57"/>
  <c r="V397" i="57"/>
  <c r="R397" i="57"/>
  <c r="F397" i="57"/>
  <c r="N397" i="57" s="1"/>
  <c r="D397" i="57"/>
  <c r="X396" i="57"/>
  <c r="W396" i="57"/>
  <c r="V396" i="57"/>
  <c r="E396" i="57" s="1"/>
  <c r="R396" i="57"/>
  <c r="F396" i="57"/>
  <c r="N396" i="57" s="1"/>
  <c r="D396" i="57"/>
  <c r="W395" i="57"/>
  <c r="V395" i="57"/>
  <c r="E395" i="57" s="1"/>
  <c r="R395" i="57"/>
  <c r="N395" i="57"/>
  <c r="F395" i="57"/>
  <c r="D395" i="57"/>
  <c r="W394" i="57"/>
  <c r="V394" i="57"/>
  <c r="X394" i="57" s="1"/>
  <c r="R394" i="57"/>
  <c r="F394" i="57"/>
  <c r="D394" i="57"/>
  <c r="W393" i="57"/>
  <c r="V393" i="57"/>
  <c r="X393" i="57" s="1"/>
  <c r="R393" i="57"/>
  <c r="F393" i="57"/>
  <c r="E393" i="57" s="1"/>
  <c r="D393" i="57"/>
  <c r="W392" i="57"/>
  <c r="V392" i="57"/>
  <c r="X392" i="57" s="1"/>
  <c r="R392" i="57"/>
  <c r="F392" i="57"/>
  <c r="N392" i="57" s="1"/>
  <c r="D392" i="57"/>
  <c r="W391" i="57"/>
  <c r="V391" i="57"/>
  <c r="X391" i="57" s="1"/>
  <c r="R391" i="57"/>
  <c r="F391" i="57"/>
  <c r="D391" i="57"/>
  <c r="W390" i="57"/>
  <c r="V390" i="57"/>
  <c r="E390" i="57" s="1"/>
  <c r="R390" i="57"/>
  <c r="N390" i="57"/>
  <c r="F390" i="57"/>
  <c r="D390" i="57"/>
  <c r="W389" i="57"/>
  <c r="V389" i="57"/>
  <c r="X389" i="57" s="1"/>
  <c r="R389" i="57"/>
  <c r="F389" i="57"/>
  <c r="N389" i="57" s="1"/>
  <c r="D389" i="57"/>
  <c r="X388" i="57"/>
  <c r="W388" i="57"/>
  <c r="V388" i="57"/>
  <c r="R388" i="57"/>
  <c r="F388" i="57"/>
  <c r="N388" i="57" s="1"/>
  <c r="D388" i="57"/>
  <c r="X387" i="57"/>
  <c r="W387" i="57"/>
  <c r="V387" i="57"/>
  <c r="R387" i="57"/>
  <c r="F387" i="57"/>
  <c r="N387" i="57" s="1"/>
  <c r="D387" i="57"/>
  <c r="W386" i="57"/>
  <c r="U386" i="57"/>
  <c r="T386" i="57"/>
  <c r="S386" i="57"/>
  <c r="R386" i="57"/>
  <c r="F386" i="57"/>
  <c r="N386" i="57" s="1"/>
  <c r="D386" i="57"/>
  <c r="W385" i="57"/>
  <c r="U385" i="57"/>
  <c r="T385" i="57"/>
  <c r="S385" i="57"/>
  <c r="R385" i="57"/>
  <c r="D385" i="57"/>
  <c r="X384" i="57"/>
  <c r="W384" i="57"/>
  <c r="V384" i="57"/>
  <c r="R384" i="57"/>
  <c r="F384" i="57"/>
  <c r="N384" i="57" s="1"/>
  <c r="D384" i="57"/>
  <c r="W383" i="57"/>
  <c r="V383" i="57"/>
  <c r="X383" i="57" s="1"/>
  <c r="R383" i="57"/>
  <c r="F383" i="57"/>
  <c r="D383" i="57"/>
  <c r="W382" i="57"/>
  <c r="V382" i="57"/>
  <c r="X382" i="57" s="1"/>
  <c r="R382" i="57"/>
  <c r="F382" i="57"/>
  <c r="N382" i="57" s="1"/>
  <c r="D382" i="57"/>
  <c r="W381" i="57"/>
  <c r="V381" i="57"/>
  <c r="X381" i="57" s="1"/>
  <c r="R381" i="57"/>
  <c r="F381" i="57"/>
  <c r="D381" i="57"/>
  <c r="X380" i="57"/>
  <c r="W380" i="57"/>
  <c r="V380" i="57"/>
  <c r="E380" i="57" s="1"/>
  <c r="R380" i="57"/>
  <c r="N380" i="57"/>
  <c r="F380" i="57"/>
  <c r="D380" i="57"/>
  <c r="W379" i="57"/>
  <c r="V379" i="57"/>
  <c r="X379" i="57" s="1"/>
  <c r="R379" i="57"/>
  <c r="F379" i="57"/>
  <c r="N379" i="57" s="1"/>
  <c r="D379" i="57"/>
  <c r="W378" i="57"/>
  <c r="V378" i="57"/>
  <c r="E378" i="57" s="1"/>
  <c r="R378" i="57"/>
  <c r="F378" i="57"/>
  <c r="N378" i="57" s="1"/>
  <c r="D378" i="57"/>
  <c r="W377" i="57"/>
  <c r="V377" i="57"/>
  <c r="X377" i="57" s="1"/>
  <c r="R377" i="57"/>
  <c r="N377" i="57"/>
  <c r="F377" i="57"/>
  <c r="D377" i="57"/>
  <c r="W376" i="57"/>
  <c r="V376" i="57"/>
  <c r="X376" i="57" s="1"/>
  <c r="R376" i="57"/>
  <c r="F376" i="57"/>
  <c r="N376" i="57" s="1"/>
  <c r="D376" i="57"/>
  <c r="X375" i="57"/>
  <c r="W375" i="57"/>
  <c r="V375" i="57"/>
  <c r="R375" i="57"/>
  <c r="F375" i="57"/>
  <c r="E375" i="57" s="1"/>
  <c r="D375" i="57"/>
  <c r="W374" i="57"/>
  <c r="V374" i="57"/>
  <c r="R374" i="57"/>
  <c r="N374" i="57"/>
  <c r="F374" i="57"/>
  <c r="D374" i="57"/>
  <c r="W373" i="57"/>
  <c r="V373" i="57"/>
  <c r="X373" i="57" s="1"/>
  <c r="R373" i="57"/>
  <c r="F373" i="57"/>
  <c r="D373" i="57"/>
  <c r="W372" i="57"/>
  <c r="V372" i="57"/>
  <c r="E372" i="57" s="1"/>
  <c r="R372" i="57"/>
  <c r="N372" i="57"/>
  <c r="F372" i="57"/>
  <c r="D372" i="57"/>
  <c r="W371" i="57"/>
  <c r="V371" i="57"/>
  <c r="X371" i="57" s="1"/>
  <c r="R371" i="57"/>
  <c r="F371" i="57"/>
  <c r="N371" i="57" s="1"/>
  <c r="D371" i="57"/>
  <c r="W370" i="57"/>
  <c r="V370" i="57"/>
  <c r="X370" i="57" s="1"/>
  <c r="R370" i="57"/>
  <c r="F370" i="57"/>
  <c r="N370" i="57" s="1"/>
  <c r="D370" i="57"/>
  <c r="W369" i="57"/>
  <c r="V369" i="57"/>
  <c r="X369" i="57" s="1"/>
  <c r="R369" i="57"/>
  <c r="N369" i="57"/>
  <c r="F369" i="57"/>
  <c r="E369" i="57"/>
  <c r="D369" i="57"/>
  <c r="W368" i="57"/>
  <c r="V368" i="57"/>
  <c r="X368" i="57" s="1"/>
  <c r="R368" i="57"/>
  <c r="F368" i="57"/>
  <c r="N368" i="57" s="1"/>
  <c r="D368" i="57"/>
  <c r="X367" i="57"/>
  <c r="W367" i="57"/>
  <c r="V367" i="57"/>
  <c r="R367" i="57"/>
  <c r="F367" i="57"/>
  <c r="D367" i="57"/>
  <c r="W366" i="57"/>
  <c r="V366" i="57"/>
  <c r="X366" i="57" s="1"/>
  <c r="R366" i="57"/>
  <c r="F366" i="57"/>
  <c r="N366" i="57" s="1"/>
  <c r="D366" i="57"/>
  <c r="W365" i="57"/>
  <c r="V365" i="57"/>
  <c r="X365" i="57" s="1"/>
  <c r="R365" i="57"/>
  <c r="F365" i="57"/>
  <c r="D365" i="57"/>
  <c r="X364" i="57"/>
  <c r="W364" i="57"/>
  <c r="V364" i="57"/>
  <c r="R364" i="57"/>
  <c r="F364" i="57"/>
  <c r="N364" i="57" s="1"/>
  <c r="D364" i="57"/>
  <c r="W363" i="57"/>
  <c r="V363" i="57"/>
  <c r="X363" i="57" s="1"/>
  <c r="R363" i="57"/>
  <c r="F363" i="57"/>
  <c r="N363" i="57" s="1"/>
  <c r="D363" i="57"/>
  <c r="X362" i="57"/>
  <c r="W362" i="57"/>
  <c r="V362" i="57"/>
  <c r="R362" i="57"/>
  <c r="F362" i="57"/>
  <c r="N362" i="57" s="1"/>
  <c r="D362" i="57"/>
  <c r="W361" i="57"/>
  <c r="V361" i="57"/>
  <c r="X361" i="57" s="1"/>
  <c r="R361" i="57"/>
  <c r="N361" i="57"/>
  <c r="F361" i="57"/>
  <c r="E361" i="57"/>
  <c r="D361" i="57"/>
  <c r="W360" i="57"/>
  <c r="V360" i="57"/>
  <c r="X360" i="57" s="1"/>
  <c r="R360" i="57"/>
  <c r="F360" i="57"/>
  <c r="N360" i="57" s="1"/>
  <c r="D360" i="57"/>
  <c r="X359" i="57"/>
  <c r="W359" i="57"/>
  <c r="V359" i="57"/>
  <c r="R359" i="57"/>
  <c r="F359" i="57"/>
  <c r="E359" i="57" s="1"/>
  <c r="D359" i="57"/>
  <c r="W358" i="57"/>
  <c r="V358" i="57"/>
  <c r="X358" i="57" s="1"/>
  <c r="R358" i="57"/>
  <c r="F358" i="57"/>
  <c r="N358" i="57" s="1"/>
  <c r="D358" i="57"/>
  <c r="W357" i="57"/>
  <c r="V357" i="57"/>
  <c r="X357" i="57" s="1"/>
  <c r="R357" i="57"/>
  <c r="F357" i="57"/>
  <c r="D357" i="57"/>
  <c r="W356" i="57"/>
  <c r="V356" i="57"/>
  <c r="E356" i="57" s="1"/>
  <c r="R356" i="57"/>
  <c r="F356" i="57"/>
  <c r="N356" i="57" s="1"/>
  <c r="D356" i="57"/>
  <c r="W355" i="57"/>
  <c r="V355" i="57"/>
  <c r="X355" i="57" s="1"/>
  <c r="R355" i="57"/>
  <c r="F355" i="57"/>
  <c r="N355" i="57" s="1"/>
  <c r="D355" i="57"/>
  <c r="X354" i="57"/>
  <c r="W354" i="57"/>
  <c r="V354" i="57"/>
  <c r="R354" i="57"/>
  <c r="F354" i="57"/>
  <c r="N354" i="57" s="1"/>
  <c r="D354" i="57"/>
  <c r="W353" i="57"/>
  <c r="V353" i="57"/>
  <c r="R353" i="57"/>
  <c r="N353" i="57"/>
  <c r="F353" i="57"/>
  <c r="D353" i="57"/>
  <c r="W352" i="57"/>
  <c r="V352" i="57"/>
  <c r="X352" i="57" s="1"/>
  <c r="R352" i="57"/>
  <c r="F352" i="57"/>
  <c r="N352" i="57" s="1"/>
  <c r="D352" i="57"/>
  <c r="W351" i="57"/>
  <c r="V351" i="57"/>
  <c r="X351" i="57" s="1"/>
  <c r="R351" i="57"/>
  <c r="F351" i="57"/>
  <c r="E351" i="57" s="1"/>
  <c r="D351" i="57"/>
  <c r="W350" i="57"/>
  <c r="U350" i="57"/>
  <c r="T350" i="57"/>
  <c r="S350" i="57"/>
  <c r="F350" i="57" s="1"/>
  <c r="N350" i="57" s="1"/>
  <c r="R350" i="57"/>
  <c r="D350" i="57"/>
  <c r="X349" i="57"/>
  <c r="W349" i="57"/>
  <c r="V349" i="57"/>
  <c r="E349" i="57" s="1"/>
  <c r="R349" i="57"/>
  <c r="F349" i="57"/>
  <c r="N349" i="57" s="1"/>
  <c r="D349" i="57"/>
  <c r="W348" i="57"/>
  <c r="V348" i="57"/>
  <c r="R348" i="57"/>
  <c r="F348" i="57"/>
  <c r="N348" i="57" s="1"/>
  <c r="D348" i="57"/>
  <c r="W347" i="57"/>
  <c r="V347" i="57"/>
  <c r="X347" i="57" s="1"/>
  <c r="R347" i="57"/>
  <c r="F347" i="57"/>
  <c r="N347" i="57" s="1"/>
  <c r="D347" i="57"/>
  <c r="W346" i="57"/>
  <c r="V346" i="57"/>
  <c r="X346" i="57" s="1"/>
  <c r="R346" i="57"/>
  <c r="N346" i="57"/>
  <c r="F346" i="57"/>
  <c r="E346" i="57" s="1"/>
  <c r="D346" i="57"/>
  <c r="W345" i="57"/>
  <c r="V345" i="57"/>
  <c r="X345" i="57" s="1"/>
  <c r="R345" i="57"/>
  <c r="F345" i="57"/>
  <c r="N345" i="57" s="1"/>
  <c r="E345" i="57"/>
  <c r="D345" i="57"/>
  <c r="X344" i="57"/>
  <c r="W344" i="57"/>
  <c r="V344" i="57"/>
  <c r="R344" i="57"/>
  <c r="F344" i="57"/>
  <c r="D344" i="57"/>
  <c r="W343" i="57"/>
  <c r="V343" i="57"/>
  <c r="E343" i="57" s="1"/>
  <c r="R343" i="57"/>
  <c r="N343" i="57"/>
  <c r="F343" i="57"/>
  <c r="D343" i="57"/>
  <c r="W342" i="57"/>
  <c r="V342" i="57"/>
  <c r="X342" i="57" s="1"/>
  <c r="R342" i="57"/>
  <c r="F342" i="57"/>
  <c r="N342" i="57" s="1"/>
  <c r="D342" i="57"/>
  <c r="W341" i="57"/>
  <c r="V341" i="57"/>
  <c r="E341" i="57" s="1"/>
  <c r="R341" i="57"/>
  <c r="F341" i="57"/>
  <c r="N341" i="57" s="1"/>
  <c r="D341" i="57"/>
  <c r="W340" i="57"/>
  <c r="V340" i="57"/>
  <c r="R340" i="57"/>
  <c r="F340" i="57"/>
  <c r="N340" i="57" s="1"/>
  <c r="D340" i="57"/>
  <c r="X339" i="57"/>
  <c r="W339" i="57"/>
  <c r="V339" i="57"/>
  <c r="R339" i="57"/>
  <c r="F339" i="57"/>
  <c r="N339" i="57" s="1"/>
  <c r="E339" i="57"/>
  <c r="D339" i="57"/>
  <c r="W338" i="57"/>
  <c r="V338" i="57"/>
  <c r="X338" i="57" s="1"/>
  <c r="R338" i="57"/>
  <c r="N338" i="57"/>
  <c r="F338" i="57"/>
  <c r="D338" i="57"/>
  <c r="W337" i="57"/>
  <c r="V337" i="57"/>
  <c r="X337" i="57" s="1"/>
  <c r="R337" i="57"/>
  <c r="N337" i="57"/>
  <c r="F337" i="57"/>
  <c r="D337" i="57"/>
  <c r="W336" i="57"/>
  <c r="V336" i="57"/>
  <c r="X336" i="57" s="1"/>
  <c r="R336" i="57"/>
  <c r="F336" i="57"/>
  <c r="D336" i="57"/>
  <c r="W335" i="57"/>
  <c r="V335" i="57"/>
  <c r="R335" i="57"/>
  <c r="F335" i="57"/>
  <c r="N335" i="57" s="1"/>
  <c r="D335" i="57"/>
  <c r="W334" i="57"/>
  <c r="V334" i="57"/>
  <c r="X334" i="57" s="1"/>
  <c r="R334" i="57"/>
  <c r="N334" i="57"/>
  <c r="F334" i="57"/>
  <c r="D334" i="57"/>
  <c r="X333" i="57"/>
  <c r="W333" i="57"/>
  <c r="V333" i="57"/>
  <c r="R333" i="57"/>
  <c r="F333" i="57"/>
  <c r="N333" i="57" s="1"/>
  <c r="D333" i="57"/>
  <c r="W332" i="57"/>
  <c r="V332" i="57"/>
  <c r="X332" i="57" s="1"/>
  <c r="R332" i="57"/>
  <c r="F332" i="57"/>
  <c r="N332" i="57" s="1"/>
  <c r="D332" i="57"/>
  <c r="X331" i="57"/>
  <c r="W331" i="57"/>
  <c r="V331" i="57"/>
  <c r="R331" i="57"/>
  <c r="F331" i="57"/>
  <c r="N331" i="57" s="1"/>
  <c r="D331" i="57"/>
  <c r="W330" i="57"/>
  <c r="V330" i="57"/>
  <c r="X330" i="57" s="1"/>
  <c r="R330" i="57"/>
  <c r="F330" i="57"/>
  <c r="N330" i="57" s="1"/>
  <c r="E330" i="57"/>
  <c r="D330" i="57"/>
  <c r="W329" i="57"/>
  <c r="V329" i="57"/>
  <c r="X329" i="57" s="1"/>
  <c r="R329" i="57"/>
  <c r="F329" i="57"/>
  <c r="N329" i="57" s="1"/>
  <c r="D329" i="57"/>
  <c r="X328" i="57"/>
  <c r="W328" i="57"/>
  <c r="V328" i="57"/>
  <c r="R328" i="57"/>
  <c r="F328" i="57"/>
  <c r="D328" i="57"/>
  <c r="W327" i="57"/>
  <c r="V327" i="57"/>
  <c r="E327" i="57" s="1"/>
  <c r="R327" i="57"/>
  <c r="F327" i="57"/>
  <c r="N327" i="57" s="1"/>
  <c r="D327" i="57"/>
  <c r="W326" i="57"/>
  <c r="V326" i="57"/>
  <c r="X326" i="57" s="1"/>
  <c r="R326" i="57"/>
  <c r="F326" i="57"/>
  <c r="N326" i="57" s="1"/>
  <c r="D326" i="57"/>
  <c r="W325" i="57"/>
  <c r="V325" i="57"/>
  <c r="R325" i="57"/>
  <c r="F325" i="57"/>
  <c r="N325" i="57" s="1"/>
  <c r="D325" i="57"/>
  <c r="X324" i="57"/>
  <c r="W324" i="57"/>
  <c r="V324" i="57"/>
  <c r="R324" i="57"/>
  <c r="F324" i="57"/>
  <c r="N324" i="57" s="1"/>
  <c r="D324" i="57"/>
  <c r="X323" i="57"/>
  <c r="W323" i="57"/>
  <c r="V323" i="57"/>
  <c r="R323" i="57"/>
  <c r="F323" i="57"/>
  <c r="N323" i="57" s="1"/>
  <c r="E323" i="57"/>
  <c r="D323" i="57"/>
  <c r="X322" i="57"/>
  <c r="W322" i="57"/>
  <c r="V322" i="57"/>
  <c r="E322" i="57" s="1"/>
  <c r="R322" i="57"/>
  <c r="F322" i="57"/>
  <c r="N322" i="57" s="1"/>
  <c r="D322" i="57"/>
  <c r="W321" i="57"/>
  <c r="V321" i="57"/>
  <c r="X321" i="57" s="1"/>
  <c r="R321" i="57"/>
  <c r="F321" i="57"/>
  <c r="N321" i="57" s="1"/>
  <c r="D321" i="57"/>
  <c r="W320" i="57"/>
  <c r="V320" i="57"/>
  <c r="X320" i="57" s="1"/>
  <c r="R320" i="57"/>
  <c r="F320" i="57"/>
  <c r="E320" i="57" s="1"/>
  <c r="D320" i="57"/>
  <c r="X319" i="57"/>
  <c r="W319" i="57"/>
  <c r="V319" i="57"/>
  <c r="R319" i="57"/>
  <c r="F319" i="57"/>
  <c r="N319" i="57" s="1"/>
  <c r="D319" i="57"/>
  <c r="W318" i="57"/>
  <c r="V318" i="57"/>
  <c r="X318" i="57" s="1"/>
  <c r="R318" i="57"/>
  <c r="F318" i="57"/>
  <c r="N318" i="57" s="1"/>
  <c r="D318" i="57"/>
  <c r="X317" i="57"/>
  <c r="W317" i="57"/>
  <c r="V317" i="57"/>
  <c r="R317" i="57"/>
  <c r="F317" i="57"/>
  <c r="N317" i="57" s="1"/>
  <c r="D317" i="57"/>
  <c r="W316" i="57"/>
  <c r="V316" i="57"/>
  <c r="R316" i="57"/>
  <c r="F316" i="57"/>
  <c r="N316" i="57" s="1"/>
  <c r="D316" i="57"/>
  <c r="W315" i="57"/>
  <c r="V315" i="57"/>
  <c r="X315" i="57" s="1"/>
  <c r="R315" i="57"/>
  <c r="F315" i="57"/>
  <c r="N315" i="57" s="1"/>
  <c r="D315" i="57"/>
  <c r="X314" i="57"/>
  <c r="W314" i="57"/>
  <c r="V314" i="57"/>
  <c r="R314" i="57"/>
  <c r="F314" i="57"/>
  <c r="N314" i="57" s="1"/>
  <c r="D314" i="57"/>
  <c r="W313" i="57"/>
  <c r="V313" i="57"/>
  <c r="R313" i="57"/>
  <c r="F313" i="57"/>
  <c r="N313" i="57" s="1"/>
  <c r="D313" i="57"/>
  <c r="X312" i="57"/>
  <c r="W312" i="57"/>
  <c r="V312" i="57"/>
  <c r="R312" i="57"/>
  <c r="F312" i="57"/>
  <c r="D312" i="57"/>
  <c r="W311" i="57"/>
  <c r="V311" i="57"/>
  <c r="R311" i="57"/>
  <c r="F311" i="57"/>
  <c r="N311" i="57" s="1"/>
  <c r="D311" i="57"/>
  <c r="W310" i="57"/>
  <c r="V310" i="57"/>
  <c r="R310" i="57"/>
  <c r="N310" i="57"/>
  <c r="F310" i="57"/>
  <c r="D310" i="57"/>
  <c r="W309" i="57"/>
  <c r="V309" i="57"/>
  <c r="R309" i="57"/>
  <c r="F309" i="57"/>
  <c r="N309" i="57" s="1"/>
  <c r="D309" i="57"/>
  <c r="W308" i="57"/>
  <c r="V308" i="57"/>
  <c r="R308" i="57"/>
  <c r="N308" i="57"/>
  <c r="F308" i="57"/>
  <c r="D308" i="57"/>
  <c r="W307" i="57"/>
  <c r="V307" i="57"/>
  <c r="R307" i="57"/>
  <c r="F307" i="57"/>
  <c r="N307" i="57" s="1"/>
  <c r="D307" i="57"/>
  <c r="X306" i="57"/>
  <c r="W306" i="57"/>
  <c r="V306" i="57"/>
  <c r="E306" i="57" s="1"/>
  <c r="R306" i="57"/>
  <c r="F306" i="57"/>
  <c r="N306" i="57" s="1"/>
  <c r="D306" i="57"/>
  <c r="W305" i="57"/>
  <c r="V305" i="57"/>
  <c r="R305" i="57"/>
  <c r="F305" i="57"/>
  <c r="N305" i="57" s="1"/>
  <c r="D305" i="57"/>
  <c r="X304" i="57"/>
  <c r="W304" i="57"/>
  <c r="V304" i="57"/>
  <c r="R304" i="57"/>
  <c r="F304" i="57"/>
  <c r="N304" i="57" s="1"/>
  <c r="E304" i="57"/>
  <c r="D304" i="57"/>
  <c r="X303" i="57"/>
  <c r="W303" i="57"/>
  <c r="V303" i="57"/>
  <c r="E303" i="57" s="1"/>
  <c r="R303" i="57"/>
  <c r="F303" i="57"/>
  <c r="N303" i="57" s="1"/>
  <c r="D303" i="57"/>
  <c r="W302" i="57"/>
  <c r="V302" i="57"/>
  <c r="R302" i="57"/>
  <c r="F302" i="57"/>
  <c r="N302" i="57" s="1"/>
  <c r="D302" i="57"/>
  <c r="W301" i="57"/>
  <c r="V301" i="57"/>
  <c r="R301" i="57"/>
  <c r="F301" i="57"/>
  <c r="N301" i="57" s="1"/>
  <c r="D301" i="57"/>
  <c r="W300" i="57"/>
  <c r="V300" i="57"/>
  <c r="R300" i="57"/>
  <c r="F300" i="57"/>
  <c r="N300" i="57" s="1"/>
  <c r="D300" i="57"/>
  <c r="W299" i="57"/>
  <c r="V299" i="57"/>
  <c r="R299" i="57"/>
  <c r="F299" i="57"/>
  <c r="N299" i="57" s="1"/>
  <c r="D299" i="57"/>
  <c r="W298" i="57"/>
  <c r="V298" i="57"/>
  <c r="R298" i="57"/>
  <c r="F298" i="57"/>
  <c r="N298" i="57" s="1"/>
  <c r="D298" i="57"/>
  <c r="W297" i="57"/>
  <c r="V297" i="57"/>
  <c r="R297" i="57"/>
  <c r="F297" i="57"/>
  <c r="N297" i="57" s="1"/>
  <c r="D297" i="57"/>
  <c r="X296" i="57"/>
  <c r="W296" i="57"/>
  <c r="V296" i="57"/>
  <c r="E296" i="57" s="1"/>
  <c r="R296" i="57"/>
  <c r="F296" i="57"/>
  <c r="N296" i="57" s="1"/>
  <c r="D296" i="57"/>
  <c r="W295" i="57"/>
  <c r="V295" i="57"/>
  <c r="R295" i="57"/>
  <c r="F295" i="57"/>
  <c r="N295" i="57" s="1"/>
  <c r="D295" i="57"/>
  <c r="W294" i="57"/>
  <c r="V294" i="57"/>
  <c r="X294" i="57" s="1"/>
  <c r="R294" i="57"/>
  <c r="F294" i="57"/>
  <c r="N294" i="57" s="1"/>
  <c r="E294" i="57"/>
  <c r="D294" i="57"/>
  <c r="W293" i="57"/>
  <c r="V293" i="57"/>
  <c r="X293" i="57" s="1"/>
  <c r="R293" i="57"/>
  <c r="F293" i="57"/>
  <c r="N293" i="57" s="1"/>
  <c r="D293" i="57"/>
  <c r="W292" i="57"/>
  <c r="V292" i="57"/>
  <c r="X292" i="57" s="1"/>
  <c r="R292" i="57"/>
  <c r="F292" i="57"/>
  <c r="D292" i="57"/>
  <c r="W291" i="57"/>
  <c r="V291" i="57"/>
  <c r="R291" i="57"/>
  <c r="F291" i="57"/>
  <c r="N291" i="57" s="1"/>
  <c r="D291" i="57"/>
  <c r="W290" i="57"/>
  <c r="V290" i="57"/>
  <c r="E290" i="57" s="1"/>
  <c r="R290" i="57"/>
  <c r="N290" i="57"/>
  <c r="F290" i="57"/>
  <c r="D290" i="57"/>
  <c r="W289" i="57"/>
  <c r="V289" i="57"/>
  <c r="R289" i="57"/>
  <c r="F289" i="57"/>
  <c r="N289" i="57" s="1"/>
  <c r="D289" i="57"/>
  <c r="W288" i="57"/>
  <c r="V288" i="57"/>
  <c r="R288" i="57"/>
  <c r="N288" i="57"/>
  <c r="F288" i="57"/>
  <c r="D288" i="57"/>
  <c r="W287" i="57"/>
  <c r="V287" i="57"/>
  <c r="X287" i="57" s="1"/>
  <c r="R287" i="57"/>
  <c r="F287" i="57"/>
  <c r="N287" i="57" s="1"/>
  <c r="E287" i="57"/>
  <c r="D287" i="57"/>
  <c r="X286" i="57"/>
  <c r="W286" i="57"/>
  <c r="V286" i="57"/>
  <c r="R286" i="57"/>
  <c r="F286" i="57"/>
  <c r="N286" i="57" s="1"/>
  <c r="E286" i="57"/>
  <c r="D286" i="57"/>
  <c r="W285" i="57"/>
  <c r="V285" i="57"/>
  <c r="X285" i="57" s="1"/>
  <c r="R285" i="57"/>
  <c r="F285" i="57"/>
  <c r="N285" i="57" s="1"/>
  <c r="E285" i="57"/>
  <c r="D285" i="57"/>
  <c r="W284" i="57"/>
  <c r="V284" i="57"/>
  <c r="X284" i="57" s="1"/>
  <c r="R284" i="57"/>
  <c r="F284" i="57"/>
  <c r="D284" i="57"/>
  <c r="W283" i="57"/>
  <c r="V283" i="57"/>
  <c r="E283" i="57" s="1"/>
  <c r="R283" i="57"/>
  <c r="N283" i="57"/>
  <c r="F283" i="57"/>
  <c r="D283" i="57"/>
  <c r="W282" i="57"/>
  <c r="V282" i="57"/>
  <c r="R282" i="57"/>
  <c r="F282" i="57"/>
  <c r="N282" i="57" s="1"/>
  <c r="D282" i="57"/>
  <c r="W281" i="57"/>
  <c r="V281" i="57"/>
  <c r="R281" i="57"/>
  <c r="F281" i="57"/>
  <c r="N281" i="57" s="1"/>
  <c r="D281" i="57"/>
  <c r="W280" i="57"/>
  <c r="V280" i="57"/>
  <c r="R280" i="57"/>
  <c r="F280" i="57"/>
  <c r="N280" i="57" s="1"/>
  <c r="D280" i="57"/>
  <c r="W279" i="57"/>
  <c r="V279" i="57"/>
  <c r="R279" i="57"/>
  <c r="F279" i="57"/>
  <c r="N279" i="57" s="1"/>
  <c r="D279" i="57"/>
  <c r="W278" i="57"/>
  <c r="V278" i="57"/>
  <c r="X278" i="57" s="1"/>
  <c r="R278" i="57"/>
  <c r="F278" i="57"/>
  <c r="N278" i="57" s="1"/>
  <c r="E278" i="57"/>
  <c r="D278" i="57"/>
  <c r="W277" i="57"/>
  <c r="V277" i="57"/>
  <c r="X277" i="57" s="1"/>
  <c r="R277" i="57"/>
  <c r="F277" i="57"/>
  <c r="N277" i="57" s="1"/>
  <c r="D277" i="57"/>
  <c r="W276" i="57"/>
  <c r="V276" i="57"/>
  <c r="X276" i="57" s="1"/>
  <c r="R276" i="57"/>
  <c r="F276" i="57"/>
  <c r="D276" i="57"/>
  <c r="W275" i="57"/>
  <c r="V275" i="57"/>
  <c r="R275" i="57"/>
  <c r="F275" i="57"/>
  <c r="N275" i="57" s="1"/>
  <c r="D275" i="57"/>
  <c r="W274" i="57"/>
  <c r="V274" i="57"/>
  <c r="E274" i="57" s="1"/>
  <c r="R274" i="57"/>
  <c r="N274" i="57"/>
  <c r="F274" i="57"/>
  <c r="D274" i="57"/>
  <c r="X273" i="57"/>
  <c r="W273" i="57"/>
  <c r="V273" i="57"/>
  <c r="E273" i="57" s="1"/>
  <c r="R273" i="57"/>
  <c r="F273" i="57"/>
  <c r="N273" i="57" s="1"/>
  <c r="D273" i="57"/>
  <c r="W272" i="57"/>
  <c r="V272" i="57"/>
  <c r="R272" i="57"/>
  <c r="F272" i="57"/>
  <c r="N272" i="57" s="1"/>
  <c r="D272" i="57"/>
  <c r="W271" i="57"/>
  <c r="V271" i="57"/>
  <c r="R271" i="57"/>
  <c r="F271" i="57"/>
  <c r="N271" i="57" s="1"/>
  <c r="D271" i="57"/>
  <c r="X270" i="57"/>
  <c r="W270" i="57"/>
  <c r="V270" i="57"/>
  <c r="R270" i="57"/>
  <c r="F270" i="57"/>
  <c r="N270" i="57" s="1"/>
  <c r="E270" i="57"/>
  <c r="D270" i="57"/>
  <c r="X269" i="57"/>
  <c r="W269" i="57"/>
  <c r="V269" i="57"/>
  <c r="E269" i="57" s="1"/>
  <c r="R269" i="57"/>
  <c r="F269" i="57"/>
  <c r="N269" i="57" s="1"/>
  <c r="D269" i="57"/>
  <c r="W268" i="57"/>
  <c r="V268" i="57"/>
  <c r="X268" i="57" s="1"/>
  <c r="R268" i="57"/>
  <c r="F268" i="57"/>
  <c r="D268" i="57"/>
  <c r="W267" i="57"/>
  <c r="V267" i="57"/>
  <c r="R267" i="57"/>
  <c r="F267" i="57"/>
  <c r="N267" i="57" s="1"/>
  <c r="D267" i="57"/>
  <c r="W266" i="57"/>
  <c r="V266" i="57"/>
  <c r="R266" i="57"/>
  <c r="F266" i="57"/>
  <c r="N266" i="57" s="1"/>
  <c r="D266" i="57"/>
  <c r="X265" i="57"/>
  <c r="W265" i="57"/>
  <c r="V265" i="57"/>
  <c r="E265" i="57" s="1"/>
  <c r="R265" i="57"/>
  <c r="F265" i="57"/>
  <c r="N265" i="57" s="1"/>
  <c r="D265" i="57"/>
  <c r="W264" i="57"/>
  <c r="V264" i="57"/>
  <c r="X264" i="57" s="1"/>
  <c r="R264" i="57"/>
  <c r="F264" i="57"/>
  <c r="N264" i="57" s="1"/>
  <c r="D264" i="57"/>
  <c r="W263" i="57"/>
  <c r="V263" i="57"/>
  <c r="X263" i="57" s="1"/>
  <c r="R263" i="57"/>
  <c r="F263" i="57"/>
  <c r="N263" i="57" s="1"/>
  <c r="D263" i="57"/>
  <c r="X262" i="57"/>
  <c r="W262" i="57"/>
  <c r="V262" i="57"/>
  <c r="R262" i="57"/>
  <c r="F262" i="57"/>
  <c r="N262" i="57" s="1"/>
  <c r="D262" i="57"/>
  <c r="X261" i="57"/>
  <c r="W261" i="57"/>
  <c r="V261" i="57"/>
  <c r="R261" i="57"/>
  <c r="F261" i="57"/>
  <c r="D261" i="57"/>
  <c r="W260" i="57"/>
  <c r="V260" i="57"/>
  <c r="X260" i="57" s="1"/>
  <c r="R260" i="57"/>
  <c r="F260" i="57"/>
  <c r="D260" i="57"/>
  <c r="W259" i="57"/>
  <c r="V259" i="57"/>
  <c r="R259" i="57"/>
  <c r="F259" i="57"/>
  <c r="N259" i="57" s="1"/>
  <c r="D259" i="57"/>
  <c r="W258" i="57"/>
  <c r="V258" i="57"/>
  <c r="R258" i="57"/>
  <c r="F258" i="57"/>
  <c r="N258" i="57" s="1"/>
  <c r="D258" i="57"/>
  <c r="X257" i="57"/>
  <c r="W257" i="57"/>
  <c r="V257" i="57"/>
  <c r="R257" i="57"/>
  <c r="F257" i="57"/>
  <c r="N257" i="57" s="1"/>
  <c r="D257" i="57"/>
  <c r="W256" i="57"/>
  <c r="V256" i="57"/>
  <c r="R256" i="57"/>
  <c r="N256" i="57"/>
  <c r="F256" i="57"/>
  <c r="D256" i="57"/>
  <c r="X255" i="57"/>
  <c r="W255" i="57"/>
  <c r="V255" i="57"/>
  <c r="R255" i="57"/>
  <c r="F255" i="57"/>
  <c r="N255" i="57" s="1"/>
  <c r="E255" i="57"/>
  <c r="D255" i="57"/>
  <c r="X254" i="57"/>
  <c r="W254" i="57"/>
  <c r="V254" i="57"/>
  <c r="R254" i="57"/>
  <c r="F254" i="57"/>
  <c r="N254" i="57" s="1"/>
  <c r="E254" i="57"/>
  <c r="D254" i="57"/>
  <c r="W253" i="57"/>
  <c r="V253" i="57"/>
  <c r="X253" i="57" s="1"/>
  <c r="R253" i="57"/>
  <c r="F253" i="57"/>
  <c r="D253" i="57"/>
  <c r="W252" i="57"/>
  <c r="V252" i="57"/>
  <c r="X252" i="57" s="1"/>
  <c r="R252" i="57"/>
  <c r="F252" i="57"/>
  <c r="D252" i="57"/>
  <c r="W251" i="57"/>
  <c r="V251" i="57"/>
  <c r="R251" i="57"/>
  <c r="F251" i="57"/>
  <c r="N251" i="57" s="1"/>
  <c r="D251" i="57"/>
  <c r="W250" i="57"/>
  <c r="V250" i="57"/>
  <c r="R250" i="57"/>
  <c r="N250" i="57"/>
  <c r="F250" i="57"/>
  <c r="D250" i="57"/>
  <c r="W249" i="57"/>
  <c r="V249" i="57"/>
  <c r="R249" i="57"/>
  <c r="F249" i="57"/>
  <c r="N249" i="57" s="1"/>
  <c r="D249" i="57"/>
  <c r="W248" i="57"/>
  <c r="V248" i="57"/>
  <c r="E248" i="57" s="1"/>
  <c r="R248" i="57"/>
  <c r="N248" i="57"/>
  <c r="F248" i="57"/>
  <c r="D248" i="57"/>
  <c r="W247" i="57"/>
  <c r="V247" i="57"/>
  <c r="X247" i="57" s="1"/>
  <c r="R247" i="57"/>
  <c r="F247" i="57"/>
  <c r="N247" i="57" s="1"/>
  <c r="E247" i="57"/>
  <c r="D247" i="57"/>
  <c r="W246" i="57"/>
  <c r="V246" i="57"/>
  <c r="R246" i="57"/>
  <c r="F246" i="57"/>
  <c r="N246" i="57" s="1"/>
  <c r="D246" i="57"/>
  <c r="X245" i="57"/>
  <c r="W245" i="57"/>
  <c r="V245" i="57"/>
  <c r="R245" i="57"/>
  <c r="F245" i="57"/>
  <c r="N245" i="57" s="1"/>
  <c r="D245" i="57"/>
  <c r="W244" i="57"/>
  <c r="V244" i="57"/>
  <c r="X244" i="57" s="1"/>
  <c r="R244" i="57"/>
  <c r="F244" i="57"/>
  <c r="N244" i="57" s="1"/>
  <c r="D244" i="57"/>
  <c r="W243" i="57"/>
  <c r="V243" i="57"/>
  <c r="R243" i="57"/>
  <c r="F243" i="57"/>
  <c r="N243" i="57" s="1"/>
  <c r="D243" i="57"/>
  <c r="W242" i="57"/>
  <c r="V242" i="57"/>
  <c r="R242" i="57"/>
  <c r="N242" i="57"/>
  <c r="F242" i="57"/>
  <c r="D242" i="57"/>
  <c r="W241" i="57"/>
  <c r="V241" i="57"/>
  <c r="E241" i="57" s="1"/>
  <c r="R241" i="57"/>
  <c r="F241" i="57"/>
  <c r="N241" i="57" s="1"/>
  <c r="D241" i="57"/>
  <c r="W240" i="57"/>
  <c r="V240" i="57"/>
  <c r="R240" i="57"/>
  <c r="F240" i="57"/>
  <c r="N240" i="57" s="1"/>
  <c r="D240" i="57"/>
  <c r="W239" i="57"/>
  <c r="V239" i="57"/>
  <c r="R239" i="57"/>
  <c r="F239" i="57"/>
  <c r="N239" i="57" s="1"/>
  <c r="D239" i="57"/>
  <c r="W238" i="57"/>
  <c r="V238" i="57"/>
  <c r="X238" i="57" s="1"/>
  <c r="R238" i="57"/>
  <c r="F238" i="57"/>
  <c r="N238" i="57" s="1"/>
  <c r="D238" i="57"/>
  <c r="X237" i="57"/>
  <c r="W237" i="57"/>
  <c r="V237" i="57"/>
  <c r="R237" i="57"/>
  <c r="F237" i="57"/>
  <c r="D237" i="57"/>
  <c r="W236" i="57"/>
  <c r="V236" i="57"/>
  <c r="X236" i="57" s="1"/>
  <c r="R236" i="57"/>
  <c r="F236" i="57"/>
  <c r="E236" i="57" s="1"/>
  <c r="D236" i="57"/>
  <c r="W235" i="57"/>
  <c r="V235" i="57"/>
  <c r="R235" i="57"/>
  <c r="N235" i="57"/>
  <c r="F235" i="57"/>
  <c r="D235" i="57"/>
  <c r="W234" i="57"/>
  <c r="V234" i="57"/>
  <c r="X234" i="57" s="1"/>
  <c r="R234" i="57"/>
  <c r="F234" i="57"/>
  <c r="N234" i="57" s="1"/>
  <c r="E234" i="57"/>
  <c r="D234" i="57"/>
  <c r="W233" i="57"/>
  <c r="V233" i="57"/>
  <c r="R233" i="57"/>
  <c r="F233" i="57"/>
  <c r="N233" i="57" s="1"/>
  <c r="D233" i="57"/>
  <c r="X232" i="57"/>
  <c r="W232" i="57"/>
  <c r="V232" i="57"/>
  <c r="R232" i="57"/>
  <c r="F232" i="57"/>
  <c r="N232" i="57" s="1"/>
  <c r="D232" i="57"/>
  <c r="X231" i="57"/>
  <c r="W231" i="57"/>
  <c r="V231" i="57"/>
  <c r="R231" i="57"/>
  <c r="F231" i="57"/>
  <c r="N231" i="57" s="1"/>
  <c r="E231" i="57"/>
  <c r="D231" i="57"/>
  <c r="W230" i="57"/>
  <c r="V230" i="57"/>
  <c r="R230" i="57"/>
  <c r="F230" i="57"/>
  <c r="N230" i="57" s="1"/>
  <c r="D230" i="57"/>
  <c r="X229" i="57"/>
  <c r="W229" i="57"/>
  <c r="V229" i="57"/>
  <c r="R229" i="57"/>
  <c r="F229" i="57"/>
  <c r="D229" i="57"/>
  <c r="W228" i="57"/>
  <c r="V228" i="57"/>
  <c r="X228" i="57" s="1"/>
  <c r="R228" i="57"/>
  <c r="F228" i="57"/>
  <c r="D228" i="57"/>
  <c r="W227" i="57"/>
  <c r="V227" i="57"/>
  <c r="R227" i="57"/>
  <c r="F227" i="57"/>
  <c r="N227" i="57" s="1"/>
  <c r="D227" i="57"/>
  <c r="W226" i="57"/>
  <c r="V226" i="57"/>
  <c r="R226" i="57"/>
  <c r="F226" i="57"/>
  <c r="N226" i="57" s="1"/>
  <c r="D226" i="57"/>
  <c r="W225" i="57"/>
  <c r="V225" i="57"/>
  <c r="R225" i="57"/>
  <c r="F225" i="57"/>
  <c r="N225" i="57" s="1"/>
  <c r="D225" i="57"/>
  <c r="W224" i="57"/>
  <c r="V224" i="57"/>
  <c r="X224" i="57" s="1"/>
  <c r="R224" i="57"/>
  <c r="F224" i="57"/>
  <c r="N224" i="57" s="1"/>
  <c r="D224" i="57"/>
  <c r="X223" i="57"/>
  <c r="W223" i="57"/>
  <c r="V223" i="57"/>
  <c r="R223" i="57"/>
  <c r="F223" i="57"/>
  <c r="N223" i="57" s="1"/>
  <c r="E223" i="57"/>
  <c r="D223" i="57"/>
  <c r="X222" i="57"/>
  <c r="W222" i="57"/>
  <c r="V222" i="57"/>
  <c r="R222" i="57"/>
  <c r="F222" i="57"/>
  <c r="D222" i="57"/>
  <c r="X221" i="57"/>
  <c r="W221" i="57"/>
  <c r="V221" i="57"/>
  <c r="R221" i="57"/>
  <c r="F221" i="57"/>
  <c r="D221" i="57"/>
  <c r="W220" i="57"/>
  <c r="V220" i="57"/>
  <c r="X220" i="57" s="1"/>
  <c r="R220" i="57"/>
  <c r="F220" i="57"/>
  <c r="D220" i="57"/>
  <c r="W219" i="57"/>
  <c r="V219" i="57"/>
  <c r="R219" i="57"/>
  <c r="F219" i="57"/>
  <c r="N219" i="57" s="1"/>
  <c r="D219" i="57"/>
  <c r="W218" i="57"/>
  <c r="V218" i="57"/>
  <c r="X218" i="57" s="1"/>
  <c r="R218" i="57"/>
  <c r="N218" i="57"/>
  <c r="F218" i="57"/>
  <c r="E218" i="57"/>
  <c r="D218" i="57"/>
  <c r="W217" i="57"/>
  <c r="V217" i="57"/>
  <c r="R217" i="57"/>
  <c r="F217" i="57"/>
  <c r="N217" i="57" s="1"/>
  <c r="D217" i="57"/>
  <c r="W216" i="57"/>
  <c r="V216" i="57"/>
  <c r="X216" i="57" s="1"/>
  <c r="R216" i="57"/>
  <c r="N216" i="57"/>
  <c r="F216" i="57"/>
  <c r="D216" i="57"/>
  <c r="W215" i="57"/>
  <c r="V215" i="57"/>
  <c r="X215" i="57" s="1"/>
  <c r="R215" i="57"/>
  <c r="F215" i="57"/>
  <c r="N215" i="57" s="1"/>
  <c r="D215" i="57"/>
  <c r="X214" i="57"/>
  <c r="W214" i="57"/>
  <c r="V214" i="57"/>
  <c r="R214" i="57"/>
  <c r="F214" i="57"/>
  <c r="E214" i="57" s="1"/>
  <c r="D214" i="57"/>
  <c r="W213" i="57"/>
  <c r="V213" i="57"/>
  <c r="X213" i="57" s="1"/>
  <c r="R213" i="57"/>
  <c r="F213" i="57"/>
  <c r="E213" i="57" s="1"/>
  <c r="D213" i="57"/>
  <c r="W212" i="57"/>
  <c r="V212" i="57"/>
  <c r="X212" i="57" s="1"/>
  <c r="R212" i="57"/>
  <c r="N212" i="57"/>
  <c r="F212" i="57"/>
  <c r="D212" i="57"/>
  <c r="W211" i="57"/>
  <c r="V211" i="57"/>
  <c r="R211" i="57"/>
  <c r="F211" i="57"/>
  <c r="N211" i="57" s="1"/>
  <c r="D211" i="57"/>
  <c r="W210" i="57"/>
  <c r="V210" i="57"/>
  <c r="X210" i="57" s="1"/>
  <c r="R210" i="57"/>
  <c r="F210" i="57"/>
  <c r="N210" i="57" s="1"/>
  <c r="D210" i="57"/>
  <c r="W209" i="57"/>
  <c r="V209" i="57"/>
  <c r="R209" i="57"/>
  <c r="F209" i="57"/>
  <c r="N209" i="57" s="1"/>
  <c r="D209" i="57"/>
  <c r="X208" i="57"/>
  <c r="W208" i="57"/>
  <c r="V208" i="57"/>
  <c r="R208" i="57"/>
  <c r="F208" i="57"/>
  <c r="N208" i="57" s="1"/>
  <c r="E208" i="57"/>
  <c r="D208" i="57"/>
  <c r="X207" i="57"/>
  <c r="W207" i="57"/>
  <c r="V207" i="57"/>
  <c r="R207" i="57"/>
  <c r="F207" i="57"/>
  <c r="N207" i="57" s="1"/>
  <c r="D207" i="57"/>
  <c r="W206" i="57"/>
  <c r="V206" i="57"/>
  <c r="X206" i="57" s="1"/>
  <c r="R206" i="57"/>
  <c r="F206" i="57"/>
  <c r="D206" i="57"/>
  <c r="W205" i="57"/>
  <c r="V205" i="57"/>
  <c r="X205" i="57" s="1"/>
  <c r="R205" i="57"/>
  <c r="F205" i="57"/>
  <c r="D205" i="57"/>
  <c r="W204" i="57"/>
  <c r="V204" i="57"/>
  <c r="X204" i="57" s="1"/>
  <c r="R204" i="57"/>
  <c r="F204" i="57"/>
  <c r="E204" i="57" s="1"/>
  <c r="D204" i="57"/>
  <c r="W203" i="57"/>
  <c r="V203" i="57"/>
  <c r="R203" i="57"/>
  <c r="F203" i="57"/>
  <c r="N203" i="57" s="1"/>
  <c r="D203" i="57"/>
  <c r="W202" i="57"/>
  <c r="V202" i="57"/>
  <c r="X202" i="57" s="1"/>
  <c r="R202" i="57"/>
  <c r="N202" i="57"/>
  <c r="F202" i="57"/>
  <c r="E202" i="57"/>
  <c r="D202" i="57"/>
  <c r="W201" i="57"/>
  <c r="V201" i="57"/>
  <c r="R201" i="57"/>
  <c r="F201" i="57"/>
  <c r="N201" i="57" s="1"/>
  <c r="D201" i="57"/>
  <c r="W200" i="57"/>
  <c r="V200" i="57"/>
  <c r="X200" i="57" s="1"/>
  <c r="R200" i="57"/>
  <c r="N200" i="57"/>
  <c r="F200" i="57"/>
  <c r="D200" i="57"/>
  <c r="W199" i="57"/>
  <c r="V199" i="57"/>
  <c r="X199" i="57" s="1"/>
  <c r="R199" i="57"/>
  <c r="F199" i="57"/>
  <c r="N199" i="57" s="1"/>
  <c r="D199" i="57"/>
  <c r="X198" i="57"/>
  <c r="W198" i="57"/>
  <c r="V198" i="57"/>
  <c r="E198" i="57" s="1"/>
  <c r="R198" i="57"/>
  <c r="F198" i="57"/>
  <c r="N198" i="57" s="1"/>
  <c r="D198" i="57"/>
  <c r="X197" i="57"/>
  <c r="W197" i="57"/>
  <c r="V197" i="57"/>
  <c r="R197" i="57"/>
  <c r="F197" i="57"/>
  <c r="E197" i="57" s="1"/>
  <c r="D197" i="57"/>
  <c r="W196" i="57"/>
  <c r="V196" i="57"/>
  <c r="X196" i="57" s="1"/>
  <c r="R196" i="57"/>
  <c r="F196" i="57"/>
  <c r="D196" i="57"/>
  <c r="W195" i="57"/>
  <c r="V195" i="57"/>
  <c r="R195" i="57"/>
  <c r="F195" i="57"/>
  <c r="N195" i="57" s="1"/>
  <c r="D195" i="57"/>
  <c r="W194" i="57"/>
  <c r="V194" i="57"/>
  <c r="R194" i="57"/>
  <c r="F194" i="57"/>
  <c r="N194" i="57" s="1"/>
  <c r="D194" i="57"/>
  <c r="W193" i="57"/>
  <c r="V193" i="57"/>
  <c r="E193" i="57" s="1"/>
  <c r="R193" i="57"/>
  <c r="F193" i="57"/>
  <c r="N193" i="57" s="1"/>
  <c r="D193" i="57"/>
  <c r="W192" i="57"/>
  <c r="V192" i="57"/>
  <c r="X192" i="57" s="1"/>
  <c r="R192" i="57"/>
  <c r="F192" i="57"/>
  <c r="N192" i="57" s="1"/>
  <c r="D192" i="57"/>
  <c r="W191" i="57"/>
  <c r="V191" i="57"/>
  <c r="E191" i="57" s="1"/>
  <c r="R191" i="57"/>
  <c r="F191" i="57"/>
  <c r="N191" i="57" s="1"/>
  <c r="D191" i="57"/>
  <c r="X190" i="57"/>
  <c r="W190" i="57"/>
  <c r="V190" i="57"/>
  <c r="E190" i="57" s="1"/>
  <c r="R190" i="57"/>
  <c r="F190" i="57"/>
  <c r="N190" i="57" s="1"/>
  <c r="D190" i="57"/>
  <c r="X189" i="57"/>
  <c r="W189" i="57"/>
  <c r="V189" i="57"/>
  <c r="R189" i="57"/>
  <c r="F189" i="57"/>
  <c r="D189" i="57"/>
  <c r="W188" i="57"/>
  <c r="V188" i="57"/>
  <c r="X188" i="57" s="1"/>
  <c r="R188" i="57"/>
  <c r="F188" i="57"/>
  <c r="N188" i="57" s="1"/>
  <c r="D188" i="57"/>
  <c r="W187" i="57"/>
  <c r="V187" i="57"/>
  <c r="E187" i="57" s="1"/>
  <c r="R187" i="57"/>
  <c r="F187" i="57"/>
  <c r="N187" i="57" s="1"/>
  <c r="D187" i="57"/>
  <c r="W186" i="57"/>
  <c r="V186" i="57"/>
  <c r="X186" i="57" s="1"/>
  <c r="R186" i="57"/>
  <c r="F186" i="57"/>
  <c r="D186" i="57"/>
  <c r="W185" i="57"/>
  <c r="V185" i="57"/>
  <c r="R185" i="57"/>
  <c r="F185" i="57"/>
  <c r="N185" i="57" s="1"/>
  <c r="D185" i="57"/>
  <c r="W184" i="57"/>
  <c r="V184" i="57"/>
  <c r="X184" i="57" s="1"/>
  <c r="R184" i="57"/>
  <c r="F184" i="57"/>
  <c r="N184" i="57" s="1"/>
  <c r="E184" i="57"/>
  <c r="D184" i="57"/>
  <c r="X183" i="57"/>
  <c r="W183" i="57"/>
  <c r="V183" i="57"/>
  <c r="E183" i="57" s="1"/>
  <c r="R183" i="57"/>
  <c r="F183" i="57"/>
  <c r="N183" i="57" s="1"/>
  <c r="D183" i="57"/>
  <c r="W182" i="57"/>
  <c r="V182" i="57"/>
  <c r="E182" i="57" s="1"/>
  <c r="R182" i="57"/>
  <c r="F182" i="57"/>
  <c r="N182" i="57" s="1"/>
  <c r="D182" i="57"/>
  <c r="W181" i="57"/>
  <c r="V181" i="57"/>
  <c r="X181" i="57" s="1"/>
  <c r="R181" i="57"/>
  <c r="F181" i="57"/>
  <c r="D181" i="57"/>
  <c r="W180" i="57"/>
  <c r="V180" i="57"/>
  <c r="X180" i="57" s="1"/>
  <c r="R180" i="57"/>
  <c r="F180" i="57"/>
  <c r="N180" i="57" s="1"/>
  <c r="D180" i="57"/>
  <c r="W179" i="57"/>
  <c r="V179" i="57"/>
  <c r="R179" i="57"/>
  <c r="F179" i="57"/>
  <c r="N179" i="57" s="1"/>
  <c r="D179" i="57"/>
  <c r="X178" i="57"/>
  <c r="W178" i="57"/>
  <c r="V178" i="57"/>
  <c r="R178" i="57"/>
  <c r="F178" i="57"/>
  <c r="D178" i="57"/>
  <c r="W177" i="57"/>
  <c r="V177" i="57"/>
  <c r="R177" i="57"/>
  <c r="F177" i="57"/>
  <c r="N177" i="57" s="1"/>
  <c r="D177" i="57"/>
  <c r="W176" i="57"/>
  <c r="V176" i="57"/>
  <c r="X176" i="57" s="1"/>
  <c r="R176" i="57"/>
  <c r="F176" i="57"/>
  <c r="N176" i="57" s="1"/>
  <c r="D176" i="57"/>
  <c r="X175" i="57"/>
  <c r="W175" i="57"/>
  <c r="V175" i="57"/>
  <c r="R175" i="57"/>
  <c r="F175" i="57"/>
  <c r="N175" i="57" s="1"/>
  <c r="D175" i="57"/>
  <c r="W174" i="57"/>
  <c r="V174" i="57"/>
  <c r="E174" i="57" s="1"/>
  <c r="R174" i="57"/>
  <c r="F174" i="57"/>
  <c r="N174" i="57" s="1"/>
  <c r="D174" i="57"/>
  <c r="W173" i="57"/>
  <c r="V173" i="57"/>
  <c r="X173" i="57" s="1"/>
  <c r="R173" i="57"/>
  <c r="F173" i="57"/>
  <c r="D173" i="57"/>
  <c r="W172" i="57"/>
  <c r="V172" i="57"/>
  <c r="X172" i="57" s="1"/>
  <c r="R172" i="57"/>
  <c r="F172" i="57"/>
  <c r="D172" i="57"/>
  <c r="W171" i="57"/>
  <c r="V171" i="57"/>
  <c r="R171" i="57"/>
  <c r="N171" i="57"/>
  <c r="F171" i="57"/>
  <c r="D171" i="57"/>
  <c r="X170" i="57"/>
  <c r="W170" i="57"/>
  <c r="V170" i="57"/>
  <c r="R170" i="57"/>
  <c r="F170" i="57"/>
  <c r="E170" i="57" s="1"/>
  <c r="D170" i="57"/>
  <c r="W169" i="57"/>
  <c r="V169" i="57"/>
  <c r="E169" i="57" s="1"/>
  <c r="R169" i="57"/>
  <c r="N169" i="57"/>
  <c r="F169" i="57"/>
  <c r="D169" i="57"/>
  <c r="W168" i="57"/>
  <c r="V168" i="57"/>
  <c r="X168" i="57" s="1"/>
  <c r="R168" i="57"/>
  <c r="F168" i="57"/>
  <c r="N168" i="57" s="1"/>
  <c r="D168" i="57"/>
  <c r="X167" i="57"/>
  <c r="W167" i="57"/>
  <c r="V167" i="57"/>
  <c r="R167" i="57"/>
  <c r="F167" i="57"/>
  <c r="N167" i="57" s="1"/>
  <c r="D167" i="57"/>
  <c r="W166" i="57"/>
  <c r="V166" i="57"/>
  <c r="X166" i="57" s="1"/>
  <c r="R166" i="57"/>
  <c r="N166" i="57"/>
  <c r="F166" i="57"/>
  <c r="D166" i="57"/>
  <c r="X165" i="57"/>
  <c r="W165" i="57"/>
  <c r="V165" i="57"/>
  <c r="R165" i="57"/>
  <c r="F165" i="57"/>
  <c r="D165" i="57"/>
  <c r="W164" i="57"/>
  <c r="V164" i="57"/>
  <c r="X164" i="57" s="1"/>
  <c r="R164" i="57"/>
  <c r="N164" i="57"/>
  <c r="F164" i="57"/>
  <c r="D164" i="57"/>
  <c r="W163" i="57"/>
  <c r="V163" i="57"/>
  <c r="R163" i="57"/>
  <c r="N163" i="57"/>
  <c r="F163" i="57"/>
  <c r="D163" i="57"/>
  <c r="X162" i="57"/>
  <c r="W162" i="57"/>
  <c r="V162" i="57"/>
  <c r="R162" i="57"/>
  <c r="F162" i="57"/>
  <c r="E162" i="57" s="1"/>
  <c r="D162" i="57"/>
  <c r="W161" i="57"/>
  <c r="V161" i="57"/>
  <c r="E161" i="57" s="1"/>
  <c r="R161" i="57"/>
  <c r="N161" i="57"/>
  <c r="F161" i="57"/>
  <c r="D161" i="57"/>
  <c r="W160" i="57"/>
  <c r="V160" i="57"/>
  <c r="X160" i="57" s="1"/>
  <c r="R160" i="57"/>
  <c r="F160" i="57"/>
  <c r="N160" i="57" s="1"/>
  <c r="D160" i="57"/>
  <c r="W159" i="57"/>
  <c r="V159" i="57"/>
  <c r="E159" i="57" s="1"/>
  <c r="R159" i="57"/>
  <c r="F159" i="57"/>
  <c r="N159" i="57" s="1"/>
  <c r="D159" i="57"/>
  <c r="W158" i="57"/>
  <c r="V158" i="57"/>
  <c r="X158" i="57" s="1"/>
  <c r="R158" i="57"/>
  <c r="F158" i="57"/>
  <c r="N158" i="57" s="1"/>
  <c r="D158" i="57"/>
  <c r="W157" i="57"/>
  <c r="V157" i="57"/>
  <c r="X157" i="57" s="1"/>
  <c r="R157" i="57"/>
  <c r="F157" i="57"/>
  <c r="D157" i="57"/>
  <c r="X156" i="57"/>
  <c r="W156" i="57"/>
  <c r="V156" i="57"/>
  <c r="R156" i="57"/>
  <c r="N156" i="57"/>
  <c r="F156" i="57"/>
  <c r="D156" i="57"/>
  <c r="W155" i="57"/>
  <c r="V155" i="57"/>
  <c r="R155" i="57"/>
  <c r="N155" i="57"/>
  <c r="F155" i="57"/>
  <c r="D155" i="57"/>
  <c r="W154" i="57"/>
  <c r="V154" i="57"/>
  <c r="X154" i="57" s="1"/>
  <c r="R154" i="57"/>
  <c r="F154" i="57"/>
  <c r="D154" i="57"/>
  <c r="V153" i="57"/>
  <c r="E153" i="57" s="1"/>
  <c r="R153" i="57"/>
  <c r="L153" i="57"/>
  <c r="W153" i="57" s="1"/>
  <c r="F153" i="57"/>
  <c r="N153" i="57" s="1"/>
  <c r="D153" i="57"/>
  <c r="X152" i="57"/>
  <c r="W152" i="57"/>
  <c r="V152" i="57"/>
  <c r="R152" i="57"/>
  <c r="F152" i="57"/>
  <c r="N152" i="57" s="1"/>
  <c r="D152" i="57"/>
  <c r="W151" i="57"/>
  <c r="V151" i="57"/>
  <c r="X151" i="57" s="1"/>
  <c r="R151" i="57"/>
  <c r="N151" i="57"/>
  <c r="F151" i="57"/>
  <c r="D151" i="57"/>
  <c r="W150" i="57"/>
  <c r="V150" i="57"/>
  <c r="X150" i="57" s="1"/>
  <c r="R150" i="57"/>
  <c r="F150" i="57"/>
  <c r="D150" i="57"/>
  <c r="W149" i="57"/>
  <c r="V149" i="57"/>
  <c r="X149" i="57" s="1"/>
  <c r="R149" i="57"/>
  <c r="F149" i="57"/>
  <c r="E149" i="57" s="1"/>
  <c r="D149" i="57"/>
  <c r="W148" i="57"/>
  <c r="V148" i="57"/>
  <c r="R148" i="57"/>
  <c r="F148" i="57"/>
  <c r="N148" i="57" s="1"/>
  <c r="D148" i="57"/>
  <c r="W147" i="57"/>
  <c r="V147" i="57"/>
  <c r="X147" i="57" s="1"/>
  <c r="R147" i="57"/>
  <c r="F147" i="57"/>
  <c r="D147" i="57"/>
  <c r="X146" i="57"/>
  <c r="W146" i="57"/>
  <c r="V146" i="57"/>
  <c r="E146" i="57" s="1"/>
  <c r="R146" i="57"/>
  <c r="N146" i="57"/>
  <c r="F146" i="57"/>
  <c r="D146" i="57"/>
  <c r="W145" i="57"/>
  <c r="V145" i="57"/>
  <c r="X145" i="57" s="1"/>
  <c r="R145" i="57"/>
  <c r="N145" i="57"/>
  <c r="F145" i="57"/>
  <c r="E145" i="57"/>
  <c r="D145" i="57"/>
  <c r="W144" i="57"/>
  <c r="V144" i="57"/>
  <c r="E144" i="57" s="1"/>
  <c r="R144" i="57"/>
  <c r="F144" i="57"/>
  <c r="N144" i="57" s="1"/>
  <c r="D144" i="57"/>
  <c r="W143" i="57"/>
  <c r="V143" i="57"/>
  <c r="X143" i="57" s="1"/>
  <c r="R143" i="57"/>
  <c r="F143" i="57"/>
  <c r="E143" i="57" s="1"/>
  <c r="D143" i="57"/>
  <c r="W142" i="57"/>
  <c r="V142" i="57"/>
  <c r="X142" i="57" s="1"/>
  <c r="R142" i="57"/>
  <c r="F142" i="57"/>
  <c r="D142" i="57"/>
  <c r="X141" i="57"/>
  <c r="W141" i="57"/>
  <c r="V141" i="57"/>
  <c r="R141" i="57"/>
  <c r="N141" i="57"/>
  <c r="F141" i="57"/>
  <c r="D141" i="57"/>
  <c r="W140" i="57"/>
  <c r="V140" i="57"/>
  <c r="R140" i="57"/>
  <c r="N140" i="57"/>
  <c r="F140" i="57"/>
  <c r="D140" i="57"/>
  <c r="W139" i="57"/>
  <c r="V139" i="57"/>
  <c r="X139" i="57" s="1"/>
  <c r="R139" i="57"/>
  <c r="F139" i="57"/>
  <c r="D139" i="57"/>
  <c r="X138" i="57"/>
  <c r="W138" i="57"/>
  <c r="V138" i="57"/>
  <c r="R138" i="57"/>
  <c r="F138" i="57"/>
  <c r="N138" i="57" s="1"/>
  <c r="D138" i="57"/>
  <c r="W137" i="57"/>
  <c r="V137" i="57"/>
  <c r="X137" i="57" s="1"/>
  <c r="R137" i="57"/>
  <c r="F137" i="57"/>
  <c r="N137" i="57" s="1"/>
  <c r="D137" i="57"/>
  <c r="W136" i="57"/>
  <c r="V136" i="57"/>
  <c r="E136" i="57" s="1"/>
  <c r="R136" i="57"/>
  <c r="F136" i="57"/>
  <c r="N136" i="57" s="1"/>
  <c r="D136" i="57"/>
  <c r="W135" i="57"/>
  <c r="V135" i="57"/>
  <c r="X135" i="57" s="1"/>
  <c r="R135" i="57"/>
  <c r="N135" i="57"/>
  <c r="F135" i="57"/>
  <c r="E135" i="57"/>
  <c r="D135" i="57"/>
  <c r="W134" i="57"/>
  <c r="V134" i="57"/>
  <c r="X134" i="57" s="1"/>
  <c r="R134" i="57"/>
  <c r="F134" i="57"/>
  <c r="D134" i="57"/>
  <c r="X133" i="57"/>
  <c r="W133" i="57"/>
  <c r="V133" i="57"/>
  <c r="R133" i="57"/>
  <c r="F133" i="57"/>
  <c r="E133" i="57" s="1"/>
  <c r="D133" i="57"/>
  <c r="W132" i="57"/>
  <c r="V132" i="57"/>
  <c r="R132" i="57"/>
  <c r="D132" i="57" s="1"/>
  <c r="F132" i="57"/>
  <c r="N132" i="57" s="1"/>
  <c r="X131" i="57"/>
  <c r="W131" i="57"/>
  <c r="V131" i="57"/>
  <c r="R131" i="57"/>
  <c r="F131" i="57"/>
  <c r="E131" i="57" s="1"/>
  <c r="D131" i="57"/>
  <c r="W130" i="57"/>
  <c r="V130" i="57"/>
  <c r="E130" i="57" s="1"/>
  <c r="R130" i="57"/>
  <c r="N130" i="57"/>
  <c r="F130" i="57"/>
  <c r="D130" i="57"/>
  <c r="W129" i="57"/>
  <c r="V129" i="57"/>
  <c r="X129" i="57" s="1"/>
  <c r="R129" i="57"/>
  <c r="N129" i="57"/>
  <c r="F129" i="57"/>
  <c r="E129" i="57"/>
  <c r="D129" i="57"/>
  <c r="X128" i="57"/>
  <c r="W128" i="57"/>
  <c r="V128" i="57"/>
  <c r="R128" i="57"/>
  <c r="F128" i="57"/>
  <c r="N128" i="57" s="1"/>
  <c r="D128" i="57"/>
  <c r="W127" i="57"/>
  <c r="V127" i="57"/>
  <c r="X127" i="57" s="1"/>
  <c r="R127" i="57"/>
  <c r="F127" i="57"/>
  <c r="N127" i="57" s="1"/>
  <c r="E127" i="57"/>
  <c r="D127" i="57"/>
  <c r="W126" i="57"/>
  <c r="V126" i="57"/>
  <c r="X126" i="57" s="1"/>
  <c r="R126" i="57"/>
  <c r="F126" i="57"/>
  <c r="D126" i="57"/>
  <c r="W125" i="57"/>
  <c r="V125" i="57"/>
  <c r="X125" i="57" s="1"/>
  <c r="R125" i="57"/>
  <c r="N125" i="57"/>
  <c r="F125" i="57"/>
  <c r="D125" i="57"/>
  <c r="W124" i="57"/>
  <c r="V124" i="57"/>
  <c r="R124" i="57"/>
  <c r="N124" i="57"/>
  <c r="F124" i="57"/>
  <c r="D124" i="57"/>
  <c r="X123" i="57"/>
  <c r="W123" i="57"/>
  <c r="V123" i="57"/>
  <c r="R123" i="57"/>
  <c r="F123" i="57"/>
  <c r="E123" i="57" s="1"/>
  <c r="D123" i="57"/>
  <c r="W122" i="57"/>
  <c r="V122" i="57"/>
  <c r="E122" i="57" s="1"/>
  <c r="R122" i="57"/>
  <c r="N122" i="57"/>
  <c r="F122" i="57"/>
  <c r="D122" i="57"/>
  <c r="W121" i="57"/>
  <c r="V121" i="57"/>
  <c r="X121" i="57" s="1"/>
  <c r="R121" i="57"/>
  <c r="N121" i="57"/>
  <c r="F121" i="57"/>
  <c r="E121" i="57"/>
  <c r="D121" i="57"/>
  <c r="W120" i="57"/>
  <c r="V120" i="57"/>
  <c r="X120" i="57" s="1"/>
  <c r="R120" i="57"/>
  <c r="F120" i="57"/>
  <c r="N120" i="57" s="1"/>
  <c r="D120" i="57"/>
  <c r="W119" i="57"/>
  <c r="V119" i="57"/>
  <c r="X119" i="57" s="1"/>
  <c r="R119" i="57"/>
  <c r="F119" i="57"/>
  <c r="E119" i="57" s="1"/>
  <c r="D119" i="57"/>
  <c r="W118" i="57"/>
  <c r="V118" i="57"/>
  <c r="X118" i="57" s="1"/>
  <c r="R118" i="57"/>
  <c r="F118" i="57"/>
  <c r="D118" i="57"/>
  <c r="X117" i="57"/>
  <c r="W117" i="57"/>
  <c r="V117" i="57"/>
  <c r="R117" i="57"/>
  <c r="N117" i="57"/>
  <c r="F117" i="57"/>
  <c r="D117" i="57"/>
  <c r="W116" i="57"/>
  <c r="V116" i="57"/>
  <c r="R116" i="57"/>
  <c r="N116" i="57"/>
  <c r="F116" i="57"/>
  <c r="D116" i="57"/>
  <c r="W115" i="57"/>
  <c r="V115" i="57"/>
  <c r="X115" i="57" s="1"/>
  <c r="R115" i="57"/>
  <c r="F115" i="57"/>
  <c r="D115" i="57"/>
  <c r="W114" i="57"/>
  <c r="V114" i="57"/>
  <c r="E114" i="57" s="1"/>
  <c r="R114" i="57"/>
  <c r="F114" i="57"/>
  <c r="N114" i="57" s="1"/>
  <c r="D114" i="57"/>
  <c r="W113" i="57"/>
  <c r="V113" i="57"/>
  <c r="X113" i="57" s="1"/>
  <c r="R113" i="57"/>
  <c r="N113" i="57"/>
  <c r="F113" i="57"/>
  <c r="D113" i="57"/>
  <c r="X112" i="57"/>
  <c r="W112" i="57"/>
  <c r="V112" i="57"/>
  <c r="R112" i="57"/>
  <c r="F112" i="57"/>
  <c r="N112" i="57" s="1"/>
  <c r="D112" i="57"/>
  <c r="W111" i="57"/>
  <c r="V111" i="57"/>
  <c r="X111" i="57" s="1"/>
  <c r="R111" i="57"/>
  <c r="F111" i="57"/>
  <c r="N111" i="57" s="1"/>
  <c r="D111" i="57"/>
  <c r="W110" i="57"/>
  <c r="V110" i="57"/>
  <c r="X110" i="57" s="1"/>
  <c r="R110" i="57"/>
  <c r="F110" i="57"/>
  <c r="D110" i="57"/>
  <c r="W109" i="57"/>
  <c r="V109" i="57"/>
  <c r="X109" i="57" s="1"/>
  <c r="R109" i="57"/>
  <c r="F109" i="57"/>
  <c r="D109" i="57"/>
  <c r="W108" i="57"/>
  <c r="V108" i="57"/>
  <c r="X108" i="57" s="1"/>
  <c r="R108" i="57"/>
  <c r="N108" i="57"/>
  <c r="F108" i="57"/>
  <c r="D108" i="57"/>
  <c r="X107" i="57"/>
  <c r="W107" i="57"/>
  <c r="V107" i="57"/>
  <c r="R107" i="57"/>
  <c r="F107" i="57"/>
  <c r="D107" i="57"/>
  <c r="W106" i="57"/>
  <c r="V106" i="57"/>
  <c r="R106" i="57"/>
  <c r="F106" i="57"/>
  <c r="N106" i="57" s="1"/>
  <c r="D106" i="57"/>
  <c r="W105" i="57"/>
  <c r="V105" i="57"/>
  <c r="X105" i="57" s="1"/>
  <c r="R105" i="57"/>
  <c r="F105" i="57"/>
  <c r="E105" i="57" s="1"/>
  <c r="D105" i="57"/>
  <c r="X104" i="57"/>
  <c r="W104" i="57"/>
  <c r="V104" i="57"/>
  <c r="R104" i="57"/>
  <c r="F104" i="57"/>
  <c r="N104" i="57" s="1"/>
  <c r="D104" i="57"/>
  <c r="W103" i="57"/>
  <c r="V103" i="57"/>
  <c r="X103" i="57" s="1"/>
  <c r="R103" i="57"/>
  <c r="N103" i="57"/>
  <c r="F103" i="57"/>
  <c r="D103" i="57"/>
  <c r="W102" i="57"/>
  <c r="V102" i="57"/>
  <c r="X102" i="57" s="1"/>
  <c r="R102" i="57"/>
  <c r="F102" i="57"/>
  <c r="D102" i="57"/>
  <c r="X101" i="57"/>
  <c r="W101" i="57"/>
  <c r="V101" i="57"/>
  <c r="R101" i="57"/>
  <c r="N101" i="57"/>
  <c r="F101" i="57"/>
  <c r="D101" i="57"/>
  <c r="W100" i="57"/>
  <c r="V100" i="57"/>
  <c r="X100" i="57" s="1"/>
  <c r="R100" i="57"/>
  <c r="F100" i="57"/>
  <c r="N100" i="57" s="1"/>
  <c r="D100" i="57"/>
  <c r="W99" i="57"/>
  <c r="V99" i="57"/>
  <c r="X99" i="57" s="1"/>
  <c r="R99" i="57"/>
  <c r="F99" i="57"/>
  <c r="D99" i="57"/>
  <c r="W98" i="57"/>
  <c r="V98" i="57"/>
  <c r="E98" i="57" s="1"/>
  <c r="R98" i="57"/>
  <c r="N98" i="57"/>
  <c r="F98" i="57"/>
  <c r="D98" i="57"/>
  <c r="W97" i="57"/>
  <c r="V97" i="57"/>
  <c r="X97" i="57" s="1"/>
  <c r="R97" i="57"/>
  <c r="N97" i="57"/>
  <c r="F97" i="57"/>
  <c r="E97" i="57"/>
  <c r="D97" i="57"/>
  <c r="X96" i="57"/>
  <c r="W96" i="57"/>
  <c r="V96" i="57"/>
  <c r="R96" i="57"/>
  <c r="F96" i="57"/>
  <c r="N96" i="57" s="1"/>
  <c r="D96" i="57"/>
  <c r="W95" i="57"/>
  <c r="V95" i="57"/>
  <c r="X95" i="57" s="1"/>
  <c r="R95" i="57"/>
  <c r="F95" i="57"/>
  <c r="N95" i="57" s="1"/>
  <c r="D95" i="57"/>
  <c r="W94" i="57"/>
  <c r="V94" i="57"/>
  <c r="X94" i="57" s="1"/>
  <c r="R94" i="57"/>
  <c r="F94" i="57"/>
  <c r="N94" i="57" s="1"/>
  <c r="E94" i="57"/>
  <c r="D94" i="57"/>
  <c r="W93" i="57"/>
  <c r="V93" i="57"/>
  <c r="X93" i="57" s="1"/>
  <c r="R93" i="57"/>
  <c r="N93" i="57"/>
  <c r="F93" i="57"/>
  <c r="D93" i="57"/>
  <c r="W92" i="57"/>
  <c r="V92" i="57"/>
  <c r="X92" i="57" s="1"/>
  <c r="R92" i="57"/>
  <c r="N92" i="57"/>
  <c r="F92" i="57"/>
  <c r="D92" i="57"/>
  <c r="X91" i="57"/>
  <c r="W91" i="57"/>
  <c r="V91" i="57"/>
  <c r="R91" i="57"/>
  <c r="F91" i="57"/>
  <c r="D91" i="57"/>
  <c r="W90" i="57"/>
  <c r="V90" i="57"/>
  <c r="X90" i="57" s="1"/>
  <c r="R90" i="57"/>
  <c r="F90" i="57"/>
  <c r="N90" i="57" s="1"/>
  <c r="D90" i="57"/>
  <c r="W89" i="57"/>
  <c r="V89" i="57"/>
  <c r="X89" i="57" s="1"/>
  <c r="R89" i="57"/>
  <c r="N89" i="57"/>
  <c r="F89" i="57"/>
  <c r="D89" i="57"/>
  <c r="W88" i="57"/>
  <c r="V88" i="57"/>
  <c r="X88" i="57" s="1"/>
  <c r="R88" i="57"/>
  <c r="F88" i="57"/>
  <c r="N88" i="57" s="1"/>
  <c r="D88" i="57"/>
  <c r="X87" i="57"/>
  <c r="W87" i="57"/>
  <c r="V87" i="57"/>
  <c r="R87" i="57"/>
  <c r="F87" i="57"/>
  <c r="N87" i="57" s="1"/>
  <c r="D87" i="57"/>
  <c r="W86" i="57"/>
  <c r="V86" i="57"/>
  <c r="X86" i="57" s="1"/>
  <c r="R86" i="57"/>
  <c r="F86" i="57"/>
  <c r="N86" i="57" s="1"/>
  <c r="D86" i="57"/>
  <c r="X85" i="57"/>
  <c r="W85" i="57"/>
  <c r="V85" i="57"/>
  <c r="R85" i="57"/>
  <c r="F85" i="57"/>
  <c r="E85" i="57" s="1"/>
  <c r="D85" i="57"/>
  <c r="W84" i="57"/>
  <c r="V84" i="57"/>
  <c r="X84" i="57" s="1"/>
  <c r="R84" i="57"/>
  <c r="F84" i="57"/>
  <c r="N84" i="57" s="1"/>
  <c r="D84" i="57"/>
  <c r="W83" i="57"/>
  <c r="V83" i="57"/>
  <c r="X83" i="57" s="1"/>
  <c r="R83" i="57"/>
  <c r="F83" i="57"/>
  <c r="N83" i="57" s="1"/>
  <c r="E83" i="57"/>
  <c r="D83" i="57"/>
  <c r="X82" i="57"/>
  <c r="W82" i="57"/>
  <c r="V82" i="57"/>
  <c r="R82" i="57"/>
  <c r="F82" i="57"/>
  <c r="N82" i="57" s="1"/>
  <c r="D82" i="57"/>
  <c r="W81" i="57"/>
  <c r="V81" i="57"/>
  <c r="X81" i="57" s="1"/>
  <c r="R81" i="57"/>
  <c r="F81" i="57"/>
  <c r="N81" i="57" s="1"/>
  <c r="D81" i="57"/>
  <c r="X80" i="57"/>
  <c r="W80" i="57"/>
  <c r="V80" i="57"/>
  <c r="R80" i="57"/>
  <c r="F80" i="57"/>
  <c r="N80" i="57" s="1"/>
  <c r="D80" i="57"/>
  <c r="W79" i="57"/>
  <c r="V79" i="57"/>
  <c r="E79" i="57" s="1"/>
  <c r="R79" i="57"/>
  <c r="N79" i="57"/>
  <c r="F79" i="57"/>
  <c r="D79" i="57"/>
  <c r="W78" i="57"/>
  <c r="V78" i="57"/>
  <c r="E78" i="57" s="1"/>
  <c r="R78" i="57"/>
  <c r="F78" i="57"/>
  <c r="N78" i="57" s="1"/>
  <c r="D78" i="57"/>
  <c r="X77" i="57"/>
  <c r="W77" i="57"/>
  <c r="V77" i="57"/>
  <c r="R77" i="57"/>
  <c r="F77" i="57"/>
  <c r="N77" i="57" s="1"/>
  <c r="D77" i="57"/>
  <c r="W76" i="57"/>
  <c r="V76" i="57"/>
  <c r="X76" i="57" s="1"/>
  <c r="R76" i="57"/>
  <c r="F76" i="57"/>
  <c r="N76" i="57" s="1"/>
  <c r="E76" i="57"/>
  <c r="D76" i="57"/>
  <c r="W75" i="57"/>
  <c r="V75" i="57"/>
  <c r="X75" i="57" s="1"/>
  <c r="R75" i="57"/>
  <c r="F75" i="57"/>
  <c r="N75" i="57" s="1"/>
  <c r="D75" i="57"/>
  <c r="X74" i="57"/>
  <c r="W74" i="57"/>
  <c r="V74" i="57"/>
  <c r="R74" i="57"/>
  <c r="F74" i="57"/>
  <c r="N74" i="57" s="1"/>
  <c r="D74" i="57"/>
  <c r="W73" i="57"/>
  <c r="V73" i="57"/>
  <c r="X73" i="57" s="1"/>
  <c r="R73" i="57"/>
  <c r="F73" i="57"/>
  <c r="N73" i="57" s="1"/>
  <c r="D73" i="57"/>
  <c r="W72" i="57"/>
  <c r="V72" i="57"/>
  <c r="X72" i="57" s="1"/>
  <c r="R72" i="57"/>
  <c r="F72" i="57"/>
  <c r="N72" i="57" s="1"/>
  <c r="D72" i="57"/>
  <c r="W71" i="57"/>
  <c r="V71" i="57"/>
  <c r="E71" i="57" s="1"/>
  <c r="R71" i="57"/>
  <c r="F71" i="57"/>
  <c r="N71" i="57" s="1"/>
  <c r="D71" i="57"/>
  <c r="W70" i="57"/>
  <c r="V70" i="57"/>
  <c r="R70" i="57"/>
  <c r="F70" i="57"/>
  <c r="N70" i="57" s="1"/>
  <c r="D70" i="57"/>
  <c r="W69" i="57"/>
  <c r="V69" i="57"/>
  <c r="E69" i="57" s="1"/>
  <c r="R69" i="57"/>
  <c r="F69" i="57"/>
  <c r="N69" i="57" s="1"/>
  <c r="D69" i="57"/>
  <c r="W68" i="57"/>
  <c r="V68" i="57"/>
  <c r="X68" i="57" s="1"/>
  <c r="R68" i="57"/>
  <c r="F68" i="57"/>
  <c r="N68" i="57" s="1"/>
  <c r="E68" i="57"/>
  <c r="D68" i="57"/>
  <c r="W67" i="57"/>
  <c r="V67" i="57"/>
  <c r="X67" i="57" s="1"/>
  <c r="R67" i="57"/>
  <c r="F67" i="57"/>
  <c r="N67" i="57" s="1"/>
  <c r="D67" i="57"/>
  <c r="W66" i="57"/>
  <c r="V66" i="57"/>
  <c r="X66" i="57" s="1"/>
  <c r="R66" i="57"/>
  <c r="F66" i="57"/>
  <c r="N66" i="57" s="1"/>
  <c r="D66" i="57"/>
  <c r="W65" i="57"/>
  <c r="V65" i="57"/>
  <c r="X65" i="57" s="1"/>
  <c r="R65" i="57"/>
  <c r="F65" i="57"/>
  <c r="N65" i="57" s="1"/>
  <c r="D65" i="57"/>
  <c r="X64" i="57"/>
  <c r="W64" i="57"/>
  <c r="V64" i="57"/>
  <c r="R64" i="57"/>
  <c r="F64" i="57"/>
  <c r="N64" i="57" s="1"/>
  <c r="D64" i="57"/>
  <c r="W63" i="57"/>
  <c r="V63" i="57"/>
  <c r="X63" i="57" s="1"/>
  <c r="R63" i="57"/>
  <c r="F63" i="57"/>
  <c r="N63" i="57" s="1"/>
  <c r="E63" i="57"/>
  <c r="D63" i="57"/>
  <c r="W62" i="57"/>
  <c r="V62" i="57"/>
  <c r="X62" i="57" s="1"/>
  <c r="R62" i="57"/>
  <c r="F62" i="57"/>
  <c r="N62" i="57" s="1"/>
  <c r="D62" i="57"/>
  <c r="W61" i="57"/>
  <c r="V61" i="57"/>
  <c r="X61" i="57" s="1"/>
  <c r="R61" i="57"/>
  <c r="F61" i="57"/>
  <c r="N61" i="57" s="1"/>
  <c r="D61" i="57"/>
  <c r="X60" i="57"/>
  <c r="W60" i="57"/>
  <c r="V60" i="57"/>
  <c r="R60" i="57"/>
  <c r="F60" i="57"/>
  <c r="N60" i="57" s="1"/>
  <c r="D60" i="57"/>
  <c r="W59" i="57"/>
  <c r="V59" i="57"/>
  <c r="E59" i="57" s="1"/>
  <c r="R59" i="57"/>
  <c r="N59" i="57"/>
  <c r="F59" i="57"/>
  <c r="D59" i="57"/>
  <c r="W58" i="57"/>
  <c r="V58" i="57"/>
  <c r="X58" i="57" s="1"/>
  <c r="R58" i="57"/>
  <c r="F58" i="57"/>
  <c r="N58" i="57" s="1"/>
  <c r="D58" i="57"/>
  <c r="W57" i="57"/>
  <c r="V57" i="57"/>
  <c r="X57" i="57" s="1"/>
  <c r="R57" i="57"/>
  <c r="F57" i="57"/>
  <c r="N57" i="57" s="1"/>
  <c r="D57" i="57"/>
  <c r="W56" i="57"/>
  <c r="V56" i="57"/>
  <c r="E56" i="57" s="1"/>
  <c r="R56" i="57"/>
  <c r="F56" i="57"/>
  <c r="N56" i="57" s="1"/>
  <c r="D56" i="57"/>
  <c r="X55" i="57"/>
  <c r="W55" i="57"/>
  <c r="V55" i="57"/>
  <c r="E55" i="57" s="1"/>
  <c r="R55" i="57"/>
  <c r="N55" i="57"/>
  <c r="F55" i="57"/>
  <c r="D55" i="57"/>
  <c r="W54" i="57"/>
  <c r="V54" i="57"/>
  <c r="E54" i="57" s="1"/>
  <c r="R54" i="57"/>
  <c r="F54" i="57"/>
  <c r="N54" i="57" s="1"/>
  <c r="D54" i="57"/>
  <c r="W53" i="57"/>
  <c r="V53" i="57"/>
  <c r="R53" i="57"/>
  <c r="F53" i="57"/>
  <c r="N53" i="57" s="1"/>
  <c r="D53" i="57"/>
  <c r="W52" i="57"/>
  <c r="V52" i="57"/>
  <c r="X52" i="57" s="1"/>
  <c r="R52" i="57"/>
  <c r="F52" i="57"/>
  <c r="N52" i="57" s="1"/>
  <c r="D52" i="57"/>
  <c r="X51" i="57"/>
  <c r="W51" i="57"/>
  <c r="V51" i="57"/>
  <c r="R51" i="57"/>
  <c r="F51" i="57"/>
  <c r="N51" i="57" s="1"/>
  <c r="D51" i="57"/>
  <c r="W50" i="57"/>
  <c r="V50" i="57"/>
  <c r="X50" i="57" s="1"/>
  <c r="R50" i="57"/>
  <c r="F50" i="57"/>
  <c r="N50" i="57" s="1"/>
  <c r="D50" i="57"/>
  <c r="W49" i="57"/>
  <c r="V49" i="57"/>
  <c r="X49" i="57" s="1"/>
  <c r="R49" i="57"/>
  <c r="F49" i="57"/>
  <c r="N49" i="57" s="1"/>
  <c r="D49" i="57"/>
  <c r="W48" i="57"/>
  <c r="V48" i="57"/>
  <c r="X48" i="57" s="1"/>
  <c r="R48" i="57"/>
  <c r="F48" i="57"/>
  <c r="N48" i="57" s="1"/>
  <c r="D48" i="57"/>
  <c r="W47" i="57"/>
  <c r="V47" i="57"/>
  <c r="E47" i="57" s="1"/>
  <c r="R47" i="57"/>
  <c r="F47" i="57"/>
  <c r="N47" i="57" s="1"/>
  <c r="D47" i="57"/>
  <c r="W46" i="57"/>
  <c r="V46" i="57"/>
  <c r="E46" i="57" s="1"/>
  <c r="R46" i="57"/>
  <c r="F46" i="57"/>
  <c r="N46" i="57" s="1"/>
  <c r="D46" i="57"/>
  <c r="W45" i="57"/>
  <c r="V45" i="57"/>
  <c r="X45" i="57" s="1"/>
  <c r="R45" i="57"/>
  <c r="F45" i="57"/>
  <c r="N45" i="57" s="1"/>
  <c r="D45" i="57"/>
  <c r="X44" i="57"/>
  <c r="W44" i="57"/>
  <c r="V44" i="57"/>
  <c r="R44" i="57"/>
  <c r="F44" i="57"/>
  <c r="N44" i="57" s="1"/>
  <c r="D44" i="57"/>
  <c r="W43" i="57"/>
  <c r="V43" i="57"/>
  <c r="E43" i="57" s="1"/>
  <c r="R43" i="57"/>
  <c r="F43" i="57"/>
  <c r="N43" i="57" s="1"/>
  <c r="D43" i="57"/>
  <c r="X42" i="57"/>
  <c r="W42" i="57"/>
  <c r="V42" i="57"/>
  <c r="R42" i="57"/>
  <c r="F42" i="57"/>
  <c r="N42" i="57" s="1"/>
  <c r="D42" i="57"/>
  <c r="W41" i="57"/>
  <c r="V41" i="57"/>
  <c r="R41" i="57"/>
  <c r="F41" i="57"/>
  <c r="N41" i="57" s="1"/>
  <c r="D41" i="57"/>
  <c r="X40" i="57"/>
  <c r="W40" i="57"/>
  <c r="V40" i="57"/>
  <c r="E40" i="57" s="1"/>
  <c r="R40" i="57"/>
  <c r="F40" i="57"/>
  <c r="N40" i="57" s="1"/>
  <c r="D40" i="57"/>
  <c r="X39" i="57"/>
  <c r="W39" i="57"/>
  <c r="V39" i="57"/>
  <c r="R39" i="57"/>
  <c r="F39" i="57"/>
  <c r="N39" i="57" s="1"/>
  <c r="D39" i="57"/>
  <c r="W38" i="57"/>
  <c r="V38" i="57"/>
  <c r="E38" i="57" s="1"/>
  <c r="R38" i="57"/>
  <c r="N38" i="57"/>
  <c r="F38" i="57"/>
  <c r="D38" i="57"/>
  <c r="X37" i="57"/>
  <c r="W37" i="57"/>
  <c r="V37" i="57"/>
  <c r="R37" i="57"/>
  <c r="F37" i="57"/>
  <c r="N37" i="57" s="1"/>
  <c r="D37" i="57"/>
  <c r="W36" i="57"/>
  <c r="V36" i="57"/>
  <c r="R36" i="57"/>
  <c r="F36" i="57"/>
  <c r="N36" i="57" s="1"/>
  <c r="D36" i="57"/>
  <c r="W35" i="57"/>
  <c r="V35" i="57"/>
  <c r="R35" i="57"/>
  <c r="F35" i="57"/>
  <c r="N35" i="57" s="1"/>
  <c r="D35" i="57"/>
  <c r="W34" i="57"/>
  <c r="V34" i="57"/>
  <c r="E34" i="57" s="1"/>
  <c r="R34" i="57"/>
  <c r="F34" i="57"/>
  <c r="N34" i="57" s="1"/>
  <c r="D34" i="57"/>
  <c r="X33" i="57"/>
  <c r="W33" i="57"/>
  <c r="V33" i="57"/>
  <c r="R33" i="57"/>
  <c r="F33" i="57"/>
  <c r="N33" i="57" s="1"/>
  <c r="D33" i="57"/>
  <c r="W32" i="57"/>
  <c r="V32" i="57"/>
  <c r="E32" i="57" s="1"/>
  <c r="R32" i="57"/>
  <c r="F32" i="57"/>
  <c r="N32" i="57" s="1"/>
  <c r="D32" i="57"/>
  <c r="W31" i="57"/>
  <c r="V31" i="57"/>
  <c r="E31" i="57" s="1"/>
  <c r="R31" i="57"/>
  <c r="F31" i="57"/>
  <c r="N31" i="57" s="1"/>
  <c r="D31" i="57"/>
  <c r="W30" i="57"/>
  <c r="V30" i="57"/>
  <c r="E30" i="57" s="1"/>
  <c r="R30" i="57"/>
  <c r="F30" i="57"/>
  <c r="N30" i="57" s="1"/>
  <c r="D30" i="57"/>
  <c r="W29" i="57"/>
  <c r="V29" i="57"/>
  <c r="X29" i="57" s="1"/>
  <c r="R29" i="57"/>
  <c r="F29" i="57"/>
  <c r="N29" i="57" s="1"/>
  <c r="D29" i="57"/>
  <c r="X28" i="57"/>
  <c r="W28" i="57"/>
  <c r="V28" i="57"/>
  <c r="R28" i="57"/>
  <c r="F28" i="57"/>
  <c r="N28" i="57" s="1"/>
  <c r="D28" i="57"/>
  <c r="W27" i="57"/>
  <c r="V27" i="57"/>
  <c r="E27" i="57" s="1"/>
  <c r="R27" i="57"/>
  <c r="F27" i="57"/>
  <c r="N27" i="57" s="1"/>
  <c r="D27" i="57"/>
  <c r="X26" i="57"/>
  <c r="W26" i="57"/>
  <c r="V26" i="57"/>
  <c r="R26" i="57"/>
  <c r="F26" i="57"/>
  <c r="N26" i="57" s="1"/>
  <c r="D26" i="57"/>
  <c r="W25" i="57"/>
  <c r="V25" i="57"/>
  <c r="E25" i="57" s="1"/>
  <c r="R25" i="57"/>
  <c r="N25" i="57"/>
  <c r="F25" i="57"/>
  <c r="D25" i="57"/>
  <c r="X24" i="57"/>
  <c r="W24" i="57"/>
  <c r="V24" i="57"/>
  <c r="E24" i="57" s="1"/>
  <c r="R24" i="57"/>
  <c r="F24" i="57"/>
  <c r="N24" i="57" s="1"/>
  <c r="D24" i="57"/>
  <c r="X23" i="57"/>
  <c r="W23" i="57"/>
  <c r="V23" i="57"/>
  <c r="R23" i="57"/>
  <c r="F23" i="57"/>
  <c r="N23" i="57" s="1"/>
  <c r="D23" i="57"/>
  <c r="W22" i="57"/>
  <c r="V22" i="57"/>
  <c r="E22" i="57" s="1"/>
  <c r="R22" i="57"/>
  <c r="N22" i="57"/>
  <c r="F22" i="57"/>
  <c r="D22" i="57"/>
  <c r="X21" i="57"/>
  <c r="W21" i="57"/>
  <c r="V21" i="57"/>
  <c r="R21" i="57"/>
  <c r="F21" i="57"/>
  <c r="N21" i="57" s="1"/>
  <c r="D21" i="57"/>
  <c r="W20" i="57"/>
  <c r="V20" i="57"/>
  <c r="E20" i="57" s="1"/>
  <c r="R20" i="57"/>
  <c r="N20" i="57"/>
  <c r="F20" i="57"/>
  <c r="D20" i="57"/>
  <c r="W19" i="57"/>
  <c r="V19" i="57"/>
  <c r="R19" i="57"/>
  <c r="F19" i="57"/>
  <c r="N19" i="57" s="1"/>
  <c r="D19" i="57"/>
  <c r="W18" i="57"/>
  <c r="V18" i="57"/>
  <c r="E18" i="57" s="1"/>
  <c r="R18" i="57"/>
  <c r="F18" i="57"/>
  <c r="N18" i="57" s="1"/>
  <c r="D18" i="57"/>
  <c r="X17" i="57"/>
  <c r="W17" i="57"/>
  <c r="V17" i="57"/>
  <c r="R17" i="57"/>
  <c r="F17" i="57"/>
  <c r="N17" i="57" s="1"/>
  <c r="D17" i="57"/>
  <c r="W16" i="57"/>
  <c r="V16" i="57"/>
  <c r="X16" i="57" s="1"/>
  <c r="R16" i="57"/>
  <c r="F16" i="57"/>
  <c r="N16" i="57" s="1"/>
  <c r="D16" i="57"/>
  <c r="W15" i="57"/>
  <c r="V15" i="57"/>
  <c r="E15" i="57" s="1"/>
  <c r="R15" i="57"/>
  <c r="F15" i="57"/>
  <c r="N15" i="57" s="1"/>
  <c r="D15" i="57"/>
  <c r="W14" i="57"/>
  <c r="V14" i="57"/>
  <c r="E14" i="57" s="1"/>
  <c r="R14" i="57"/>
  <c r="P14" i="57"/>
  <c r="F14" i="57"/>
  <c r="N14" i="57" s="1"/>
  <c r="D14" i="57"/>
  <c r="E606" i="56"/>
  <c r="E605" i="56"/>
  <c r="E604" i="56"/>
  <c r="E603" i="56"/>
  <c r="E602" i="56"/>
  <c r="E601" i="56"/>
  <c r="E600" i="56"/>
  <c r="E599" i="56"/>
  <c r="E598" i="56"/>
  <c r="E597" i="56"/>
  <c r="E596" i="56"/>
  <c r="E595" i="56"/>
  <c r="E594" i="56"/>
  <c r="E593" i="56"/>
  <c r="E592" i="56"/>
  <c r="E591" i="56"/>
  <c r="E590" i="56"/>
  <c r="E589" i="56"/>
  <c r="E588" i="56"/>
  <c r="E587" i="56"/>
  <c r="E586" i="56"/>
  <c r="E585" i="56"/>
  <c r="E584" i="56"/>
  <c r="E583" i="56"/>
  <c r="E582" i="56"/>
  <c r="E581" i="56"/>
  <c r="E580" i="56"/>
  <c r="E579" i="56"/>
  <c r="E578" i="56"/>
  <c r="E577" i="56"/>
  <c r="E576" i="56"/>
  <c r="E575" i="56"/>
  <c r="E574" i="56"/>
  <c r="E573" i="56"/>
  <c r="E572" i="56"/>
  <c r="E571" i="56"/>
  <c r="E570" i="56"/>
  <c r="E569" i="56"/>
  <c r="E568" i="56"/>
  <c r="E567" i="56"/>
  <c r="E566" i="56"/>
  <c r="E565" i="56"/>
  <c r="E564" i="56"/>
  <c r="E563" i="56"/>
  <c r="E562" i="56"/>
  <c r="E561" i="56"/>
  <c r="E560" i="56"/>
  <c r="E559" i="56"/>
  <c r="E558" i="56"/>
  <c r="E557" i="56"/>
  <c r="E556" i="56"/>
  <c r="E555" i="56"/>
  <c r="E554" i="56"/>
  <c r="E553" i="56"/>
  <c r="E552" i="56"/>
  <c r="E551" i="56"/>
  <c r="E550" i="56"/>
  <c r="E549" i="56"/>
  <c r="E548" i="56"/>
  <c r="E547" i="56"/>
  <c r="E546" i="56"/>
  <c r="E545" i="56"/>
  <c r="E544" i="56"/>
  <c r="E543" i="56"/>
  <c r="E542" i="56"/>
  <c r="E541" i="56"/>
  <c r="E540" i="56"/>
  <c r="E539" i="56"/>
  <c r="E538" i="56"/>
  <c r="E537" i="56"/>
  <c r="E536" i="56"/>
  <c r="E535" i="56"/>
  <c r="E534" i="56"/>
  <c r="E533" i="56"/>
  <c r="E532" i="56"/>
  <c r="E531" i="56"/>
  <c r="E530" i="56"/>
  <c r="E529" i="56"/>
  <c r="E528" i="56"/>
  <c r="E527" i="56"/>
  <c r="E526" i="56"/>
  <c r="E525" i="56"/>
  <c r="E524" i="56"/>
  <c r="E523" i="56"/>
  <c r="E522" i="56"/>
  <c r="E521" i="56"/>
  <c r="E520" i="56"/>
  <c r="E519" i="56"/>
  <c r="E518" i="56"/>
  <c r="E517" i="56"/>
  <c r="E516" i="56"/>
  <c r="E515" i="56"/>
  <c r="E514" i="56"/>
  <c r="E513" i="56"/>
  <c r="E512" i="56"/>
  <c r="E511" i="56"/>
  <c r="E510" i="56"/>
  <c r="E509" i="56"/>
  <c r="E508" i="56"/>
  <c r="E507" i="56"/>
  <c r="E506" i="56"/>
  <c r="E505" i="56"/>
  <c r="E504" i="56"/>
  <c r="E503" i="56"/>
  <c r="E502" i="56"/>
  <c r="E501" i="56"/>
  <c r="E500" i="56"/>
  <c r="E499" i="56"/>
  <c r="E498" i="56"/>
  <c r="E497" i="56"/>
  <c r="E496" i="56"/>
  <c r="E495" i="56"/>
  <c r="E494" i="56"/>
  <c r="E493" i="56"/>
  <c r="E492" i="56"/>
  <c r="E491" i="56"/>
  <c r="E490" i="56"/>
  <c r="E489" i="56"/>
  <c r="E488" i="56"/>
  <c r="E487" i="56"/>
  <c r="E486" i="56"/>
  <c r="E485" i="56"/>
  <c r="E484" i="56"/>
  <c r="E483" i="56"/>
  <c r="E482" i="56"/>
  <c r="E481" i="56"/>
  <c r="E480" i="56"/>
  <c r="E479" i="56"/>
  <c r="E478" i="56"/>
  <c r="E477" i="56"/>
  <c r="E476" i="56"/>
  <c r="E475" i="56"/>
  <c r="E474" i="56"/>
  <c r="E473" i="56"/>
  <c r="E472" i="56"/>
  <c r="E471" i="56"/>
  <c r="E470" i="56"/>
  <c r="E469" i="56"/>
  <c r="E468" i="56"/>
  <c r="E467" i="56"/>
  <c r="E466" i="56"/>
  <c r="E465" i="56"/>
  <c r="E464" i="56"/>
  <c r="E463" i="56"/>
  <c r="E462" i="56"/>
  <c r="E461" i="56"/>
  <c r="E460" i="56"/>
  <c r="E459" i="56"/>
  <c r="E458" i="56"/>
  <c r="E457" i="56"/>
  <c r="E456" i="56"/>
  <c r="E455" i="56"/>
  <c r="E454" i="56"/>
  <c r="E453" i="56"/>
  <c r="E452" i="56"/>
  <c r="E451" i="56"/>
  <c r="E450" i="56"/>
  <c r="E449" i="56"/>
  <c r="E448" i="56"/>
  <c r="E447" i="56"/>
  <c r="E446" i="56"/>
  <c r="E445" i="56"/>
  <c r="E444" i="56"/>
  <c r="E443" i="56"/>
  <c r="E442" i="56"/>
  <c r="E441" i="56"/>
  <c r="E440" i="56"/>
  <c r="E439" i="56"/>
  <c r="E438" i="56"/>
  <c r="E437" i="56"/>
  <c r="E436" i="56"/>
  <c r="E435" i="56"/>
  <c r="E434" i="56"/>
  <c r="E433" i="56"/>
  <c r="E432" i="56"/>
  <c r="E431" i="56"/>
  <c r="E430" i="56"/>
  <c r="E429" i="56"/>
  <c r="E428" i="56"/>
  <c r="E427" i="56"/>
  <c r="E426" i="56"/>
  <c r="E425" i="56"/>
  <c r="E424" i="56"/>
  <c r="E423" i="56"/>
  <c r="E422" i="56"/>
  <c r="E421" i="56"/>
  <c r="E420" i="56"/>
  <c r="E419" i="56"/>
  <c r="E418" i="56"/>
  <c r="E417" i="56"/>
  <c r="E416" i="56"/>
  <c r="E415" i="56"/>
  <c r="E414" i="56"/>
  <c r="E413" i="56"/>
  <c r="E412" i="56"/>
  <c r="E411" i="56"/>
  <c r="E410" i="56"/>
  <c r="E409" i="56"/>
  <c r="E408" i="56"/>
  <c r="E407" i="56"/>
  <c r="E406" i="56"/>
  <c r="E405" i="56"/>
  <c r="E404" i="56"/>
  <c r="E403" i="56"/>
  <c r="E402" i="56"/>
  <c r="E401" i="56"/>
  <c r="E400" i="56"/>
  <c r="E399" i="56"/>
  <c r="E398" i="56"/>
  <c r="E397" i="56"/>
  <c r="E396" i="56"/>
  <c r="E395" i="56"/>
  <c r="E394" i="56"/>
  <c r="E393" i="56"/>
  <c r="E392" i="56"/>
  <c r="E391" i="56"/>
  <c r="E390" i="56"/>
  <c r="E389" i="56"/>
  <c r="E388" i="56"/>
  <c r="E387" i="56"/>
  <c r="E386" i="56"/>
  <c r="E385" i="56"/>
  <c r="E384" i="56"/>
  <c r="E383" i="56"/>
  <c r="E382" i="56"/>
  <c r="E381" i="56"/>
  <c r="E380" i="56"/>
  <c r="E379" i="56"/>
  <c r="E378" i="56"/>
  <c r="E377" i="56"/>
  <c r="E376" i="56"/>
  <c r="E375" i="56"/>
  <c r="E374" i="56"/>
  <c r="E373" i="56"/>
  <c r="E372" i="56"/>
  <c r="E371" i="56"/>
  <c r="E370" i="56"/>
  <c r="E369" i="56"/>
  <c r="E368" i="56"/>
  <c r="E367" i="56"/>
  <c r="E366" i="56"/>
  <c r="E365" i="56"/>
  <c r="E364" i="56"/>
  <c r="E363" i="56"/>
  <c r="E362" i="56"/>
  <c r="E361" i="56"/>
  <c r="E360" i="56"/>
  <c r="E359" i="56"/>
  <c r="E358" i="56"/>
  <c r="E357" i="56"/>
  <c r="E356" i="56"/>
  <c r="E355" i="56"/>
  <c r="E354" i="56"/>
  <c r="E353" i="56"/>
  <c r="E352" i="56"/>
  <c r="E351" i="56"/>
  <c r="E350" i="56"/>
  <c r="E349" i="56"/>
  <c r="E348" i="56"/>
  <c r="E347" i="56"/>
  <c r="E346" i="56"/>
  <c r="E345" i="56"/>
  <c r="E344" i="56"/>
  <c r="E343" i="56"/>
  <c r="E342" i="56"/>
  <c r="E341" i="56"/>
  <c r="E340" i="56"/>
  <c r="E339" i="56"/>
  <c r="E338" i="56"/>
  <c r="E337" i="56"/>
  <c r="E336" i="56"/>
  <c r="E335" i="56"/>
  <c r="E334" i="56"/>
  <c r="E333" i="56"/>
  <c r="E332" i="56"/>
  <c r="E331" i="56"/>
  <c r="E330" i="56"/>
  <c r="E329" i="56"/>
  <c r="E328" i="56"/>
  <c r="E327" i="56"/>
  <c r="E326" i="56"/>
  <c r="E325" i="56"/>
  <c r="E324" i="56"/>
  <c r="E323" i="56"/>
  <c r="E322" i="56"/>
  <c r="E321" i="56"/>
  <c r="E320" i="56"/>
  <c r="E319" i="56"/>
  <c r="E318" i="56"/>
  <c r="E317" i="56"/>
  <c r="E316" i="56"/>
  <c r="E315" i="56"/>
  <c r="E314" i="56"/>
  <c r="E313" i="56"/>
  <c r="E312" i="56"/>
  <c r="E311" i="56"/>
  <c r="E310" i="56"/>
  <c r="E309" i="56"/>
  <c r="E308" i="56"/>
  <c r="E307" i="56"/>
  <c r="E306" i="56"/>
  <c r="E305" i="56"/>
  <c r="E304" i="56"/>
  <c r="E303" i="56"/>
  <c r="E302" i="56"/>
  <c r="E301" i="56"/>
  <c r="E300" i="56"/>
  <c r="E299" i="56"/>
  <c r="E298" i="56"/>
  <c r="E297" i="56"/>
  <c r="E296" i="56"/>
  <c r="E295" i="56"/>
  <c r="E294" i="56"/>
  <c r="E293" i="56"/>
  <c r="E292" i="56"/>
  <c r="E291" i="56"/>
  <c r="E290" i="56"/>
  <c r="E289" i="56"/>
  <c r="E288" i="56"/>
  <c r="E287" i="56"/>
  <c r="E286" i="56"/>
  <c r="E285" i="56"/>
  <c r="E284" i="56"/>
  <c r="E283" i="56"/>
  <c r="E214" i="56"/>
  <c r="E213" i="56"/>
  <c r="E212" i="56"/>
  <c r="E211" i="56"/>
  <c r="E210" i="56"/>
  <c r="E209" i="56"/>
  <c r="E208" i="56"/>
  <c r="E207" i="56"/>
  <c r="E206" i="56"/>
  <c r="E205" i="56"/>
  <c r="E204" i="56"/>
  <c r="E203" i="56"/>
  <c r="E202" i="56"/>
  <c r="E201" i="56"/>
  <c r="E200" i="56"/>
  <c r="E199" i="56"/>
  <c r="E198" i="56"/>
  <c r="E197" i="56"/>
  <c r="E196" i="56"/>
  <c r="E195" i="56"/>
  <c r="E194" i="56"/>
  <c r="E193" i="56"/>
  <c r="E192" i="56"/>
  <c r="E191" i="56"/>
  <c r="E190" i="56"/>
  <c r="E189" i="56"/>
  <c r="E188" i="56"/>
  <c r="E187" i="56"/>
  <c r="E186" i="56"/>
  <c r="E185" i="56"/>
  <c r="E184" i="56"/>
  <c r="E183" i="56"/>
  <c r="E182" i="56"/>
  <c r="E181" i="56"/>
  <c r="E180" i="56"/>
  <c r="E179" i="56"/>
  <c r="E178" i="56"/>
  <c r="E177" i="56"/>
  <c r="E176" i="56"/>
  <c r="E175" i="56"/>
  <c r="E174" i="56"/>
  <c r="E173" i="56"/>
  <c r="E172" i="56"/>
  <c r="E171" i="56"/>
  <c r="E170" i="56"/>
  <c r="E169" i="56"/>
  <c r="E168" i="56"/>
  <c r="E167" i="56"/>
  <c r="E166" i="56"/>
  <c r="E165" i="56"/>
  <c r="E164" i="56"/>
  <c r="E163" i="56"/>
  <c r="E162" i="56"/>
  <c r="E161" i="56"/>
  <c r="E160" i="56"/>
  <c r="E159" i="56"/>
  <c r="E158" i="56"/>
  <c r="E157" i="56"/>
  <c r="E156" i="56"/>
  <c r="E155" i="56"/>
  <c r="E154" i="56"/>
  <c r="E153" i="56"/>
  <c r="E152" i="56"/>
  <c r="E151" i="56"/>
  <c r="E150" i="56"/>
  <c r="E149" i="56"/>
  <c r="E148" i="56"/>
  <c r="E147" i="56"/>
  <c r="E146" i="56"/>
  <c r="E145" i="56"/>
  <c r="E144" i="56"/>
  <c r="E143" i="56"/>
  <c r="E142" i="56"/>
  <c r="E141" i="56"/>
  <c r="E140" i="56"/>
  <c r="E139" i="56"/>
  <c r="E138" i="56"/>
  <c r="E137" i="56"/>
  <c r="E136" i="56"/>
  <c r="E135" i="56"/>
  <c r="E134" i="56"/>
  <c r="E133" i="56"/>
  <c r="E132" i="56"/>
  <c r="E131" i="56"/>
  <c r="E130" i="56"/>
  <c r="E129" i="56"/>
  <c r="E128" i="56"/>
  <c r="E127" i="56"/>
  <c r="E126" i="56"/>
  <c r="E125" i="56"/>
  <c r="E124" i="56"/>
  <c r="E123" i="56"/>
  <c r="E122" i="56"/>
  <c r="E121" i="56"/>
  <c r="E120" i="56"/>
  <c r="E119" i="56"/>
  <c r="E118" i="56"/>
  <c r="E117" i="56"/>
  <c r="E116" i="56"/>
  <c r="E115" i="56"/>
  <c r="E114" i="56"/>
  <c r="E113" i="56"/>
  <c r="E112" i="56"/>
  <c r="E111" i="56"/>
  <c r="E110" i="56"/>
  <c r="E109" i="56"/>
  <c r="E108" i="56"/>
  <c r="E107" i="56"/>
  <c r="E106" i="56"/>
  <c r="E105" i="56"/>
  <c r="E104" i="56"/>
  <c r="E103" i="56"/>
  <c r="E102" i="56"/>
  <c r="E101" i="56"/>
  <c r="E100" i="56"/>
  <c r="E99" i="56"/>
  <c r="E98" i="56"/>
  <c r="E97" i="56"/>
  <c r="E96" i="56"/>
  <c r="E95" i="56"/>
  <c r="E94" i="56"/>
  <c r="E93" i="56"/>
  <c r="E92" i="56"/>
  <c r="E91" i="56"/>
  <c r="E90" i="56"/>
  <c r="E89" i="56"/>
  <c r="E88" i="56"/>
  <c r="E87" i="56"/>
  <c r="E86" i="56"/>
  <c r="E85" i="56"/>
  <c r="E84" i="56"/>
  <c r="E83" i="56"/>
  <c r="E82" i="56"/>
  <c r="E81" i="56"/>
  <c r="E80" i="56"/>
  <c r="E79" i="56"/>
  <c r="E78" i="56"/>
  <c r="E77" i="56"/>
  <c r="E76" i="56"/>
  <c r="E75" i="56"/>
  <c r="E74" i="56"/>
  <c r="E73" i="56"/>
  <c r="E72" i="56"/>
  <c r="E71" i="56"/>
  <c r="E70" i="56"/>
  <c r="E69" i="56"/>
  <c r="E68" i="56"/>
  <c r="E66" i="56"/>
  <c r="E65" i="56"/>
  <c r="E64" i="56"/>
  <c r="E63" i="56"/>
  <c r="E62" i="56"/>
  <c r="E61" i="56"/>
  <c r="E60" i="56"/>
  <c r="E59" i="56"/>
  <c r="E58" i="56"/>
  <c r="E57" i="56"/>
  <c r="E56" i="56"/>
  <c r="E55" i="56"/>
  <c r="E54" i="56"/>
  <c r="E53" i="56"/>
  <c r="E52" i="56"/>
  <c r="E51" i="56"/>
  <c r="E50" i="56"/>
  <c r="E49" i="56"/>
  <c r="E48" i="56"/>
  <c r="E47" i="56"/>
  <c r="E46" i="56"/>
  <c r="E45" i="56"/>
  <c r="E44" i="56"/>
  <c r="E43" i="56"/>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7" i="56"/>
  <c r="E16" i="56"/>
  <c r="E15" i="56"/>
  <c r="D606" i="56"/>
  <c r="D605" i="56"/>
  <c r="D604" i="56"/>
  <c r="D603" i="56"/>
  <c r="D602" i="56"/>
  <c r="D601" i="56"/>
  <c r="D600" i="56"/>
  <c r="D599" i="56"/>
  <c r="D598" i="56"/>
  <c r="D597" i="56"/>
  <c r="D596" i="56"/>
  <c r="D595" i="56"/>
  <c r="D594" i="56"/>
  <c r="D593" i="56"/>
  <c r="D592" i="56"/>
  <c r="D591" i="56"/>
  <c r="D590" i="56"/>
  <c r="D589" i="56"/>
  <c r="D588" i="56"/>
  <c r="D587" i="56"/>
  <c r="D586" i="56"/>
  <c r="D585" i="56"/>
  <c r="D584" i="56"/>
  <c r="D583" i="56"/>
  <c r="D582" i="56"/>
  <c r="D581" i="56"/>
  <c r="D580" i="56"/>
  <c r="D579" i="56"/>
  <c r="D578" i="56"/>
  <c r="D577" i="56"/>
  <c r="D576" i="56"/>
  <c r="D575" i="56"/>
  <c r="D574" i="56"/>
  <c r="D573" i="56"/>
  <c r="D572" i="56"/>
  <c r="D571" i="56"/>
  <c r="D570" i="56"/>
  <c r="D569" i="56"/>
  <c r="D568" i="56"/>
  <c r="D567" i="56"/>
  <c r="D566" i="56"/>
  <c r="D565" i="56"/>
  <c r="D564" i="56"/>
  <c r="D563" i="56"/>
  <c r="D562" i="56"/>
  <c r="D561" i="56"/>
  <c r="D560" i="56"/>
  <c r="D559" i="56"/>
  <c r="D558" i="56"/>
  <c r="D557" i="56"/>
  <c r="D556" i="56"/>
  <c r="D555" i="56"/>
  <c r="D554" i="56"/>
  <c r="D553" i="56"/>
  <c r="D552" i="56"/>
  <c r="D551" i="56"/>
  <c r="D550" i="56"/>
  <c r="D549" i="56"/>
  <c r="D548" i="56"/>
  <c r="D547" i="56"/>
  <c r="D546" i="56"/>
  <c r="D545" i="56"/>
  <c r="D544" i="56"/>
  <c r="D543" i="56"/>
  <c r="D542" i="56"/>
  <c r="D541" i="56"/>
  <c r="D540" i="56"/>
  <c r="D539" i="56"/>
  <c r="D538" i="56"/>
  <c r="D537" i="56"/>
  <c r="D536" i="56"/>
  <c r="D535" i="56"/>
  <c r="D534" i="56"/>
  <c r="D533" i="56"/>
  <c r="D532" i="56"/>
  <c r="D531" i="56"/>
  <c r="D530" i="56"/>
  <c r="D529" i="56"/>
  <c r="D528" i="56"/>
  <c r="D527" i="56"/>
  <c r="D526" i="56"/>
  <c r="D525" i="56"/>
  <c r="D524" i="56"/>
  <c r="D523" i="56"/>
  <c r="D522" i="56"/>
  <c r="D521" i="56"/>
  <c r="D520" i="56"/>
  <c r="D519" i="56"/>
  <c r="D518" i="56"/>
  <c r="D517" i="56"/>
  <c r="D516" i="56"/>
  <c r="D515" i="56"/>
  <c r="D514" i="56"/>
  <c r="D513" i="56"/>
  <c r="D512" i="56"/>
  <c r="D511" i="56"/>
  <c r="D510" i="56"/>
  <c r="D509" i="56"/>
  <c r="D508" i="56"/>
  <c r="D507" i="56"/>
  <c r="D506" i="56"/>
  <c r="D505" i="56"/>
  <c r="D504" i="56"/>
  <c r="D503" i="56"/>
  <c r="D502" i="56"/>
  <c r="D501" i="56"/>
  <c r="D500" i="56"/>
  <c r="D499" i="56"/>
  <c r="D498" i="56"/>
  <c r="D497" i="56"/>
  <c r="D496" i="56"/>
  <c r="D495" i="56"/>
  <c r="D494" i="56"/>
  <c r="D493" i="56"/>
  <c r="D492" i="56"/>
  <c r="D491" i="56"/>
  <c r="D490" i="56"/>
  <c r="D489" i="56"/>
  <c r="D488" i="56"/>
  <c r="D487" i="56"/>
  <c r="D486" i="56"/>
  <c r="D485" i="56"/>
  <c r="D484" i="56"/>
  <c r="D483" i="56"/>
  <c r="D482" i="56"/>
  <c r="D481" i="56"/>
  <c r="D480" i="56"/>
  <c r="D479" i="56"/>
  <c r="D478" i="56"/>
  <c r="D477" i="56"/>
  <c r="D476" i="56"/>
  <c r="D475" i="56"/>
  <c r="D474" i="56"/>
  <c r="D473" i="56"/>
  <c r="D472" i="56"/>
  <c r="D471" i="56"/>
  <c r="D470" i="56"/>
  <c r="D469" i="56"/>
  <c r="D468" i="56"/>
  <c r="D467" i="56"/>
  <c r="D466" i="56"/>
  <c r="D465" i="56"/>
  <c r="D464" i="56"/>
  <c r="D463" i="56"/>
  <c r="D462" i="56"/>
  <c r="D461" i="56"/>
  <c r="D460" i="56"/>
  <c r="D459" i="56"/>
  <c r="D458" i="56"/>
  <c r="D457" i="56"/>
  <c r="D456" i="56"/>
  <c r="D455" i="56"/>
  <c r="D454" i="56"/>
  <c r="D453" i="56"/>
  <c r="D452" i="56"/>
  <c r="D451" i="56"/>
  <c r="D450" i="56"/>
  <c r="D449" i="56"/>
  <c r="D448" i="56"/>
  <c r="D447" i="56"/>
  <c r="D446" i="56"/>
  <c r="D445" i="56"/>
  <c r="D444" i="56"/>
  <c r="D443" i="56"/>
  <c r="D442" i="56"/>
  <c r="D441" i="56"/>
  <c r="D440" i="56"/>
  <c r="D439" i="56"/>
  <c r="D438" i="56"/>
  <c r="D437" i="56"/>
  <c r="D436" i="56"/>
  <c r="D435" i="56"/>
  <c r="D434" i="56"/>
  <c r="D433" i="56"/>
  <c r="D432" i="56"/>
  <c r="D431" i="56"/>
  <c r="D430" i="56"/>
  <c r="D429" i="56"/>
  <c r="D428" i="56"/>
  <c r="D427" i="56"/>
  <c r="D426" i="56"/>
  <c r="D425" i="56"/>
  <c r="D424" i="56"/>
  <c r="D423" i="56"/>
  <c r="D422" i="56"/>
  <c r="D421" i="56"/>
  <c r="D420" i="56"/>
  <c r="D419" i="56"/>
  <c r="D418" i="56"/>
  <c r="D417" i="56"/>
  <c r="D416" i="56"/>
  <c r="D415" i="56"/>
  <c r="D414" i="56"/>
  <c r="D413" i="56"/>
  <c r="D412" i="56"/>
  <c r="D411" i="56"/>
  <c r="D410" i="56"/>
  <c r="D409" i="56"/>
  <c r="D408" i="56"/>
  <c r="D407" i="56"/>
  <c r="D406" i="56"/>
  <c r="D405" i="56"/>
  <c r="D404" i="56"/>
  <c r="D403" i="56"/>
  <c r="D402" i="56"/>
  <c r="D401" i="56"/>
  <c r="D400" i="56"/>
  <c r="D399" i="56"/>
  <c r="D398" i="56"/>
  <c r="D397" i="56"/>
  <c r="D396" i="56"/>
  <c r="D395" i="56"/>
  <c r="D394" i="56"/>
  <c r="D393" i="56"/>
  <c r="D392" i="56"/>
  <c r="D391" i="56"/>
  <c r="D390" i="56"/>
  <c r="D389" i="56"/>
  <c r="D388" i="56"/>
  <c r="D387" i="56"/>
  <c r="D386" i="56"/>
  <c r="D385" i="56"/>
  <c r="D384" i="56"/>
  <c r="D383" i="56"/>
  <c r="D382" i="56"/>
  <c r="D381" i="56"/>
  <c r="D380" i="56"/>
  <c r="D379" i="56"/>
  <c r="D378" i="56"/>
  <c r="D377" i="56"/>
  <c r="D376" i="56"/>
  <c r="D375" i="56"/>
  <c r="D374" i="56"/>
  <c r="D373" i="56"/>
  <c r="D372" i="56"/>
  <c r="D371" i="56"/>
  <c r="D370" i="56"/>
  <c r="D369" i="56"/>
  <c r="D368" i="56"/>
  <c r="D367" i="56"/>
  <c r="D366" i="56"/>
  <c r="D365" i="56"/>
  <c r="D364" i="56"/>
  <c r="D363" i="56"/>
  <c r="D362" i="56"/>
  <c r="D361" i="56"/>
  <c r="D360" i="56"/>
  <c r="D359" i="56"/>
  <c r="D358" i="56"/>
  <c r="D357" i="56"/>
  <c r="D356" i="56"/>
  <c r="D355" i="56"/>
  <c r="D354" i="56"/>
  <c r="D353" i="56"/>
  <c r="D352" i="56"/>
  <c r="D351" i="56"/>
  <c r="D350" i="56"/>
  <c r="D349" i="56"/>
  <c r="D348" i="56"/>
  <c r="D347" i="56"/>
  <c r="D346" i="56"/>
  <c r="D345" i="56"/>
  <c r="D344" i="56"/>
  <c r="D343" i="56"/>
  <c r="D342" i="56"/>
  <c r="D341" i="56"/>
  <c r="D340" i="56"/>
  <c r="D339" i="56"/>
  <c r="D338" i="56"/>
  <c r="D337" i="56"/>
  <c r="D336" i="56"/>
  <c r="D335" i="56"/>
  <c r="D334" i="56"/>
  <c r="D333" i="56"/>
  <c r="D332" i="56"/>
  <c r="D331" i="56"/>
  <c r="D330" i="56"/>
  <c r="D329" i="56"/>
  <c r="D328" i="56"/>
  <c r="D327" i="56"/>
  <c r="D326" i="56"/>
  <c r="D325" i="56"/>
  <c r="D324" i="56"/>
  <c r="D323" i="56"/>
  <c r="D322" i="56"/>
  <c r="D321" i="56"/>
  <c r="D320" i="56"/>
  <c r="D319" i="56"/>
  <c r="D318" i="56"/>
  <c r="D317" i="56"/>
  <c r="D316" i="56"/>
  <c r="D315" i="56"/>
  <c r="D314" i="56"/>
  <c r="D313" i="56"/>
  <c r="D312" i="56"/>
  <c r="D311" i="56"/>
  <c r="D310" i="56"/>
  <c r="D309" i="56"/>
  <c r="D308" i="56"/>
  <c r="D307" i="56"/>
  <c r="D306" i="56"/>
  <c r="D305" i="56"/>
  <c r="D304" i="56"/>
  <c r="D303" i="56"/>
  <c r="D302" i="56"/>
  <c r="D301" i="56"/>
  <c r="D300" i="56"/>
  <c r="D299" i="56"/>
  <c r="D298" i="56"/>
  <c r="D297" i="56"/>
  <c r="D296" i="56"/>
  <c r="D295" i="56"/>
  <c r="D294" i="56"/>
  <c r="D293" i="56"/>
  <c r="D292" i="56"/>
  <c r="D291" i="56"/>
  <c r="D290" i="56"/>
  <c r="D289" i="56"/>
  <c r="D288" i="56"/>
  <c r="D287" i="56"/>
  <c r="D286" i="56"/>
  <c r="D285" i="56"/>
  <c r="D284" i="56"/>
  <c r="D283" i="56"/>
  <c r="D214" i="56"/>
  <c r="D213" i="56"/>
  <c r="D212" i="56"/>
  <c r="D211" i="56"/>
  <c r="D210" i="56"/>
  <c r="D209" i="56"/>
  <c r="D208" i="56"/>
  <c r="D207" i="56"/>
  <c r="D206" i="56"/>
  <c r="D205" i="56"/>
  <c r="D204" i="56"/>
  <c r="D203" i="56"/>
  <c r="D202" i="56"/>
  <c r="D201" i="56"/>
  <c r="D200" i="56"/>
  <c r="D199" i="56"/>
  <c r="D198" i="56"/>
  <c r="D197" i="56"/>
  <c r="D196" i="56"/>
  <c r="D195" i="56"/>
  <c r="D194" i="56"/>
  <c r="D193" i="56"/>
  <c r="D192" i="56"/>
  <c r="D191" i="56"/>
  <c r="D190" i="56"/>
  <c r="D189" i="56"/>
  <c r="D188" i="56"/>
  <c r="D187" i="56"/>
  <c r="D186" i="56"/>
  <c r="D185" i="56"/>
  <c r="D184" i="56"/>
  <c r="D183" i="56"/>
  <c r="D182" i="56"/>
  <c r="D181" i="56"/>
  <c r="D180" i="56"/>
  <c r="D179" i="56"/>
  <c r="D178" i="56"/>
  <c r="D177" i="56"/>
  <c r="D176" i="56"/>
  <c r="D175" i="56"/>
  <c r="D174" i="56"/>
  <c r="D173" i="56"/>
  <c r="D172" i="56"/>
  <c r="D171" i="56"/>
  <c r="D170" i="56"/>
  <c r="D169" i="56"/>
  <c r="D168" i="56"/>
  <c r="D167" i="56"/>
  <c r="D166" i="56"/>
  <c r="D165" i="56"/>
  <c r="D164" i="56"/>
  <c r="D163" i="56"/>
  <c r="D162" i="56"/>
  <c r="D161" i="56"/>
  <c r="D160" i="56"/>
  <c r="D159" i="56"/>
  <c r="D158" i="56"/>
  <c r="D157" i="56"/>
  <c r="D156" i="56"/>
  <c r="D155" i="56"/>
  <c r="D154" i="56"/>
  <c r="D153" i="56"/>
  <c r="D152" i="56"/>
  <c r="D151" i="56"/>
  <c r="D150" i="56"/>
  <c r="D149" i="56"/>
  <c r="D148" i="56"/>
  <c r="D147" i="56"/>
  <c r="D146" i="56"/>
  <c r="D145" i="56"/>
  <c r="D144" i="56"/>
  <c r="D143" i="56"/>
  <c r="D142" i="56"/>
  <c r="D141" i="56"/>
  <c r="D140" i="56"/>
  <c r="D139" i="56"/>
  <c r="D138" i="56"/>
  <c r="D137" i="56"/>
  <c r="D136" i="56"/>
  <c r="D135" i="56"/>
  <c r="D134" i="56"/>
  <c r="D133" i="56"/>
  <c r="D132" i="56"/>
  <c r="D131" i="56"/>
  <c r="D130" i="56"/>
  <c r="D129" i="56"/>
  <c r="D128" i="56"/>
  <c r="D127" i="56"/>
  <c r="D126" i="56"/>
  <c r="D125" i="56"/>
  <c r="D124" i="56"/>
  <c r="D123" i="56"/>
  <c r="D122" i="56"/>
  <c r="D121" i="56"/>
  <c r="D120" i="56"/>
  <c r="D119" i="56"/>
  <c r="D118" i="56"/>
  <c r="D117" i="56"/>
  <c r="D116" i="56"/>
  <c r="D115" i="56"/>
  <c r="D114" i="56"/>
  <c r="D113" i="56"/>
  <c r="D112" i="56"/>
  <c r="D111" i="56"/>
  <c r="D110" i="56"/>
  <c r="D109" i="56"/>
  <c r="D108" i="56"/>
  <c r="D107" i="56"/>
  <c r="D106" i="56"/>
  <c r="D105" i="56"/>
  <c r="D104" i="56"/>
  <c r="D103" i="56"/>
  <c r="D102" i="56"/>
  <c r="D101" i="56"/>
  <c r="D100" i="56"/>
  <c r="D99" i="56"/>
  <c r="D98" i="56"/>
  <c r="D97" i="56"/>
  <c r="D96" i="56"/>
  <c r="D95" i="56"/>
  <c r="D94" i="56"/>
  <c r="D93" i="56"/>
  <c r="D92" i="56"/>
  <c r="D91" i="56"/>
  <c r="D90" i="56"/>
  <c r="D89" i="56"/>
  <c r="D88" i="56"/>
  <c r="D87" i="56"/>
  <c r="D86" i="56"/>
  <c r="D85" i="56"/>
  <c r="D84" i="56"/>
  <c r="D83" i="56"/>
  <c r="D82" i="56"/>
  <c r="D81" i="56"/>
  <c r="D80" i="56"/>
  <c r="D79" i="56"/>
  <c r="D78" i="56"/>
  <c r="D77" i="56"/>
  <c r="D76" i="56"/>
  <c r="D75" i="56"/>
  <c r="D74" i="56"/>
  <c r="D73" i="56"/>
  <c r="D72" i="56"/>
  <c r="D71" i="56"/>
  <c r="D70" i="56"/>
  <c r="D69" i="56"/>
  <c r="D68" i="56"/>
  <c r="D66" i="56"/>
  <c r="D65" i="56"/>
  <c r="D64" i="56"/>
  <c r="D63" i="56"/>
  <c r="D62" i="56"/>
  <c r="D61" i="56"/>
  <c r="D60" i="56"/>
  <c r="D59" i="56"/>
  <c r="D58" i="56"/>
  <c r="D57" i="56"/>
  <c r="D56" i="56"/>
  <c r="D55" i="56"/>
  <c r="D54" i="56"/>
  <c r="D53" i="56"/>
  <c r="D52" i="56"/>
  <c r="D51" i="56"/>
  <c r="D50" i="56"/>
  <c r="D49" i="56"/>
  <c r="D48" i="56"/>
  <c r="D47" i="56"/>
  <c r="D46" i="56"/>
  <c r="D45" i="56"/>
  <c r="D44" i="56"/>
  <c r="D43" i="56"/>
  <c r="D42" i="56"/>
  <c r="D41" i="56"/>
  <c r="D40" i="56"/>
  <c r="D39" i="56"/>
  <c r="D38" i="56"/>
  <c r="D37" i="56"/>
  <c r="D36" i="56"/>
  <c r="D35" i="56"/>
  <c r="D34" i="56"/>
  <c r="D33" i="56"/>
  <c r="D32" i="56"/>
  <c r="D31" i="56"/>
  <c r="D30" i="56"/>
  <c r="D29" i="56"/>
  <c r="D28" i="56"/>
  <c r="D27" i="56"/>
  <c r="D26" i="56"/>
  <c r="D25" i="56"/>
  <c r="D24" i="56"/>
  <c r="D23" i="56"/>
  <c r="D22" i="56"/>
  <c r="D21" i="56"/>
  <c r="D20" i="56"/>
  <c r="D19" i="56"/>
  <c r="D18" i="56"/>
  <c r="D17" i="56"/>
  <c r="D16" i="56"/>
  <c r="D15" i="56"/>
  <c r="E14" i="56"/>
  <c r="E158" i="57" l="1"/>
  <c r="E16" i="57"/>
  <c r="E36" i="57"/>
  <c r="E41" i="57"/>
  <c r="E48" i="57"/>
  <c r="E62" i="57"/>
  <c r="N105" i="57"/>
  <c r="E106" i="57"/>
  <c r="E109" i="57"/>
  <c r="N119" i="57"/>
  <c r="N133" i="57"/>
  <c r="E137" i="57"/>
  <c r="N143" i="57"/>
  <c r="E172" i="57"/>
  <c r="E179" i="57"/>
  <c r="E192" i="57"/>
  <c r="E206" i="57"/>
  <c r="X226" i="57"/>
  <c r="E226" i="57"/>
  <c r="E272" i="57"/>
  <c r="X272" i="57"/>
  <c r="N394" i="57"/>
  <c r="E394" i="57"/>
  <c r="E481" i="57"/>
  <c r="N481" i="57"/>
  <c r="X32" i="57"/>
  <c r="E52" i="57"/>
  <c r="X59" i="57"/>
  <c r="E61" i="57"/>
  <c r="E75" i="57"/>
  <c r="X79" i="57"/>
  <c r="E86" i="57"/>
  <c r="E96" i="57"/>
  <c r="N109" i="57"/>
  <c r="E113" i="57"/>
  <c r="X130" i="57"/>
  <c r="X144" i="57"/>
  <c r="E147" i="57"/>
  <c r="E151" i="57"/>
  <c r="E166" i="57"/>
  <c r="X169" i="57"/>
  <c r="N172" i="57"/>
  <c r="E186" i="57"/>
  <c r="E200" i="57"/>
  <c r="E205" i="57"/>
  <c r="N206" i="57"/>
  <c r="E216" i="57"/>
  <c r="E458" i="57"/>
  <c r="X458" i="57"/>
  <c r="E521" i="57"/>
  <c r="X521" i="57"/>
  <c r="E543" i="57"/>
  <c r="N543" i="57"/>
  <c r="E573" i="57"/>
  <c r="X573" i="57"/>
  <c r="E597" i="57"/>
  <c r="X597" i="57"/>
  <c r="E17" i="57"/>
  <c r="X18" i="57"/>
  <c r="E26" i="57"/>
  <c r="X31" i="57"/>
  <c r="E35" i="57"/>
  <c r="X36" i="57"/>
  <c r="E39" i="57"/>
  <c r="X41" i="57"/>
  <c r="E44" i="57"/>
  <c r="E53" i="57"/>
  <c r="X78" i="57"/>
  <c r="E87" i="57"/>
  <c r="X106" i="57"/>
  <c r="E117" i="57"/>
  <c r="E138" i="57"/>
  <c r="E141" i="57"/>
  <c r="E152" i="57"/>
  <c r="E156" i="57"/>
  <c r="X159" i="57"/>
  <c r="E167" i="57"/>
  <c r="X174" i="57"/>
  <c r="E176" i="57"/>
  <c r="N186" i="57"/>
  <c r="E199" i="57"/>
  <c r="N205" i="57"/>
  <c r="E210" i="57"/>
  <c r="E215" i="57"/>
  <c r="E224" i="57"/>
  <c r="E238" i="57"/>
  <c r="E529" i="57"/>
  <c r="N529" i="57"/>
  <c r="E253" i="57"/>
  <c r="E271" i="57"/>
  <c r="X271" i="57"/>
  <c r="E348" i="57"/>
  <c r="X348" i="57"/>
  <c r="X555" i="57"/>
  <c r="E555" i="57"/>
  <c r="E569" i="57"/>
  <c r="X569" i="57"/>
  <c r="E602" i="57"/>
  <c r="X602" i="57"/>
  <c r="E73" i="57"/>
  <c r="E84" i="57"/>
  <c r="E93" i="57"/>
  <c r="E111" i="57"/>
  <c r="E125" i="57"/>
  <c r="X153" i="57"/>
  <c r="E160" i="57"/>
  <c r="E164" i="57"/>
  <c r="N170" i="57"/>
  <c r="N204" i="57"/>
  <c r="X440" i="57"/>
  <c r="E440" i="57"/>
  <c r="N456" i="57"/>
  <c r="E456" i="57"/>
  <c r="X483" i="57"/>
  <c r="E483" i="57"/>
  <c r="E60" i="57"/>
  <c r="E70" i="57"/>
  <c r="E80" i="57"/>
  <c r="X182" i="57"/>
  <c r="N222" i="57"/>
  <c r="E222" i="57"/>
  <c r="X230" i="57"/>
  <c r="E230" i="57"/>
  <c r="E519" i="57"/>
  <c r="N519" i="57"/>
  <c r="E578" i="57"/>
  <c r="X578" i="57"/>
  <c r="X15" i="57"/>
  <c r="E19" i="57"/>
  <c r="X20" i="57"/>
  <c r="E23" i="57"/>
  <c r="X25" i="57"/>
  <c r="E28" i="57"/>
  <c r="E33" i="57"/>
  <c r="X34" i="57"/>
  <c r="E42" i="57"/>
  <c r="X47" i="57"/>
  <c r="X56" i="57"/>
  <c r="E101" i="57"/>
  <c r="E115" i="57"/>
  <c r="X136" i="57"/>
  <c r="E139" i="57"/>
  <c r="N149" i="57"/>
  <c r="E154" i="57"/>
  <c r="E168" i="57"/>
  <c r="E175" i="57"/>
  <c r="E178" i="57"/>
  <c r="X191" i="57"/>
  <c r="N213" i="57"/>
  <c r="E279" i="57"/>
  <c r="E295" i="57"/>
  <c r="N476" i="57"/>
  <c r="E476" i="57"/>
  <c r="E493" i="57"/>
  <c r="X493" i="57"/>
  <c r="X531" i="57"/>
  <c r="E531" i="57"/>
  <c r="E545" i="57"/>
  <c r="X545" i="57"/>
  <c r="E567" i="57"/>
  <c r="N567" i="57"/>
  <c r="N178" i="57"/>
  <c r="E196" i="57"/>
  <c r="E212" i="57"/>
  <c r="E221" i="57"/>
  <c r="E232" i="57"/>
  <c r="X246" i="57"/>
  <c r="E246" i="57"/>
  <c r="E553" i="57"/>
  <c r="N553" i="57"/>
  <c r="E268" i="57"/>
  <c r="E377" i="57"/>
  <c r="E383" i="57"/>
  <c r="X412" i="57"/>
  <c r="X420" i="57"/>
  <c r="X428" i="57"/>
  <c r="E439" i="57"/>
  <c r="X453" i="57"/>
  <c r="X473" i="57"/>
  <c r="E482" i="57"/>
  <c r="X489" i="57"/>
  <c r="E492" i="57"/>
  <c r="E530" i="57"/>
  <c r="E262" i="57"/>
  <c r="E263" i="57"/>
  <c r="E318" i="57"/>
  <c r="E324" i="57"/>
  <c r="E329" i="57"/>
  <c r="E338" i="57"/>
  <c r="E358" i="57"/>
  <c r="N359" i="57"/>
  <c r="E368" i="57"/>
  <c r="E382" i="57"/>
  <c r="E387" i="57"/>
  <c r="E392" i="57"/>
  <c r="E400" i="57"/>
  <c r="N401" i="57"/>
  <c r="E408" i="57"/>
  <c r="N409" i="57"/>
  <c r="E425" i="57"/>
  <c r="E444" i="57"/>
  <c r="E449" i="57"/>
  <c r="E461" i="57"/>
  <c r="E466" i="57"/>
  <c r="E487" i="57"/>
  <c r="E495" i="57"/>
  <c r="E501" i="57"/>
  <c r="E506" i="57"/>
  <c r="E524" i="57"/>
  <c r="E537" i="57"/>
  <c r="E547" i="57"/>
  <c r="E548" i="57"/>
  <c r="E571" i="57"/>
  <c r="E572" i="57"/>
  <c r="E581" i="57"/>
  <c r="E605" i="57"/>
  <c r="E291" i="57"/>
  <c r="E335" i="57"/>
  <c r="E340" i="57"/>
  <c r="X341" i="57"/>
  <c r="X356" i="57"/>
  <c r="X390" i="57"/>
  <c r="E416" i="57"/>
  <c r="E424" i="57"/>
  <c r="E438" i="57"/>
  <c r="X477" i="57"/>
  <c r="X482" i="57"/>
  <c r="X492" i="57"/>
  <c r="X525" i="57"/>
  <c r="X530" i="57"/>
  <c r="X549" i="57"/>
  <c r="X596" i="57"/>
  <c r="N599" i="57"/>
  <c r="E220" i="57"/>
  <c r="E229" i="57"/>
  <c r="X279" i="57"/>
  <c r="E282" i="57"/>
  <c r="X283" i="57"/>
  <c r="X295" i="57"/>
  <c r="E319" i="57"/>
  <c r="E328" i="57"/>
  <c r="E364" i="57"/>
  <c r="E367" i="57"/>
  <c r="E388" i="57"/>
  <c r="X457" i="57"/>
  <c r="X461" i="57"/>
  <c r="X466" i="57"/>
  <c r="X497" i="57"/>
  <c r="E499" i="57"/>
  <c r="X501" i="57"/>
  <c r="E503" i="57"/>
  <c r="X506" i="57"/>
  <c r="E509" i="57"/>
  <c r="E514" i="57"/>
  <c r="X524" i="57"/>
  <c r="N527" i="57"/>
  <c r="E533" i="57"/>
  <c r="E538" i="57"/>
  <c r="X548" i="57"/>
  <c r="N551" i="57"/>
  <c r="E557" i="57"/>
  <c r="E579" i="57"/>
  <c r="E580" i="57"/>
  <c r="X581" i="57"/>
  <c r="E583" i="57"/>
  <c r="X601" i="57"/>
  <c r="E603" i="57"/>
  <c r="E604" i="57"/>
  <c r="X605" i="57"/>
  <c r="E607" i="57"/>
  <c r="X291" i="57"/>
  <c r="E301" i="57"/>
  <c r="E332" i="57"/>
  <c r="X340" i="57"/>
  <c r="E342" i="57"/>
  <c r="E366" i="57"/>
  <c r="X378" i="57"/>
  <c r="E413" i="57"/>
  <c r="E421" i="57"/>
  <c r="E429" i="57"/>
  <c r="E437" i="57"/>
  <c r="X438" i="57"/>
  <c r="X460" i="57"/>
  <c r="E474" i="57"/>
  <c r="E532" i="57"/>
  <c r="E556" i="57"/>
  <c r="N583" i="57"/>
  <c r="E589" i="57"/>
  <c r="E594" i="57"/>
  <c r="N607" i="57"/>
  <c r="E252" i="57"/>
  <c r="E276" i="57"/>
  <c r="E284" i="57"/>
  <c r="E312" i="57"/>
  <c r="E321" i="57"/>
  <c r="V385" i="57"/>
  <c r="V386" i="57"/>
  <c r="E411" i="57"/>
  <c r="E452" i="57"/>
  <c r="E467" i="57"/>
  <c r="E507" i="57"/>
  <c r="E508" i="57"/>
  <c r="X509" i="57"/>
  <c r="E511" i="57"/>
  <c r="X514" i="57"/>
  <c r="E517" i="57"/>
  <c r="E535" i="57"/>
  <c r="E541" i="57"/>
  <c r="E559" i="57"/>
  <c r="E587" i="57"/>
  <c r="E228" i="57"/>
  <c r="E237" i="57"/>
  <c r="E249" i="57"/>
  <c r="E257" i="57"/>
  <c r="E292" i="57"/>
  <c r="X301" i="57"/>
  <c r="N312" i="57"/>
  <c r="E326" i="57"/>
  <c r="E362" i="57"/>
  <c r="E379" i="57"/>
  <c r="E49" i="57"/>
  <c r="E50" i="57"/>
  <c r="E65" i="57"/>
  <c r="E66" i="57"/>
  <c r="E89" i="57"/>
  <c r="E99" i="57"/>
  <c r="N99" i="57"/>
  <c r="E116" i="57"/>
  <c r="X116" i="57"/>
  <c r="E163" i="57"/>
  <c r="X163" i="57"/>
  <c r="E185" i="57"/>
  <c r="X185" i="57"/>
  <c r="E239" i="57"/>
  <c r="X239" i="57"/>
  <c r="P15" i="57"/>
  <c r="P16" i="57" s="1"/>
  <c r="P17" i="57" s="1"/>
  <c r="P18" i="57" s="1"/>
  <c r="P19" i="57" s="1"/>
  <c r="P20" i="57" s="1"/>
  <c r="P21" i="57" s="1"/>
  <c r="P22" i="57" s="1"/>
  <c r="P23" i="57" s="1"/>
  <c r="P24" i="57" s="1"/>
  <c r="P25" i="57" s="1"/>
  <c r="P26" i="57" s="1"/>
  <c r="P27" i="57" s="1"/>
  <c r="P28" i="57" s="1"/>
  <c r="P29" i="57" s="1"/>
  <c r="P30" i="57" s="1"/>
  <c r="P31" i="57" s="1"/>
  <c r="P32" i="57" s="1"/>
  <c r="P33" i="57" s="1"/>
  <c r="P34" i="57" s="1"/>
  <c r="P35" i="57" s="1"/>
  <c r="P36" i="57" s="1"/>
  <c r="P37" i="57" s="1"/>
  <c r="P38" i="57" s="1"/>
  <c r="P39" i="57" s="1"/>
  <c r="P40" i="57" s="1"/>
  <c r="P41" i="57" s="1"/>
  <c r="P42" i="57" s="1"/>
  <c r="P43" i="57" s="1"/>
  <c r="P44" i="57" s="1"/>
  <c r="P45" i="57" s="1"/>
  <c r="P46" i="57" s="1"/>
  <c r="P47" i="57" s="1"/>
  <c r="P48" i="57" s="1"/>
  <c r="P49" i="57" s="1"/>
  <c r="P50" i="57" s="1"/>
  <c r="P51" i="57" s="1"/>
  <c r="P52" i="57" s="1"/>
  <c r="P53" i="57" s="1"/>
  <c r="P54" i="57" s="1"/>
  <c r="P55" i="57" s="1"/>
  <c r="P56" i="57" s="1"/>
  <c r="P57" i="57" s="1"/>
  <c r="P58" i="57" s="1"/>
  <c r="P59" i="57" s="1"/>
  <c r="P60" i="57" s="1"/>
  <c r="P61" i="57" s="1"/>
  <c r="P62" i="57" s="1"/>
  <c r="P63" i="57" s="1"/>
  <c r="P64" i="57" s="1"/>
  <c r="P65" i="57" s="1"/>
  <c r="P66" i="57" s="1"/>
  <c r="P67" i="57" s="1"/>
  <c r="P68" i="57" s="1"/>
  <c r="P69" i="57" s="1"/>
  <c r="P70" i="57" s="1"/>
  <c r="P71" i="57" s="1"/>
  <c r="P72" i="57" s="1"/>
  <c r="P73" i="57" s="1"/>
  <c r="P74" i="57" s="1"/>
  <c r="P75" i="57" s="1"/>
  <c r="P76" i="57" s="1"/>
  <c r="P77" i="57" s="1"/>
  <c r="P78" i="57" s="1"/>
  <c r="P79" i="57" s="1"/>
  <c r="P80" i="57" s="1"/>
  <c r="P81" i="57" s="1"/>
  <c r="P82" i="57" s="1"/>
  <c r="P83" i="57" s="1"/>
  <c r="P84" i="57" s="1"/>
  <c r="P85" i="57" s="1"/>
  <c r="P86" i="57" s="1"/>
  <c r="P87" i="57" s="1"/>
  <c r="P88" i="57" s="1"/>
  <c r="P89" i="57" s="1"/>
  <c r="P90" i="57" s="1"/>
  <c r="P91" i="57" s="1"/>
  <c r="P92" i="57" s="1"/>
  <c r="P93" i="57" s="1"/>
  <c r="P94" i="57" s="1"/>
  <c r="P95" i="57" s="1"/>
  <c r="P96" i="57" s="1"/>
  <c r="P97" i="57" s="1"/>
  <c r="P98" i="57" s="1"/>
  <c r="P99" i="57" s="1"/>
  <c r="P100" i="57" s="1"/>
  <c r="P101" i="57" s="1"/>
  <c r="P102" i="57" s="1"/>
  <c r="P103" i="57" s="1"/>
  <c r="P104" i="57" s="1"/>
  <c r="P105" i="57" s="1"/>
  <c r="P106" i="57" s="1"/>
  <c r="P107" i="57" s="1"/>
  <c r="P108" i="57" s="1"/>
  <c r="P109" i="57" s="1"/>
  <c r="P110" i="57" s="1"/>
  <c r="P111" i="57" s="1"/>
  <c r="P112" i="57" s="1"/>
  <c r="P113" i="57" s="1"/>
  <c r="P114" i="57" s="1"/>
  <c r="P115" i="57" s="1"/>
  <c r="P116" i="57" s="1"/>
  <c r="P117" i="57" s="1"/>
  <c r="P118" i="57" s="1"/>
  <c r="P119" i="57" s="1"/>
  <c r="P120" i="57" s="1"/>
  <c r="P121" i="57" s="1"/>
  <c r="P122" i="57" s="1"/>
  <c r="P123" i="57" s="1"/>
  <c r="P124" i="57" s="1"/>
  <c r="P125" i="57" s="1"/>
  <c r="P126" i="57" s="1"/>
  <c r="P127" i="57" s="1"/>
  <c r="P128" i="57" s="1"/>
  <c r="P129" i="57" s="1"/>
  <c r="P130" i="57" s="1"/>
  <c r="P131" i="57" s="1"/>
  <c r="P132" i="57" s="1"/>
  <c r="P133" i="57" s="1"/>
  <c r="P134" i="57" s="1"/>
  <c r="P135" i="57" s="1"/>
  <c r="P136" i="57" s="1"/>
  <c r="P137" i="57" s="1"/>
  <c r="P138" i="57" s="1"/>
  <c r="P139" i="57" s="1"/>
  <c r="P140" i="57" s="1"/>
  <c r="P141" i="57" s="1"/>
  <c r="P142" i="57" s="1"/>
  <c r="P143" i="57" s="1"/>
  <c r="P144" i="57" s="1"/>
  <c r="P145" i="57" s="1"/>
  <c r="P146" i="57" s="1"/>
  <c r="P147" i="57" s="1"/>
  <c r="P148" i="57" s="1"/>
  <c r="P149" i="57" s="1"/>
  <c r="P150" i="57" s="1"/>
  <c r="P151" i="57" s="1"/>
  <c r="X19" i="57"/>
  <c r="X27" i="57"/>
  <c r="X35" i="57"/>
  <c r="X43" i="57"/>
  <c r="E51" i="57"/>
  <c r="X53" i="57"/>
  <c r="X54" i="57"/>
  <c r="E67" i="57"/>
  <c r="X69" i="57"/>
  <c r="X70" i="57"/>
  <c r="X71" i="57"/>
  <c r="E120" i="57"/>
  <c r="X122" i="57"/>
  <c r="N142" i="57"/>
  <c r="E142" i="57"/>
  <c r="E194" i="57"/>
  <c r="X194" i="57"/>
  <c r="E225" i="57"/>
  <c r="X225" i="57"/>
  <c r="E235" i="57"/>
  <c r="X235" i="57"/>
  <c r="E267" i="57"/>
  <c r="X267" i="57"/>
  <c r="E281" i="57"/>
  <c r="X281" i="57"/>
  <c r="N118" i="57"/>
  <c r="E118" i="57"/>
  <c r="E132" i="57"/>
  <c r="X132" i="57"/>
  <c r="N165" i="57"/>
  <c r="E165" i="57"/>
  <c r="E209" i="57"/>
  <c r="X209" i="57"/>
  <c r="E260" i="57"/>
  <c r="N260" i="57"/>
  <c r="W609" i="57"/>
  <c r="E81" i="57"/>
  <c r="E90" i="57"/>
  <c r="E103" i="57"/>
  <c r="E112" i="57"/>
  <c r="E155" i="57"/>
  <c r="X155" i="57"/>
  <c r="N181" i="57"/>
  <c r="E181" i="57"/>
  <c r="E203" i="57"/>
  <c r="X203" i="57"/>
  <c r="E219" i="57"/>
  <c r="X219" i="57"/>
  <c r="E305" i="57"/>
  <c r="X305" i="57"/>
  <c r="E309" i="57"/>
  <c r="X309" i="57"/>
  <c r="X313" i="57"/>
  <c r="E313" i="57"/>
  <c r="X14" i="57"/>
  <c r="E21" i="57"/>
  <c r="X22" i="57"/>
  <c r="E29" i="57"/>
  <c r="X30" i="57"/>
  <c r="E37" i="57"/>
  <c r="X38" i="57"/>
  <c r="E45" i="57"/>
  <c r="X46" i="57"/>
  <c r="E57" i="57"/>
  <c r="E58" i="57"/>
  <c r="E64" i="57"/>
  <c r="E77" i="57"/>
  <c r="N85" i="57"/>
  <c r="E88" i="57"/>
  <c r="E95" i="57"/>
  <c r="E104" i="57"/>
  <c r="N110" i="57"/>
  <c r="E110" i="57"/>
  <c r="X114" i="57"/>
  <c r="N134" i="57"/>
  <c r="E134" i="57"/>
  <c r="E148" i="57"/>
  <c r="X148" i="57"/>
  <c r="X161" i="57"/>
  <c r="E177" i="57"/>
  <c r="X177" i="57"/>
  <c r="E233" i="57"/>
  <c r="X233" i="57"/>
  <c r="N102" i="57"/>
  <c r="E102" i="57"/>
  <c r="E108" i="57"/>
  <c r="E124" i="57"/>
  <c r="X124" i="57"/>
  <c r="N157" i="57"/>
  <c r="E157" i="57"/>
  <c r="E256" i="57"/>
  <c r="X256" i="57"/>
  <c r="E72" i="57"/>
  <c r="E74" i="57"/>
  <c r="E82" i="57"/>
  <c r="E92" i="57"/>
  <c r="X98" i="57"/>
  <c r="E100" i="57"/>
  <c r="E128" i="57"/>
  <c r="N150" i="57"/>
  <c r="E150" i="57"/>
  <c r="E171" i="57"/>
  <c r="X171" i="57"/>
  <c r="E201" i="57"/>
  <c r="X201" i="57"/>
  <c r="E217" i="57"/>
  <c r="X217" i="57"/>
  <c r="E227" i="57"/>
  <c r="X227" i="57"/>
  <c r="E240" i="57"/>
  <c r="X240" i="57"/>
  <c r="X374" i="57"/>
  <c r="E374" i="57"/>
  <c r="E91" i="57"/>
  <c r="N91" i="57"/>
  <c r="E107" i="57"/>
  <c r="N107" i="57"/>
  <c r="N126" i="57"/>
  <c r="E126" i="57"/>
  <c r="E140" i="57"/>
  <c r="X140" i="57"/>
  <c r="N173" i="57"/>
  <c r="E173" i="57"/>
  <c r="N189" i="57"/>
  <c r="E189" i="57"/>
  <c r="E195" i="57"/>
  <c r="X195" i="57"/>
  <c r="E211" i="57"/>
  <c r="X211" i="57"/>
  <c r="N261" i="57"/>
  <c r="E261" i="57"/>
  <c r="N115" i="57"/>
  <c r="N123" i="57"/>
  <c r="N131" i="57"/>
  <c r="N139" i="57"/>
  <c r="N147" i="57"/>
  <c r="N154" i="57"/>
  <c r="N162" i="57"/>
  <c r="E180" i="57"/>
  <c r="E188" i="57"/>
  <c r="N196" i="57"/>
  <c r="N197" i="57"/>
  <c r="N220" i="57"/>
  <c r="N221" i="57"/>
  <c r="N228" i="57"/>
  <c r="N229" i="57"/>
  <c r="N236" i="57"/>
  <c r="N237" i="57"/>
  <c r="E243" i="57"/>
  <c r="X243" i="57"/>
  <c r="N252" i="57"/>
  <c r="N253" i="57"/>
  <c r="E258" i="57"/>
  <c r="X258" i="57"/>
  <c r="E298" i="57"/>
  <c r="X298" i="57"/>
  <c r="X310" i="57"/>
  <c r="E310" i="57"/>
  <c r="N328" i="57"/>
  <c r="E344" i="57"/>
  <c r="N344" i="57"/>
  <c r="X385" i="57"/>
  <c r="N214" i="57"/>
  <c r="E242" i="57"/>
  <c r="X242" i="57"/>
  <c r="X248" i="57"/>
  <c r="E264" i="57"/>
  <c r="N276" i="57"/>
  <c r="E288" i="57"/>
  <c r="X288" i="57"/>
  <c r="N292" i="57"/>
  <c r="E568" i="57"/>
  <c r="N568" i="57"/>
  <c r="X193" i="57"/>
  <c r="X241" i="57"/>
  <c r="E244" i="57"/>
  <c r="E245" i="57"/>
  <c r="E266" i="57"/>
  <c r="X266" i="57"/>
  <c r="E297" i="57"/>
  <c r="X297" i="57"/>
  <c r="E300" i="57"/>
  <c r="X300" i="57"/>
  <c r="E331" i="57"/>
  <c r="E251" i="57"/>
  <c r="X251" i="57"/>
  <c r="E316" i="57"/>
  <c r="X316" i="57"/>
  <c r="X419" i="57"/>
  <c r="E419" i="57"/>
  <c r="E250" i="57"/>
  <c r="X250" i="57"/>
  <c r="E275" i="57"/>
  <c r="X275" i="57"/>
  <c r="E280" i="57"/>
  <c r="X280" i="57"/>
  <c r="N284" i="57"/>
  <c r="B618" i="57" s="1"/>
  <c r="E299" i="57"/>
  <c r="X299" i="57"/>
  <c r="E308" i="57"/>
  <c r="X308" i="57"/>
  <c r="X179" i="57"/>
  <c r="X187" i="57"/>
  <c r="N268" i="57"/>
  <c r="B616" i="57" s="1"/>
  <c r="E277" i="57"/>
  <c r="E289" i="57"/>
  <c r="X289" i="57"/>
  <c r="E293" i="57"/>
  <c r="E311" i="57"/>
  <c r="X311" i="57"/>
  <c r="E353" i="57"/>
  <c r="X353" i="57"/>
  <c r="E397" i="57"/>
  <c r="X397" i="57"/>
  <c r="E207" i="57"/>
  <c r="X249" i="57"/>
  <c r="E259" i="57"/>
  <c r="X259" i="57"/>
  <c r="X302" i="57"/>
  <c r="E302" i="57"/>
  <c r="E307" i="57"/>
  <c r="X307" i="57"/>
  <c r="E357" i="57"/>
  <c r="N357" i="57"/>
  <c r="N426" i="57"/>
  <c r="E426" i="57"/>
  <c r="E333" i="57"/>
  <c r="V350" i="57"/>
  <c r="E355" i="57"/>
  <c r="N367" i="57"/>
  <c r="E370" i="57"/>
  <c r="E376" i="57"/>
  <c r="E386" i="57"/>
  <c r="X386" i="57"/>
  <c r="N393" i="57"/>
  <c r="E422" i="57"/>
  <c r="X422" i="57"/>
  <c r="E431" i="57"/>
  <c r="X459" i="57"/>
  <c r="E459" i="57"/>
  <c r="E504" i="57"/>
  <c r="N504" i="57"/>
  <c r="E564" i="57"/>
  <c r="X564" i="57"/>
  <c r="N320" i="57"/>
  <c r="X335" i="57"/>
  <c r="E365" i="57"/>
  <c r="N365" i="57"/>
  <c r="X372" i="57"/>
  <c r="E391" i="57"/>
  <c r="N391" i="57"/>
  <c r="X403" i="57"/>
  <c r="N410" i="57"/>
  <c r="E410" i="57"/>
  <c r="X274" i="57"/>
  <c r="X282" i="57"/>
  <c r="X290" i="57"/>
  <c r="E314" i="57"/>
  <c r="E315" i="57"/>
  <c r="E325" i="57"/>
  <c r="E337" i="57"/>
  <c r="E352" i="57"/>
  <c r="E363" i="57"/>
  <c r="N375" i="57"/>
  <c r="E384" i="57"/>
  <c r="E389" i="57"/>
  <c r="E399" i="57"/>
  <c r="E406" i="57"/>
  <c r="X406" i="57"/>
  <c r="X447" i="57"/>
  <c r="E447" i="57"/>
  <c r="E500" i="57"/>
  <c r="X500" i="57"/>
  <c r="E606" i="57"/>
  <c r="X606" i="57"/>
  <c r="E336" i="57"/>
  <c r="N336" i="57"/>
  <c r="E373" i="57"/>
  <c r="N373" i="57"/>
  <c r="X395" i="57"/>
  <c r="E430" i="57"/>
  <c r="X430" i="57"/>
  <c r="E435" i="57"/>
  <c r="X435" i="57"/>
  <c r="E317" i="57"/>
  <c r="X325" i="57"/>
  <c r="X327" i="57"/>
  <c r="E334" i="57"/>
  <c r="X343" i="57"/>
  <c r="E347" i="57"/>
  <c r="N351" i="57"/>
  <c r="E354" i="57"/>
  <c r="E360" i="57"/>
  <c r="E371" i="57"/>
  <c r="N383" i="57"/>
  <c r="E398" i="57"/>
  <c r="X398" i="57"/>
  <c r="E402" i="57"/>
  <c r="E405" i="57"/>
  <c r="X405" i="57"/>
  <c r="N418" i="57"/>
  <c r="E418" i="57"/>
  <c r="E542" i="57"/>
  <c r="X542" i="57"/>
  <c r="B617" i="57"/>
  <c r="E381" i="57"/>
  <c r="N381" i="57"/>
  <c r="F385" i="57"/>
  <c r="N385" i="57" s="1"/>
  <c r="E414" i="57"/>
  <c r="X414" i="57"/>
  <c r="E427" i="57"/>
  <c r="E443" i="57"/>
  <c r="X443" i="57"/>
  <c r="E433" i="57"/>
  <c r="E441" i="57"/>
  <c r="E445" i="57"/>
  <c r="E446" i="57"/>
  <c r="X446" i="57"/>
  <c r="E518" i="57"/>
  <c r="X518" i="57"/>
  <c r="E544" i="57"/>
  <c r="N544" i="57"/>
  <c r="E582" i="57"/>
  <c r="X582" i="57"/>
  <c r="E608" i="57"/>
  <c r="N608" i="57"/>
  <c r="E455" i="57"/>
  <c r="X455" i="57"/>
  <c r="E494" i="57"/>
  <c r="X494" i="57"/>
  <c r="E520" i="57"/>
  <c r="N520" i="57"/>
  <c r="E546" i="57"/>
  <c r="E558" i="57"/>
  <c r="X558" i="57"/>
  <c r="E584" i="57"/>
  <c r="N584" i="57"/>
  <c r="X436" i="57"/>
  <c r="X444" i="57"/>
  <c r="X445" i="57"/>
  <c r="E448" i="57"/>
  <c r="E451" i="57"/>
  <c r="E463" i="57"/>
  <c r="X463" i="57"/>
  <c r="E471" i="57"/>
  <c r="X471" i="57"/>
  <c r="E479" i="57"/>
  <c r="X479" i="57"/>
  <c r="E496" i="57"/>
  <c r="N496" i="57"/>
  <c r="E522" i="57"/>
  <c r="E534" i="57"/>
  <c r="X534" i="57"/>
  <c r="X540" i="57"/>
  <c r="E560" i="57"/>
  <c r="N560" i="57"/>
  <c r="E586" i="57"/>
  <c r="E598" i="57"/>
  <c r="X598" i="57"/>
  <c r="X604" i="57"/>
  <c r="X413" i="57"/>
  <c r="X421" i="57"/>
  <c r="X429" i="57"/>
  <c r="X437" i="57"/>
  <c r="E454" i="57"/>
  <c r="X454" i="57"/>
  <c r="E498" i="57"/>
  <c r="E510" i="57"/>
  <c r="X510" i="57"/>
  <c r="X516" i="57"/>
  <c r="E536" i="57"/>
  <c r="N536" i="57"/>
  <c r="E562" i="57"/>
  <c r="E574" i="57"/>
  <c r="X574" i="57"/>
  <c r="X580" i="57"/>
  <c r="E600" i="57"/>
  <c r="N600" i="57"/>
  <c r="E462" i="57"/>
  <c r="X462" i="57"/>
  <c r="E470" i="57"/>
  <c r="X470" i="57"/>
  <c r="E478" i="57"/>
  <c r="X478" i="57"/>
  <c r="E486" i="57"/>
  <c r="X486" i="57"/>
  <c r="E512" i="57"/>
  <c r="N512" i="57"/>
  <c r="E550" i="57"/>
  <c r="X550" i="57"/>
  <c r="E576" i="57"/>
  <c r="N576" i="57"/>
  <c r="X399" i="57"/>
  <c r="X407" i="57"/>
  <c r="X415" i="57"/>
  <c r="X423" i="57"/>
  <c r="X431" i="57"/>
  <c r="X439" i="57"/>
  <c r="E464" i="57"/>
  <c r="N464" i="57"/>
  <c r="E472" i="57"/>
  <c r="N472" i="57"/>
  <c r="E480" i="57"/>
  <c r="N480" i="57"/>
  <c r="E488" i="57"/>
  <c r="N488" i="57"/>
  <c r="E526" i="57"/>
  <c r="X526" i="57"/>
  <c r="E552" i="57"/>
  <c r="N552" i="57"/>
  <c r="E590" i="57"/>
  <c r="X590" i="57"/>
  <c r="E450" i="57"/>
  <c r="E490" i="57"/>
  <c r="E502" i="57"/>
  <c r="X502" i="57"/>
  <c r="X508" i="57"/>
  <c r="E528" i="57"/>
  <c r="N528" i="57"/>
  <c r="E554" i="57"/>
  <c r="E566" i="57"/>
  <c r="X566" i="57"/>
  <c r="X572" i="57"/>
  <c r="C620" i="57" s="1"/>
  <c r="E592" i="57"/>
  <c r="N592" i="57"/>
  <c r="B620" i="57" s="1"/>
  <c r="X487" i="57"/>
  <c r="A612" i="55"/>
  <c r="A613" i="55"/>
  <c r="A614" i="55"/>
  <c r="A615" i="55"/>
  <c r="A616" i="55"/>
  <c r="A617" i="55"/>
  <c r="A618" i="55"/>
  <c r="A619" i="55"/>
  <c r="T349" i="55"/>
  <c r="V349" i="55"/>
  <c r="U349" i="55"/>
  <c r="U384" i="55"/>
  <c r="V384" i="55"/>
  <c r="T384" i="55"/>
  <c r="U385" i="55"/>
  <c r="V385" i="55"/>
  <c r="T385" i="55"/>
  <c r="C318" i="56"/>
  <c r="R318" i="55"/>
  <c r="S318" i="55" s="1"/>
  <c r="W318" i="55"/>
  <c r="L152" i="55"/>
  <c r="R152" i="55"/>
  <c r="S152" i="55" s="1"/>
  <c r="W152" i="55"/>
  <c r="C151" i="56"/>
  <c r="R151" i="55"/>
  <c r="S151" i="55" s="1"/>
  <c r="W151" i="55"/>
  <c r="R14" i="55"/>
  <c r="S14" i="55" s="1"/>
  <c r="R15" i="55"/>
  <c r="R16" i="55"/>
  <c r="S16" i="55" s="1"/>
  <c r="R17" i="55"/>
  <c r="R18" i="55"/>
  <c r="S18" i="55" s="1"/>
  <c r="R19" i="55"/>
  <c r="S19" i="55" s="1"/>
  <c r="R20" i="55"/>
  <c r="S20" i="55" s="1"/>
  <c r="R21" i="55"/>
  <c r="S21" i="55" s="1"/>
  <c r="R22" i="55"/>
  <c r="S22" i="55" s="1"/>
  <c r="R23" i="55"/>
  <c r="R24" i="55"/>
  <c r="R25" i="55"/>
  <c r="R26" i="55"/>
  <c r="S26" i="55" s="1"/>
  <c r="R27" i="55"/>
  <c r="S27" i="55" s="1"/>
  <c r="R28" i="55"/>
  <c r="S28" i="55" s="1"/>
  <c r="R29" i="55"/>
  <c r="S29" i="55" s="1"/>
  <c r="R30" i="55"/>
  <c r="S30" i="55" s="1"/>
  <c r="R31" i="55"/>
  <c r="R32" i="55"/>
  <c r="S32" i="55" s="1"/>
  <c r="R33" i="55"/>
  <c r="S33" i="55" s="1"/>
  <c r="R34" i="55"/>
  <c r="S34" i="55" s="1"/>
  <c r="R35" i="55"/>
  <c r="S35" i="55" s="1"/>
  <c r="R36" i="55"/>
  <c r="S36" i="55" s="1"/>
  <c r="R37" i="55"/>
  <c r="S37" i="55" s="1"/>
  <c r="R38" i="55"/>
  <c r="S38" i="55" s="1"/>
  <c r="R39" i="55"/>
  <c r="S39" i="55" s="1"/>
  <c r="R40" i="55"/>
  <c r="S40" i="55" s="1"/>
  <c r="R41" i="55"/>
  <c r="S41" i="55" s="1"/>
  <c r="R42" i="55"/>
  <c r="S42" i="55" s="1"/>
  <c r="R43" i="55"/>
  <c r="S43" i="55" s="1"/>
  <c r="R44" i="55"/>
  <c r="S44" i="55" s="1"/>
  <c r="R45" i="55"/>
  <c r="S45" i="55" s="1"/>
  <c r="R46" i="55"/>
  <c r="S46" i="55" s="1"/>
  <c r="R47" i="55"/>
  <c r="S47" i="55" s="1"/>
  <c r="R48" i="55"/>
  <c r="S48" i="55" s="1"/>
  <c r="R49" i="55"/>
  <c r="S49" i="55" s="1"/>
  <c r="R50" i="55"/>
  <c r="S50" i="55" s="1"/>
  <c r="R51" i="55"/>
  <c r="S51" i="55" s="1"/>
  <c r="R52" i="55"/>
  <c r="S52" i="55" s="1"/>
  <c r="R53" i="55"/>
  <c r="S53" i="55" s="1"/>
  <c r="R54" i="55"/>
  <c r="S54" i="55" s="1"/>
  <c r="R55" i="55"/>
  <c r="S55" i="55" s="1"/>
  <c r="R56" i="55"/>
  <c r="S56" i="55" s="1"/>
  <c r="R57" i="55"/>
  <c r="S57" i="55" s="1"/>
  <c r="R58" i="55"/>
  <c r="S58" i="55" s="1"/>
  <c r="R59" i="55"/>
  <c r="S59" i="55" s="1"/>
  <c r="R60" i="55"/>
  <c r="S60" i="55" s="1"/>
  <c r="R61" i="55"/>
  <c r="S61" i="55" s="1"/>
  <c r="R62" i="55"/>
  <c r="S62" i="55" s="1"/>
  <c r="R63" i="55"/>
  <c r="S63" i="55" s="1"/>
  <c r="R64" i="55"/>
  <c r="S64" i="55" s="1"/>
  <c r="R65" i="55"/>
  <c r="S65" i="55" s="1"/>
  <c r="R66" i="55"/>
  <c r="S66" i="55" s="1"/>
  <c r="R67" i="55"/>
  <c r="S67" i="55" s="1"/>
  <c r="R68" i="55"/>
  <c r="S68" i="55" s="1"/>
  <c r="R69" i="55"/>
  <c r="S69" i="55" s="1"/>
  <c r="R70" i="55"/>
  <c r="S70" i="55" s="1"/>
  <c r="R71" i="55"/>
  <c r="S71" i="55" s="1"/>
  <c r="R72" i="55"/>
  <c r="S72" i="55" s="1"/>
  <c r="R73" i="55"/>
  <c r="S73" i="55" s="1"/>
  <c r="R74" i="55"/>
  <c r="S74" i="55" s="1"/>
  <c r="R75" i="55"/>
  <c r="S75" i="55" s="1"/>
  <c r="R76" i="55"/>
  <c r="S76" i="55" s="1"/>
  <c r="R77" i="55"/>
  <c r="S77" i="55" s="1"/>
  <c r="R78" i="55"/>
  <c r="S78" i="55" s="1"/>
  <c r="R79" i="55"/>
  <c r="S79" i="55" s="1"/>
  <c r="R80" i="55"/>
  <c r="S80" i="55" s="1"/>
  <c r="R81" i="55"/>
  <c r="S81" i="55" s="1"/>
  <c r="R82" i="55"/>
  <c r="S82" i="55" s="1"/>
  <c r="R83" i="55"/>
  <c r="S83" i="55" s="1"/>
  <c r="R84" i="55"/>
  <c r="S84" i="55" s="1"/>
  <c r="R85" i="55"/>
  <c r="S85" i="55" s="1"/>
  <c r="R86" i="55"/>
  <c r="S86" i="55" s="1"/>
  <c r="R87" i="55"/>
  <c r="S87" i="55" s="1"/>
  <c r="R88" i="55"/>
  <c r="S88" i="55" s="1"/>
  <c r="R89" i="55"/>
  <c r="S89" i="55" s="1"/>
  <c r="R90" i="55"/>
  <c r="S90" i="55" s="1"/>
  <c r="R91" i="55"/>
  <c r="S91" i="55" s="1"/>
  <c r="R92" i="55"/>
  <c r="S92" i="55" s="1"/>
  <c r="R93" i="55"/>
  <c r="S93" i="55" s="1"/>
  <c r="R94" i="55"/>
  <c r="S94" i="55" s="1"/>
  <c r="R95" i="55"/>
  <c r="S95" i="55" s="1"/>
  <c r="R96" i="55"/>
  <c r="S96" i="55" s="1"/>
  <c r="R97" i="55"/>
  <c r="S97" i="55" s="1"/>
  <c r="R98" i="55"/>
  <c r="S98" i="55" s="1"/>
  <c r="R99" i="55"/>
  <c r="S99" i="55" s="1"/>
  <c r="R100" i="55"/>
  <c r="S100" i="55" s="1"/>
  <c r="R101" i="55"/>
  <c r="S101" i="55" s="1"/>
  <c r="R102" i="55"/>
  <c r="S102" i="55" s="1"/>
  <c r="R103" i="55"/>
  <c r="S103" i="55" s="1"/>
  <c r="R104" i="55"/>
  <c r="S104" i="55" s="1"/>
  <c r="R105" i="55"/>
  <c r="S105" i="55" s="1"/>
  <c r="R106" i="55"/>
  <c r="S106" i="55" s="1"/>
  <c r="R107" i="55"/>
  <c r="S107" i="55" s="1"/>
  <c r="R108" i="55"/>
  <c r="S108" i="55" s="1"/>
  <c r="R109" i="55"/>
  <c r="S109" i="55" s="1"/>
  <c r="R110" i="55"/>
  <c r="S110" i="55" s="1"/>
  <c r="R111" i="55"/>
  <c r="S111" i="55" s="1"/>
  <c r="R112" i="55"/>
  <c r="S112" i="55" s="1"/>
  <c r="R113" i="55"/>
  <c r="S113" i="55" s="1"/>
  <c r="R114" i="55"/>
  <c r="S114" i="55" s="1"/>
  <c r="R115" i="55"/>
  <c r="S115" i="55" s="1"/>
  <c r="R116" i="55"/>
  <c r="S116" i="55" s="1"/>
  <c r="R117" i="55"/>
  <c r="S117" i="55" s="1"/>
  <c r="R118" i="55"/>
  <c r="S118" i="55" s="1"/>
  <c r="R119" i="55"/>
  <c r="S119" i="55" s="1"/>
  <c r="R120" i="55"/>
  <c r="S120" i="55" s="1"/>
  <c r="R121" i="55"/>
  <c r="S121" i="55" s="1"/>
  <c r="R122" i="55"/>
  <c r="S122" i="55" s="1"/>
  <c r="R123" i="55"/>
  <c r="S123" i="55" s="1"/>
  <c r="R124" i="55"/>
  <c r="S124" i="55" s="1"/>
  <c r="R125" i="55"/>
  <c r="S125" i="55" s="1"/>
  <c r="R126" i="55"/>
  <c r="S126" i="55" s="1"/>
  <c r="R127" i="55"/>
  <c r="S127" i="55" s="1"/>
  <c r="R128" i="55"/>
  <c r="S128" i="55" s="1"/>
  <c r="R129" i="55"/>
  <c r="S129" i="55" s="1"/>
  <c r="R130" i="55"/>
  <c r="S130" i="55" s="1"/>
  <c r="R131" i="55"/>
  <c r="S131" i="55" s="1"/>
  <c r="R132" i="55"/>
  <c r="S132" i="55" s="1"/>
  <c r="R133" i="55"/>
  <c r="S133" i="55" s="1"/>
  <c r="R134" i="55"/>
  <c r="S134" i="55" s="1"/>
  <c r="R135" i="55"/>
  <c r="S135" i="55" s="1"/>
  <c r="R136" i="55"/>
  <c r="S136" i="55" s="1"/>
  <c r="R137" i="55"/>
  <c r="S137" i="55" s="1"/>
  <c r="R138" i="55"/>
  <c r="S138" i="55" s="1"/>
  <c r="R139" i="55"/>
  <c r="S139" i="55" s="1"/>
  <c r="R140" i="55"/>
  <c r="S140" i="55" s="1"/>
  <c r="R141" i="55"/>
  <c r="S141" i="55" s="1"/>
  <c r="R142" i="55"/>
  <c r="S142" i="55" s="1"/>
  <c r="R143" i="55"/>
  <c r="S143" i="55" s="1"/>
  <c r="R144" i="55"/>
  <c r="S144" i="55" s="1"/>
  <c r="R145" i="55"/>
  <c r="S145" i="55" s="1"/>
  <c r="R146" i="55"/>
  <c r="S146" i="55" s="1"/>
  <c r="R147" i="55"/>
  <c r="S147" i="55" s="1"/>
  <c r="R148" i="55"/>
  <c r="S148" i="55" s="1"/>
  <c r="R149" i="55"/>
  <c r="S149" i="55" s="1"/>
  <c r="R150" i="55"/>
  <c r="S150" i="55" s="1"/>
  <c r="R153" i="55"/>
  <c r="S153" i="55" s="1"/>
  <c r="R154" i="55"/>
  <c r="S154" i="55" s="1"/>
  <c r="R155" i="55"/>
  <c r="S155" i="55" s="1"/>
  <c r="R156" i="55"/>
  <c r="S156" i="55" s="1"/>
  <c r="R157" i="55"/>
  <c r="S157" i="55" s="1"/>
  <c r="R158" i="55"/>
  <c r="S158" i="55" s="1"/>
  <c r="R159" i="55"/>
  <c r="S159" i="55" s="1"/>
  <c r="R160" i="55"/>
  <c r="S160" i="55" s="1"/>
  <c r="R161" i="55"/>
  <c r="S161" i="55" s="1"/>
  <c r="R162" i="55"/>
  <c r="S162" i="55" s="1"/>
  <c r="R163" i="55"/>
  <c r="S163" i="55" s="1"/>
  <c r="R164" i="55"/>
  <c r="S164" i="55" s="1"/>
  <c r="R165" i="55"/>
  <c r="S165" i="55" s="1"/>
  <c r="R166" i="55"/>
  <c r="S166" i="55" s="1"/>
  <c r="R167" i="55"/>
  <c r="S167" i="55" s="1"/>
  <c r="R168" i="55"/>
  <c r="S168" i="55" s="1"/>
  <c r="R169" i="55"/>
  <c r="S169" i="55" s="1"/>
  <c r="R170" i="55"/>
  <c r="S170" i="55" s="1"/>
  <c r="R171" i="55"/>
  <c r="S171" i="55" s="1"/>
  <c r="R172" i="55"/>
  <c r="S172" i="55" s="1"/>
  <c r="R173" i="55"/>
  <c r="S173" i="55" s="1"/>
  <c r="R174" i="55"/>
  <c r="S174" i="55" s="1"/>
  <c r="R175" i="55"/>
  <c r="S175" i="55" s="1"/>
  <c r="R176" i="55"/>
  <c r="S176" i="55" s="1"/>
  <c r="R177" i="55"/>
  <c r="S177" i="55" s="1"/>
  <c r="R178" i="55"/>
  <c r="S178" i="55" s="1"/>
  <c r="R179" i="55"/>
  <c r="S179" i="55" s="1"/>
  <c r="R180" i="55"/>
  <c r="S180" i="55" s="1"/>
  <c r="R181" i="55"/>
  <c r="S181" i="55" s="1"/>
  <c r="R182" i="55"/>
  <c r="S182" i="55" s="1"/>
  <c r="R183" i="55"/>
  <c r="S183" i="55" s="1"/>
  <c r="R184" i="55"/>
  <c r="S184" i="55" s="1"/>
  <c r="R185" i="55"/>
  <c r="S185" i="55" s="1"/>
  <c r="R186" i="55"/>
  <c r="S186" i="55" s="1"/>
  <c r="R187" i="55"/>
  <c r="S187" i="55" s="1"/>
  <c r="R188" i="55"/>
  <c r="S188" i="55" s="1"/>
  <c r="R189" i="55"/>
  <c r="S189" i="55" s="1"/>
  <c r="R190" i="55"/>
  <c r="S190" i="55" s="1"/>
  <c r="R191" i="55"/>
  <c r="S191" i="55" s="1"/>
  <c r="R192" i="55"/>
  <c r="S192" i="55" s="1"/>
  <c r="R193" i="55"/>
  <c r="S193" i="55" s="1"/>
  <c r="R194" i="55"/>
  <c r="S194" i="55" s="1"/>
  <c r="R195" i="55"/>
  <c r="S195" i="55" s="1"/>
  <c r="R196" i="55"/>
  <c r="S196" i="55" s="1"/>
  <c r="R197" i="55"/>
  <c r="S197" i="55" s="1"/>
  <c r="R198" i="55"/>
  <c r="S198" i="55" s="1"/>
  <c r="R199" i="55"/>
  <c r="S199" i="55" s="1"/>
  <c r="R200" i="55"/>
  <c r="S200" i="55" s="1"/>
  <c r="R201" i="55"/>
  <c r="S201" i="55" s="1"/>
  <c r="R202" i="55"/>
  <c r="S202" i="55" s="1"/>
  <c r="R203" i="55"/>
  <c r="S203" i="55" s="1"/>
  <c r="R204" i="55"/>
  <c r="S204" i="55" s="1"/>
  <c r="R205" i="55"/>
  <c r="S205" i="55" s="1"/>
  <c r="R206" i="55"/>
  <c r="S206" i="55" s="1"/>
  <c r="R207" i="55"/>
  <c r="S207" i="55" s="1"/>
  <c r="R208" i="55"/>
  <c r="S208" i="55" s="1"/>
  <c r="R209" i="55"/>
  <c r="S209" i="55" s="1"/>
  <c r="R210" i="55"/>
  <c r="S210" i="55" s="1"/>
  <c r="R211" i="55"/>
  <c r="S211" i="55" s="1"/>
  <c r="R212" i="55"/>
  <c r="S212" i="55" s="1"/>
  <c r="R213" i="55"/>
  <c r="S213" i="55" s="1"/>
  <c r="R214" i="55"/>
  <c r="S214" i="55" s="1"/>
  <c r="R215" i="55"/>
  <c r="S215" i="55" s="1"/>
  <c r="R216" i="55"/>
  <c r="S216" i="55" s="1"/>
  <c r="R217" i="55"/>
  <c r="S217" i="55" s="1"/>
  <c r="R218" i="55"/>
  <c r="S218" i="55" s="1"/>
  <c r="R219" i="55"/>
  <c r="S219" i="55" s="1"/>
  <c r="R220" i="55"/>
  <c r="S220" i="55" s="1"/>
  <c r="R221" i="55"/>
  <c r="S221" i="55" s="1"/>
  <c r="R222" i="55"/>
  <c r="S222" i="55" s="1"/>
  <c r="R223" i="55"/>
  <c r="S223" i="55" s="1"/>
  <c r="R224" i="55"/>
  <c r="S224" i="55" s="1"/>
  <c r="R225" i="55"/>
  <c r="S225" i="55" s="1"/>
  <c r="R226" i="55"/>
  <c r="S226" i="55" s="1"/>
  <c r="R227" i="55"/>
  <c r="S227" i="55" s="1"/>
  <c r="R228" i="55"/>
  <c r="S228" i="55" s="1"/>
  <c r="R229" i="55"/>
  <c r="S229" i="55" s="1"/>
  <c r="R230" i="55"/>
  <c r="S230" i="55" s="1"/>
  <c r="R231" i="55"/>
  <c r="S231" i="55" s="1"/>
  <c r="R232" i="55"/>
  <c r="S232" i="55" s="1"/>
  <c r="R233" i="55"/>
  <c r="S233" i="55" s="1"/>
  <c r="R234" i="55"/>
  <c r="S234" i="55" s="1"/>
  <c r="R235" i="55"/>
  <c r="S235" i="55" s="1"/>
  <c r="R236" i="55"/>
  <c r="S236" i="55" s="1"/>
  <c r="R237" i="55"/>
  <c r="S237" i="55" s="1"/>
  <c r="R238" i="55"/>
  <c r="S238" i="55" s="1"/>
  <c r="R239" i="55"/>
  <c r="S239" i="55" s="1"/>
  <c r="R240" i="55"/>
  <c r="S240" i="55" s="1"/>
  <c r="R241" i="55"/>
  <c r="S241" i="55" s="1"/>
  <c r="R242" i="55"/>
  <c r="S242" i="55" s="1"/>
  <c r="R243" i="55"/>
  <c r="S243" i="55" s="1"/>
  <c r="R244" i="55"/>
  <c r="S244" i="55" s="1"/>
  <c r="R245" i="55"/>
  <c r="S245" i="55" s="1"/>
  <c r="R246" i="55"/>
  <c r="S246" i="55" s="1"/>
  <c r="R247" i="55"/>
  <c r="S247" i="55" s="1"/>
  <c r="R248" i="55"/>
  <c r="S248" i="55" s="1"/>
  <c r="R249" i="55"/>
  <c r="S249" i="55" s="1"/>
  <c r="R250" i="55"/>
  <c r="S250" i="55" s="1"/>
  <c r="R251" i="55"/>
  <c r="S251" i="55" s="1"/>
  <c r="R252" i="55"/>
  <c r="S252" i="55" s="1"/>
  <c r="R253" i="55"/>
  <c r="S253" i="55" s="1"/>
  <c r="R254" i="55"/>
  <c r="S254" i="55" s="1"/>
  <c r="R255" i="55"/>
  <c r="S255" i="55" s="1"/>
  <c r="R256" i="55"/>
  <c r="S256" i="55" s="1"/>
  <c r="R257" i="55"/>
  <c r="S257" i="55" s="1"/>
  <c r="R258" i="55"/>
  <c r="S258" i="55" s="1"/>
  <c r="R259" i="55"/>
  <c r="S259" i="55" s="1"/>
  <c r="R260" i="55"/>
  <c r="S260" i="55" s="1"/>
  <c r="R261" i="55"/>
  <c r="S261" i="55" s="1"/>
  <c r="R262" i="55"/>
  <c r="S262" i="55" s="1"/>
  <c r="R263" i="55"/>
  <c r="S263" i="55" s="1"/>
  <c r="R264" i="55"/>
  <c r="S264" i="55" s="1"/>
  <c r="R265" i="55"/>
  <c r="S265" i="55" s="1"/>
  <c r="R266" i="55"/>
  <c r="S266" i="55" s="1"/>
  <c r="R267" i="55"/>
  <c r="S267" i="55" s="1"/>
  <c r="R268" i="55"/>
  <c r="S268" i="55" s="1"/>
  <c r="R269" i="55"/>
  <c r="S269" i="55" s="1"/>
  <c r="R270" i="55"/>
  <c r="S270" i="55" s="1"/>
  <c r="R271" i="55"/>
  <c r="S271" i="55" s="1"/>
  <c r="R272" i="55"/>
  <c r="S272" i="55" s="1"/>
  <c r="R273" i="55"/>
  <c r="S273" i="55" s="1"/>
  <c r="R274" i="55"/>
  <c r="S274" i="55" s="1"/>
  <c r="R275" i="55"/>
  <c r="S275" i="55" s="1"/>
  <c r="R276" i="55"/>
  <c r="S276" i="55" s="1"/>
  <c r="R277" i="55"/>
  <c r="S277" i="55" s="1"/>
  <c r="R278" i="55"/>
  <c r="S278" i="55" s="1"/>
  <c r="R279" i="55"/>
  <c r="S279" i="55" s="1"/>
  <c r="R280" i="55"/>
  <c r="S280" i="55" s="1"/>
  <c r="R281" i="55"/>
  <c r="S281" i="55" s="1"/>
  <c r="R282" i="55"/>
  <c r="S282" i="55" s="1"/>
  <c r="R283" i="55"/>
  <c r="S283" i="55" s="1"/>
  <c r="R284" i="55"/>
  <c r="S284" i="55" s="1"/>
  <c r="R285" i="55"/>
  <c r="S285" i="55" s="1"/>
  <c r="R286" i="55"/>
  <c r="S286" i="55" s="1"/>
  <c r="R287" i="55"/>
  <c r="S287" i="55" s="1"/>
  <c r="R288" i="55"/>
  <c r="S288" i="55" s="1"/>
  <c r="R289" i="55"/>
  <c r="S289" i="55" s="1"/>
  <c r="R290" i="55"/>
  <c r="S290" i="55" s="1"/>
  <c r="R291" i="55"/>
  <c r="S291" i="55" s="1"/>
  <c r="R292" i="55"/>
  <c r="S292" i="55" s="1"/>
  <c r="R293" i="55"/>
  <c r="S293" i="55" s="1"/>
  <c r="R294" i="55"/>
  <c r="S294" i="55" s="1"/>
  <c r="R295" i="55"/>
  <c r="S295" i="55" s="1"/>
  <c r="R296" i="55"/>
  <c r="S296" i="55" s="1"/>
  <c r="R297" i="55"/>
  <c r="S297" i="55" s="1"/>
  <c r="R298" i="55"/>
  <c r="S298" i="55" s="1"/>
  <c r="R299" i="55"/>
  <c r="S299" i="55" s="1"/>
  <c r="R300" i="55"/>
  <c r="S300" i="55" s="1"/>
  <c r="R301" i="55"/>
  <c r="S301" i="55" s="1"/>
  <c r="R302" i="55"/>
  <c r="S302" i="55" s="1"/>
  <c r="R303" i="55"/>
  <c r="S303" i="55" s="1"/>
  <c r="R304" i="55"/>
  <c r="S304" i="55" s="1"/>
  <c r="R305" i="55"/>
  <c r="S305" i="55" s="1"/>
  <c r="R306" i="55"/>
  <c r="S306" i="55" s="1"/>
  <c r="R307" i="55"/>
  <c r="S307" i="55" s="1"/>
  <c r="R308" i="55"/>
  <c r="S308" i="55" s="1"/>
  <c r="R309" i="55"/>
  <c r="S309" i="55" s="1"/>
  <c r="R310" i="55"/>
  <c r="S310" i="55" s="1"/>
  <c r="R311" i="55"/>
  <c r="S311" i="55" s="1"/>
  <c r="R312" i="55"/>
  <c r="S312" i="55" s="1"/>
  <c r="R313" i="55"/>
  <c r="S313" i="55" s="1"/>
  <c r="R314" i="55"/>
  <c r="S314" i="55" s="1"/>
  <c r="R315" i="55"/>
  <c r="S315" i="55" s="1"/>
  <c r="R316" i="55"/>
  <c r="S316" i="55" s="1"/>
  <c r="R317" i="55"/>
  <c r="S317" i="55" s="1"/>
  <c r="R319" i="55"/>
  <c r="S319" i="55" s="1"/>
  <c r="R320" i="55"/>
  <c r="S320" i="55" s="1"/>
  <c r="R321" i="55"/>
  <c r="S321" i="55" s="1"/>
  <c r="R322" i="55"/>
  <c r="S322" i="55" s="1"/>
  <c r="R323" i="55"/>
  <c r="S323" i="55" s="1"/>
  <c r="R324" i="55"/>
  <c r="S324" i="55" s="1"/>
  <c r="R325" i="55"/>
  <c r="S325" i="55" s="1"/>
  <c r="R326" i="55"/>
  <c r="S326" i="55" s="1"/>
  <c r="R327" i="55"/>
  <c r="S327" i="55" s="1"/>
  <c r="R328" i="55"/>
  <c r="S328" i="55" s="1"/>
  <c r="R329" i="55"/>
  <c r="S329" i="55" s="1"/>
  <c r="R330" i="55"/>
  <c r="S330" i="55" s="1"/>
  <c r="R331" i="55"/>
  <c r="S331" i="55" s="1"/>
  <c r="R332" i="55"/>
  <c r="S332" i="55" s="1"/>
  <c r="R333" i="55"/>
  <c r="S333" i="55" s="1"/>
  <c r="R334" i="55"/>
  <c r="S334" i="55" s="1"/>
  <c r="R335" i="55"/>
  <c r="S335" i="55" s="1"/>
  <c r="R336" i="55"/>
  <c r="S336" i="55" s="1"/>
  <c r="R337" i="55"/>
  <c r="S337" i="55" s="1"/>
  <c r="R338" i="55"/>
  <c r="S338" i="55" s="1"/>
  <c r="R339" i="55"/>
  <c r="S339" i="55" s="1"/>
  <c r="R340" i="55"/>
  <c r="S340" i="55" s="1"/>
  <c r="R341" i="55"/>
  <c r="S341" i="55" s="1"/>
  <c r="R342" i="55"/>
  <c r="S342" i="55" s="1"/>
  <c r="R343" i="55"/>
  <c r="S343" i="55" s="1"/>
  <c r="R344" i="55"/>
  <c r="S344" i="55" s="1"/>
  <c r="R345" i="55"/>
  <c r="S345" i="55" s="1"/>
  <c r="R346" i="55"/>
  <c r="S346" i="55" s="1"/>
  <c r="R347" i="55"/>
  <c r="S347" i="55" s="1"/>
  <c r="R348" i="55"/>
  <c r="S348" i="55" s="1"/>
  <c r="R349" i="55"/>
  <c r="S349" i="55" s="1"/>
  <c r="R350" i="55"/>
  <c r="S350" i="55" s="1"/>
  <c r="R351" i="55"/>
  <c r="S351" i="55" s="1"/>
  <c r="R352" i="55"/>
  <c r="S352" i="55" s="1"/>
  <c r="R353" i="55"/>
  <c r="S353" i="55" s="1"/>
  <c r="R354" i="55"/>
  <c r="S354" i="55" s="1"/>
  <c r="R355" i="55"/>
  <c r="S355" i="55" s="1"/>
  <c r="R356" i="55"/>
  <c r="S356" i="55" s="1"/>
  <c r="R357" i="55"/>
  <c r="S357" i="55" s="1"/>
  <c r="R358" i="55"/>
  <c r="S358" i="55" s="1"/>
  <c r="R359" i="55"/>
  <c r="S359" i="55" s="1"/>
  <c r="R360" i="55"/>
  <c r="S360" i="55" s="1"/>
  <c r="R361" i="55"/>
  <c r="S361" i="55" s="1"/>
  <c r="R362" i="55"/>
  <c r="S362" i="55" s="1"/>
  <c r="R363" i="55"/>
  <c r="S363" i="55" s="1"/>
  <c r="R364" i="55"/>
  <c r="S364" i="55" s="1"/>
  <c r="R365" i="55"/>
  <c r="S365" i="55" s="1"/>
  <c r="R366" i="55"/>
  <c r="S366" i="55" s="1"/>
  <c r="R367" i="55"/>
  <c r="S367" i="55" s="1"/>
  <c r="R368" i="55"/>
  <c r="S368" i="55" s="1"/>
  <c r="R369" i="55"/>
  <c r="S369" i="55" s="1"/>
  <c r="R370" i="55"/>
  <c r="S370" i="55" s="1"/>
  <c r="R371" i="55"/>
  <c r="S371" i="55" s="1"/>
  <c r="R372" i="55"/>
  <c r="S372" i="55" s="1"/>
  <c r="R373" i="55"/>
  <c r="S373" i="55" s="1"/>
  <c r="R374" i="55"/>
  <c r="S374" i="55" s="1"/>
  <c r="R375" i="55"/>
  <c r="S375" i="55" s="1"/>
  <c r="R376" i="55"/>
  <c r="S376" i="55" s="1"/>
  <c r="R377" i="55"/>
  <c r="S377" i="55" s="1"/>
  <c r="R378" i="55"/>
  <c r="S378" i="55" s="1"/>
  <c r="R379" i="55"/>
  <c r="S379" i="55" s="1"/>
  <c r="R380" i="55"/>
  <c r="S380" i="55" s="1"/>
  <c r="R381" i="55"/>
  <c r="S381" i="55" s="1"/>
  <c r="R382" i="55"/>
  <c r="S382" i="55" s="1"/>
  <c r="R383" i="55"/>
  <c r="S383" i="55" s="1"/>
  <c r="R384" i="55"/>
  <c r="S384" i="55" s="1"/>
  <c r="R385" i="55"/>
  <c r="S385" i="55" s="1"/>
  <c r="R386" i="55"/>
  <c r="S386" i="55" s="1"/>
  <c r="R387" i="55"/>
  <c r="S387" i="55" s="1"/>
  <c r="R388" i="55"/>
  <c r="S388" i="55" s="1"/>
  <c r="R389" i="55"/>
  <c r="S389" i="55" s="1"/>
  <c r="R390" i="55"/>
  <c r="S390" i="55" s="1"/>
  <c r="R391" i="55"/>
  <c r="S391" i="55" s="1"/>
  <c r="R392" i="55"/>
  <c r="S392" i="55" s="1"/>
  <c r="R393" i="55"/>
  <c r="S393" i="55" s="1"/>
  <c r="R394" i="55"/>
  <c r="S394" i="55" s="1"/>
  <c r="R395" i="55"/>
  <c r="S395" i="55" s="1"/>
  <c r="R396" i="55"/>
  <c r="S396" i="55" s="1"/>
  <c r="R397" i="55"/>
  <c r="S397" i="55" s="1"/>
  <c r="R398" i="55"/>
  <c r="S398" i="55" s="1"/>
  <c r="R399" i="55"/>
  <c r="S399" i="55" s="1"/>
  <c r="R400" i="55"/>
  <c r="S400" i="55" s="1"/>
  <c r="R401" i="55"/>
  <c r="S401" i="55" s="1"/>
  <c r="R402" i="55"/>
  <c r="S402" i="55" s="1"/>
  <c r="R403" i="55"/>
  <c r="S403" i="55" s="1"/>
  <c r="R404" i="55"/>
  <c r="S404" i="55" s="1"/>
  <c r="R405" i="55"/>
  <c r="S405" i="55" s="1"/>
  <c r="R406" i="55"/>
  <c r="S406" i="55" s="1"/>
  <c r="R407" i="55"/>
  <c r="S407" i="55" s="1"/>
  <c r="R408" i="55"/>
  <c r="S408" i="55" s="1"/>
  <c r="R409" i="55"/>
  <c r="S409" i="55" s="1"/>
  <c r="R410" i="55"/>
  <c r="S410" i="55" s="1"/>
  <c r="R411" i="55"/>
  <c r="S411" i="55" s="1"/>
  <c r="R412" i="55"/>
  <c r="S412" i="55" s="1"/>
  <c r="R413" i="55"/>
  <c r="S413" i="55" s="1"/>
  <c r="R414" i="55"/>
  <c r="S414" i="55" s="1"/>
  <c r="R415" i="55"/>
  <c r="S415" i="55" s="1"/>
  <c r="R416" i="55"/>
  <c r="S416" i="55" s="1"/>
  <c r="R417" i="55"/>
  <c r="S417" i="55" s="1"/>
  <c r="R418" i="55"/>
  <c r="S418" i="55" s="1"/>
  <c r="R419" i="55"/>
  <c r="S419" i="55" s="1"/>
  <c r="R420" i="55"/>
  <c r="S420" i="55" s="1"/>
  <c r="R421" i="55"/>
  <c r="S421" i="55" s="1"/>
  <c r="R422" i="55"/>
  <c r="S422" i="55" s="1"/>
  <c r="R423" i="55"/>
  <c r="S423" i="55" s="1"/>
  <c r="R424" i="55"/>
  <c r="S424" i="55" s="1"/>
  <c r="R425" i="55"/>
  <c r="S425" i="55" s="1"/>
  <c r="R426" i="55"/>
  <c r="S426" i="55" s="1"/>
  <c r="R427" i="55"/>
  <c r="S427" i="55" s="1"/>
  <c r="R428" i="55"/>
  <c r="S428" i="55" s="1"/>
  <c r="R429" i="55"/>
  <c r="S429" i="55" s="1"/>
  <c r="R430" i="55"/>
  <c r="S430" i="55" s="1"/>
  <c r="R431" i="55"/>
  <c r="S431" i="55" s="1"/>
  <c r="R432" i="55"/>
  <c r="S432" i="55" s="1"/>
  <c r="R433" i="55"/>
  <c r="S433" i="55" s="1"/>
  <c r="R434" i="55"/>
  <c r="S434" i="55" s="1"/>
  <c r="R435" i="55"/>
  <c r="S435" i="55" s="1"/>
  <c r="R436" i="55"/>
  <c r="S436" i="55" s="1"/>
  <c r="R437" i="55"/>
  <c r="S437" i="55" s="1"/>
  <c r="R438" i="55"/>
  <c r="S438" i="55" s="1"/>
  <c r="R439" i="55"/>
  <c r="S439" i="55" s="1"/>
  <c r="R440" i="55"/>
  <c r="S440" i="55" s="1"/>
  <c r="R441" i="55"/>
  <c r="S441" i="55" s="1"/>
  <c r="R442" i="55"/>
  <c r="S442" i="55" s="1"/>
  <c r="R443" i="55"/>
  <c r="S443" i="55" s="1"/>
  <c r="R444" i="55"/>
  <c r="S444" i="55" s="1"/>
  <c r="R445" i="55"/>
  <c r="S445" i="55" s="1"/>
  <c r="R446" i="55"/>
  <c r="S446" i="55" s="1"/>
  <c r="R447" i="55"/>
  <c r="S447" i="55" s="1"/>
  <c r="R448" i="55"/>
  <c r="S448" i="55" s="1"/>
  <c r="R449" i="55"/>
  <c r="S449" i="55" s="1"/>
  <c r="R450" i="55"/>
  <c r="S450" i="55" s="1"/>
  <c r="R451" i="55"/>
  <c r="S451" i="55" s="1"/>
  <c r="R452" i="55"/>
  <c r="S452" i="55" s="1"/>
  <c r="R453" i="55"/>
  <c r="S453" i="55" s="1"/>
  <c r="R454" i="55"/>
  <c r="S454" i="55" s="1"/>
  <c r="R455" i="55"/>
  <c r="S455" i="55" s="1"/>
  <c r="R456" i="55"/>
  <c r="S456" i="55" s="1"/>
  <c r="R457" i="55"/>
  <c r="S457" i="55" s="1"/>
  <c r="R458" i="55"/>
  <c r="S458" i="55" s="1"/>
  <c r="R459" i="55"/>
  <c r="S459" i="55" s="1"/>
  <c r="R460" i="55"/>
  <c r="S460" i="55" s="1"/>
  <c r="R461" i="55"/>
  <c r="S461" i="55" s="1"/>
  <c r="R462" i="55"/>
  <c r="S462" i="55" s="1"/>
  <c r="R463" i="55"/>
  <c r="S463" i="55" s="1"/>
  <c r="R464" i="55"/>
  <c r="S464" i="55" s="1"/>
  <c r="R465" i="55"/>
  <c r="S465" i="55" s="1"/>
  <c r="R466" i="55"/>
  <c r="S466" i="55" s="1"/>
  <c r="R467" i="55"/>
  <c r="S467" i="55" s="1"/>
  <c r="R468" i="55"/>
  <c r="S468" i="55" s="1"/>
  <c r="R469" i="55"/>
  <c r="S469" i="55" s="1"/>
  <c r="R470" i="55"/>
  <c r="S470" i="55" s="1"/>
  <c r="R471" i="55"/>
  <c r="S471" i="55" s="1"/>
  <c r="R472" i="55"/>
  <c r="S472" i="55" s="1"/>
  <c r="R473" i="55"/>
  <c r="S473" i="55" s="1"/>
  <c r="R474" i="55"/>
  <c r="S474" i="55" s="1"/>
  <c r="R475" i="55"/>
  <c r="S475" i="55" s="1"/>
  <c r="R476" i="55"/>
  <c r="S476" i="55" s="1"/>
  <c r="R477" i="55"/>
  <c r="S477" i="55" s="1"/>
  <c r="R478" i="55"/>
  <c r="S478" i="55" s="1"/>
  <c r="R479" i="55"/>
  <c r="S479" i="55" s="1"/>
  <c r="R480" i="55"/>
  <c r="S480" i="55" s="1"/>
  <c r="R481" i="55"/>
  <c r="S481" i="55" s="1"/>
  <c r="R482" i="55"/>
  <c r="S482" i="55" s="1"/>
  <c r="R483" i="55"/>
  <c r="S483" i="55" s="1"/>
  <c r="R484" i="55"/>
  <c r="S484" i="55" s="1"/>
  <c r="R485" i="55"/>
  <c r="S485" i="55" s="1"/>
  <c r="R486" i="55"/>
  <c r="S486" i="55" s="1"/>
  <c r="R487" i="55"/>
  <c r="S487" i="55" s="1"/>
  <c r="R488" i="55"/>
  <c r="S488" i="55" s="1"/>
  <c r="R489" i="55"/>
  <c r="S489" i="55" s="1"/>
  <c r="R490" i="55"/>
  <c r="S490" i="55" s="1"/>
  <c r="R491" i="55"/>
  <c r="S491" i="55" s="1"/>
  <c r="R492" i="55"/>
  <c r="S492" i="55" s="1"/>
  <c r="R493" i="55"/>
  <c r="S493" i="55" s="1"/>
  <c r="R494" i="55"/>
  <c r="S494" i="55" s="1"/>
  <c r="R495" i="55"/>
  <c r="S495" i="55" s="1"/>
  <c r="R496" i="55"/>
  <c r="S496" i="55" s="1"/>
  <c r="R497" i="55"/>
  <c r="S497" i="55" s="1"/>
  <c r="R498" i="55"/>
  <c r="S498" i="55" s="1"/>
  <c r="R499" i="55"/>
  <c r="S499" i="55" s="1"/>
  <c r="R500" i="55"/>
  <c r="S500" i="55" s="1"/>
  <c r="R501" i="55"/>
  <c r="S501" i="55" s="1"/>
  <c r="R502" i="55"/>
  <c r="S502" i="55" s="1"/>
  <c r="R503" i="55"/>
  <c r="S503" i="55" s="1"/>
  <c r="R504" i="55"/>
  <c r="S504" i="55" s="1"/>
  <c r="R505" i="55"/>
  <c r="S505" i="55" s="1"/>
  <c r="R506" i="55"/>
  <c r="S506" i="55" s="1"/>
  <c r="R507" i="55"/>
  <c r="S507" i="55" s="1"/>
  <c r="R508" i="55"/>
  <c r="S508" i="55" s="1"/>
  <c r="R509" i="55"/>
  <c r="S509" i="55" s="1"/>
  <c r="R510" i="55"/>
  <c r="S510" i="55" s="1"/>
  <c r="R511" i="55"/>
  <c r="S511" i="55" s="1"/>
  <c r="R512" i="55"/>
  <c r="S512" i="55" s="1"/>
  <c r="R513" i="55"/>
  <c r="S513" i="55" s="1"/>
  <c r="R514" i="55"/>
  <c r="S514" i="55" s="1"/>
  <c r="R515" i="55"/>
  <c r="S515" i="55" s="1"/>
  <c r="R516" i="55"/>
  <c r="S516" i="55" s="1"/>
  <c r="R517" i="55"/>
  <c r="S517" i="55" s="1"/>
  <c r="R518" i="55"/>
  <c r="S518" i="55" s="1"/>
  <c r="R519" i="55"/>
  <c r="S519" i="55" s="1"/>
  <c r="R520" i="55"/>
  <c r="S520" i="55" s="1"/>
  <c r="R521" i="55"/>
  <c r="S521" i="55" s="1"/>
  <c r="R522" i="55"/>
  <c r="S522" i="55" s="1"/>
  <c r="R523" i="55"/>
  <c r="S523" i="55" s="1"/>
  <c r="R524" i="55"/>
  <c r="S524" i="55" s="1"/>
  <c r="R525" i="55"/>
  <c r="S525" i="55" s="1"/>
  <c r="R526" i="55"/>
  <c r="S526" i="55" s="1"/>
  <c r="R527" i="55"/>
  <c r="S527" i="55" s="1"/>
  <c r="R528" i="55"/>
  <c r="S528" i="55" s="1"/>
  <c r="R529" i="55"/>
  <c r="S529" i="55" s="1"/>
  <c r="R530" i="55"/>
  <c r="S530" i="55" s="1"/>
  <c r="R531" i="55"/>
  <c r="S531" i="55" s="1"/>
  <c r="R532" i="55"/>
  <c r="S532" i="55" s="1"/>
  <c r="R533" i="55"/>
  <c r="S533" i="55" s="1"/>
  <c r="R534" i="55"/>
  <c r="S534" i="55" s="1"/>
  <c r="R535" i="55"/>
  <c r="S535" i="55" s="1"/>
  <c r="R536" i="55"/>
  <c r="S536" i="55" s="1"/>
  <c r="R537" i="55"/>
  <c r="S537" i="55" s="1"/>
  <c r="R538" i="55"/>
  <c r="S538" i="55" s="1"/>
  <c r="R539" i="55"/>
  <c r="S539" i="55" s="1"/>
  <c r="R540" i="55"/>
  <c r="S540" i="55" s="1"/>
  <c r="R541" i="55"/>
  <c r="S541" i="55" s="1"/>
  <c r="R542" i="55"/>
  <c r="S542" i="55" s="1"/>
  <c r="R543" i="55"/>
  <c r="S543" i="55" s="1"/>
  <c r="R544" i="55"/>
  <c r="S544" i="55" s="1"/>
  <c r="R545" i="55"/>
  <c r="S545" i="55" s="1"/>
  <c r="R546" i="55"/>
  <c r="S546" i="55" s="1"/>
  <c r="R547" i="55"/>
  <c r="S547" i="55" s="1"/>
  <c r="R548" i="55"/>
  <c r="S548" i="55" s="1"/>
  <c r="R549" i="55"/>
  <c r="S549" i="55" s="1"/>
  <c r="R550" i="55"/>
  <c r="S550" i="55" s="1"/>
  <c r="R551" i="55"/>
  <c r="S551" i="55" s="1"/>
  <c r="R552" i="55"/>
  <c r="S552" i="55" s="1"/>
  <c r="R553" i="55"/>
  <c r="S553" i="55" s="1"/>
  <c r="R554" i="55"/>
  <c r="S554" i="55" s="1"/>
  <c r="R555" i="55"/>
  <c r="S555" i="55" s="1"/>
  <c r="R556" i="55"/>
  <c r="S556" i="55" s="1"/>
  <c r="R557" i="55"/>
  <c r="S557" i="55" s="1"/>
  <c r="R558" i="55"/>
  <c r="S558" i="55" s="1"/>
  <c r="R559" i="55"/>
  <c r="S559" i="55" s="1"/>
  <c r="R560" i="55"/>
  <c r="S560" i="55" s="1"/>
  <c r="R561" i="55"/>
  <c r="S561" i="55" s="1"/>
  <c r="R562" i="55"/>
  <c r="S562" i="55" s="1"/>
  <c r="R563" i="55"/>
  <c r="S563" i="55" s="1"/>
  <c r="R564" i="55"/>
  <c r="S564" i="55" s="1"/>
  <c r="R565" i="55"/>
  <c r="S565" i="55" s="1"/>
  <c r="R566" i="55"/>
  <c r="S566" i="55" s="1"/>
  <c r="R567" i="55"/>
  <c r="S567" i="55" s="1"/>
  <c r="R568" i="55"/>
  <c r="S568" i="55" s="1"/>
  <c r="R569" i="55"/>
  <c r="S569" i="55" s="1"/>
  <c r="R570" i="55"/>
  <c r="S570" i="55" s="1"/>
  <c r="R571" i="55"/>
  <c r="S571" i="55" s="1"/>
  <c r="R572" i="55"/>
  <c r="S572" i="55" s="1"/>
  <c r="R573" i="55"/>
  <c r="S573" i="55" s="1"/>
  <c r="R574" i="55"/>
  <c r="S574" i="55" s="1"/>
  <c r="R575" i="55"/>
  <c r="S575" i="55" s="1"/>
  <c r="R576" i="55"/>
  <c r="S576" i="55" s="1"/>
  <c r="R577" i="55"/>
  <c r="S577" i="55" s="1"/>
  <c r="R578" i="55"/>
  <c r="S578" i="55" s="1"/>
  <c r="R579" i="55"/>
  <c r="S579" i="55" s="1"/>
  <c r="R580" i="55"/>
  <c r="S580" i="55" s="1"/>
  <c r="R581" i="55"/>
  <c r="S581" i="55" s="1"/>
  <c r="R582" i="55"/>
  <c r="S582" i="55" s="1"/>
  <c r="R583" i="55"/>
  <c r="S583" i="55" s="1"/>
  <c r="R584" i="55"/>
  <c r="S584" i="55" s="1"/>
  <c r="R585" i="55"/>
  <c r="S585" i="55" s="1"/>
  <c r="R586" i="55"/>
  <c r="S586" i="55" s="1"/>
  <c r="R587" i="55"/>
  <c r="S587" i="55" s="1"/>
  <c r="R588" i="55"/>
  <c r="S588" i="55" s="1"/>
  <c r="R589" i="55"/>
  <c r="S589" i="55" s="1"/>
  <c r="R590" i="55"/>
  <c r="S590" i="55" s="1"/>
  <c r="R591" i="55"/>
  <c r="S591" i="55" s="1"/>
  <c r="R592" i="55"/>
  <c r="S592" i="55" s="1"/>
  <c r="R593" i="55"/>
  <c r="S593" i="55" s="1"/>
  <c r="R594" i="55"/>
  <c r="S594" i="55" s="1"/>
  <c r="R595" i="55"/>
  <c r="S595" i="55" s="1"/>
  <c r="R596" i="55"/>
  <c r="S596" i="55" s="1"/>
  <c r="R597" i="55"/>
  <c r="S597" i="55" s="1"/>
  <c r="R598" i="55"/>
  <c r="S598" i="55" s="1"/>
  <c r="R599" i="55"/>
  <c r="S599" i="55" s="1"/>
  <c r="R600" i="55"/>
  <c r="S600" i="55" s="1"/>
  <c r="R601" i="55"/>
  <c r="S601" i="55" s="1"/>
  <c r="R602" i="55"/>
  <c r="S602" i="55" s="1"/>
  <c r="R603" i="55"/>
  <c r="S603" i="55" s="1"/>
  <c r="R604" i="55"/>
  <c r="S604" i="55" s="1"/>
  <c r="R605" i="55"/>
  <c r="S605" i="55" s="1"/>
  <c r="R606" i="55"/>
  <c r="S606" i="55" s="1"/>
  <c r="R607" i="55"/>
  <c r="S607" i="55" s="1"/>
  <c r="D167" i="55"/>
  <c r="C167" i="56"/>
  <c r="W167" i="55"/>
  <c r="D168" i="55"/>
  <c r="C168" i="56"/>
  <c r="W168" i="55"/>
  <c r="C169" i="56"/>
  <c r="W169" i="55"/>
  <c r="W15" i="55"/>
  <c r="W16" i="55"/>
  <c r="W17" i="55"/>
  <c r="W18" i="55"/>
  <c r="W19" i="55"/>
  <c r="W20" i="55"/>
  <c r="W21" i="55"/>
  <c r="W22" i="55"/>
  <c r="W23" i="55"/>
  <c r="W24" i="55"/>
  <c r="W25" i="55"/>
  <c r="W26" i="55"/>
  <c r="W27" i="55"/>
  <c r="W28" i="55"/>
  <c r="W29" i="55"/>
  <c r="W30" i="55"/>
  <c r="W31" i="55"/>
  <c r="W32" i="55"/>
  <c r="W33" i="55"/>
  <c r="W34" i="55"/>
  <c r="W35" i="55"/>
  <c r="W36" i="55"/>
  <c r="W37" i="55"/>
  <c r="W38" i="55"/>
  <c r="W39" i="55"/>
  <c r="W40" i="55"/>
  <c r="W41" i="55"/>
  <c r="W42" i="55"/>
  <c r="W43" i="55"/>
  <c r="W44" i="55"/>
  <c r="W45" i="55"/>
  <c r="W46" i="55"/>
  <c r="W47" i="55"/>
  <c r="W48" i="55"/>
  <c r="W49" i="55"/>
  <c r="W50" i="55"/>
  <c r="W51" i="55"/>
  <c r="W52" i="55"/>
  <c r="W53" i="55"/>
  <c r="W54" i="55"/>
  <c r="W55" i="55"/>
  <c r="W56" i="55"/>
  <c r="W57" i="55"/>
  <c r="W58" i="55"/>
  <c r="W59" i="55"/>
  <c r="W60" i="55"/>
  <c r="W61" i="55"/>
  <c r="W62" i="55"/>
  <c r="W63" i="55"/>
  <c r="W64" i="55"/>
  <c r="W65" i="55"/>
  <c r="W66" i="55"/>
  <c r="W67" i="55"/>
  <c r="W68" i="55"/>
  <c r="W69" i="55"/>
  <c r="W70" i="55"/>
  <c r="W71" i="55"/>
  <c r="W72" i="55"/>
  <c r="W73" i="55"/>
  <c r="W74" i="55"/>
  <c r="W75" i="55"/>
  <c r="W76" i="55"/>
  <c r="W77" i="55"/>
  <c r="W78" i="55"/>
  <c r="W79" i="55"/>
  <c r="W80" i="55"/>
  <c r="W81" i="55"/>
  <c r="W82" i="55"/>
  <c r="W83" i="55"/>
  <c r="W84" i="55"/>
  <c r="W85" i="55"/>
  <c r="W86" i="55"/>
  <c r="W87" i="55"/>
  <c r="W88" i="55"/>
  <c r="W89" i="55"/>
  <c r="W90" i="55"/>
  <c r="W91" i="55"/>
  <c r="W92" i="55"/>
  <c r="W93" i="55"/>
  <c r="W94" i="55"/>
  <c r="W95" i="55"/>
  <c r="W96" i="55"/>
  <c r="W97" i="55"/>
  <c r="W98" i="55"/>
  <c r="W99" i="55"/>
  <c r="W100" i="55"/>
  <c r="W101" i="55"/>
  <c r="W102" i="55"/>
  <c r="W103" i="55"/>
  <c r="W104" i="55"/>
  <c r="W105" i="55"/>
  <c r="W106" i="55"/>
  <c r="W107" i="55"/>
  <c r="W108" i="55"/>
  <c r="W109" i="55"/>
  <c r="W110" i="55"/>
  <c r="W111" i="55"/>
  <c r="W112" i="55"/>
  <c r="W113" i="55"/>
  <c r="W114" i="55"/>
  <c r="W115" i="55"/>
  <c r="W116" i="55"/>
  <c r="W117" i="55"/>
  <c r="W118" i="55"/>
  <c r="W119" i="55"/>
  <c r="W120" i="55"/>
  <c r="W121" i="55"/>
  <c r="W122" i="55"/>
  <c r="W123" i="55"/>
  <c r="W124" i="55"/>
  <c r="W125" i="55"/>
  <c r="W126" i="55"/>
  <c r="W127" i="55"/>
  <c r="W128" i="55"/>
  <c r="W129" i="55"/>
  <c r="W130" i="55"/>
  <c r="W131" i="55"/>
  <c r="W132" i="55"/>
  <c r="W133" i="55"/>
  <c r="W134" i="55"/>
  <c r="W135" i="55"/>
  <c r="W136" i="55"/>
  <c r="W137" i="55"/>
  <c r="W138" i="55"/>
  <c r="W139" i="55"/>
  <c r="W140" i="55"/>
  <c r="W141" i="55"/>
  <c r="W142" i="55"/>
  <c r="W143" i="55"/>
  <c r="W144" i="55"/>
  <c r="W145" i="55"/>
  <c r="W146" i="55"/>
  <c r="W147" i="55"/>
  <c r="W148" i="55"/>
  <c r="W149" i="55"/>
  <c r="W150" i="55"/>
  <c r="W153" i="55"/>
  <c r="W154" i="55"/>
  <c r="W155" i="55"/>
  <c r="W156" i="55"/>
  <c r="W157" i="55"/>
  <c r="W158" i="55"/>
  <c r="W159" i="55"/>
  <c r="W160" i="55"/>
  <c r="W161" i="55"/>
  <c r="W162" i="55"/>
  <c r="W163" i="55"/>
  <c r="W164" i="55"/>
  <c r="W165" i="55"/>
  <c r="W166" i="55"/>
  <c r="W170" i="55"/>
  <c r="W171" i="55"/>
  <c r="W172" i="55"/>
  <c r="W173" i="55"/>
  <c r="W174" i="55"/>
  <c r="W175" i="55"/>
  <c r="W176" i="55"/>
  <c r="W177" i="55"/>
  <c r="W178" i="55"/>
  <c r="W179" i="55"/>
  <c r="W180" i="55"/>
  <c r="W181" i="55"/>
  <c r="W182" i="55"/>
  <c r="W183" i="55"/>
  <c r="W184" i="55"/>
  <c r="W185" i="55"/>
  <c r="W186" i="55"/>
  <c r="W187" i="55"/>
  <c r="W188" i="55"/>
  <c r="W189" i="55"/>
  <c r="W190" i="55"/>
  <c r="W191" i="55"/>
  <c r="W192" i="55"/>
  <c r="W193" i="55"/>
  <c r="W194" i="55"/>
  <c r="W195" i="55"/>
  <c r="W196" i="55"/>
  <c r="W197" i="55"/>
  <c r="W198" i="55"/>
  <c r="W199" i="55"/>
  <c r="W200" i="55"/>
  <c r="W201" i="55"/>
  <c r="W202" i="55"/>
  <c r="W203" i="55"/>
  <c r="W204" i="55"/>
  <c r="W205" i="55"/>
  <c r="W206" i="55"/>
  <c r="W207" i="55"/>
  <c r="W208" i="55"/>
  <c r="W209" i="55"/>
  <c r="W210" i="55"/>
  <c r="W211" i="55"/>
  <c r="W212" i="55"/>
  <c r="W213" i="55"/>
  <c r="W214" i="55"/>
  <c r="W215" i="55"/>
  <c r="W216" i="55"/>
  <c r="W217" i="55"/>
  <c r="W218" i="55"/>
  <c r="W219" i="55"/>
  <c r="W220" i="55"/>
  <c r="W221" i="55"/>
  <c r="W222" i="55"/>
  <c r="W223" i="55"/>
  <c r="W224" i="55"/>
  <c r="W225" i="55"/>
  <c r="W226" i="55"/>
  <c r="W227" i="55"/>
  <c r="W228" i="55"/>
  <c r="W229" i="55"/>
  <c r="W230" i="55"/>
  <c r="W231" i="55"/>
  <c r="W232" i="55"/>
  <c r="W233" i="55"/>
  <c r="W234" i="55"/>
  <c r="W235" i="55"/>
  <c r="W236" i="55"/>
  <c r="W237" i="55"/>
  <c r="W238" i="55"/>
  <c r="W239" i="55"/>
  <c r="W240" i="55"/>
  <c r="W241" i="55"/>
  <c r="W242" i="55"/>
  <c r="W243" i="55"/>
  <c r="W244" i="55"/>
  <c r="W245" i="55"/>
  <c r="W246" i="55"/>
  <c r="W247" i="55"/>
  <c r="W248" i="55"/>
  <c r="W249" i="55"/>
  <c r="W250" i="55"/>
  <c r="W251" i="55"/>
  <c r="W252" i="55"/>
  <c r="W253" i="55"/>
  <c r="W254" i="55"/>
  <c r="W255" i="55"/>
  <c r="W256" i="55"/>
  <c r="W257" i="55"/>
  <c r="W258" i="55"/>
  <c r="W259" i="55"/>
  <c r="W260" i="55"/>
  <c r="W261" i="55"/>
  <c r="W262" i="55"/>
  <c r="W263" i="55"/>
  <c r="W264" i="55"/>
  <c r="W265" i="55"/>
  <c r="W266" i="55"/>
  <c r="W267" i="55"/>
  <c r="W268" i="55"/>
  <c r="W269" i="55"/>
  <c r="W270" i="55"/>
  <c r="W271" i="55"/>
  <c r="W272" i="55"/>
  <c r="W273" i="55"/>
  <c r="W274" i="55"/>
  <c r="W275" i="55"/>
  <c r="W276" i="55"/>
  <c r="W277" i="55"/>
  <c r="W278" i="55"/>
  <c r="W279" i="55"/>
  <c r="W280" i="55"/>
  <c r="W281" i="55"/>
  <c r="W282" i="55"/>
  <c r="W283" i="55"/>
  <c r="W284" i="55"/>
  <c r="W285" i="55"/>
  <c r="W286" i="55"/>
  <c r="W287" i="55"/>
  <c r="W288" i="55"/>
  <c r="W289" i="55"/>
  <c r="W290" i="55"/>
  <c r="W291" i="55"/>
  <c r="W292" i="55"/>
  <c r="W293" i="55"/>
  <c r="W294" i="55"/>
  <c r="W295" i="55"/>
  <c r="W296" i="55"/>
  <c r="W297" i="55"/>
  <c r="W298" i="55"/>
  <c r="W299" i="55"/>
  <c r="W300" i="55"/>
  <c r="W301" i="55"/>
  <c r="W302" i="55"/>
  <c r="W303" i="55"/>
  <c r="W304" i="55"/>
  <c r="W305" i="55"/>
  <c r="W306" i="55"/>
  <c r="W307" i="55"/>
  <c r="W308" i="55"/>
  <c r="W309" i="55"/>
  <c r="W310" i="55"/>
  <c r="W311" i="55"/>
  <c r="W312" i="55"/>
  <c r="W313" i="55"/>
  <c r="W314" i="55"/>
  <c r="W315" i="55"/>
  <c r="W316" i="55"/>
  <c r="W317" i="55"/>
  <c r="W319" i="55"/>
  <c r="W320" i="55"/>
  <c r="W321" i="55"/>
  <c r="W322" i="55"/>
  <c r="W323" i="55"/>
  <c r="W324" i="55"/>
  <c r="W325" i="55"/>
  <c r="W326" i="55"/>
  <c r="W327" i="55"/>
  <c r="W328" i="55"/>
  <c r="W329" i="55"/>
  <c r="W330" i="55"/>
  <c r="W331" i="55"/>
  <c r="W332" i="55"/>
  <c r="W333" i="55"/>
  <c r="W334" i="55"/>
  <c r="W335" i="55"/>
  <c r="W336" i="55"/>
  <c r="W337" i="55"/>
  <c r="W338" i="55"/>
  <c r="W339" i="55"/>
  <c r="W340" i="55"/>
  <c r="W341" i="55"/>
  <c r="W342" i="55"/>
  <c r="W343" i="55"/>
  <c r="W344" i="55"/>
  <c r="W345" i="55"/>
  <c r="W346" i="55"/>
  <c r="W347" i="55"/>
  <c r="W348" i="55"/>
  <c r="W350" i="55"/>
  <c r="W351" i="55"/>
  <c r="W352" i="55"/>
  <c r="W353" i="55"/>
  <c r="W354" i="55"/>
  <c r="W355" i="55"/>
  <c r="W356" i="55"/>
  <c r="W357" i="55"/>
  <c r="W358" i="55"/>
  <c r="W359" i="55"/>
  <c r="W360" i="55"/>
  <c r="W361" i="55"/>
  <c r="W362" i="55"/>
  <c r="W363" i="55"/>
  <c r="W364" i="55"/>
  <c r="W365" i="55"/>
  <c r="W366" i="55"/>
  <c r="W367" i="55"/>
  <c r="W368" i="55"/>
  <c r="W369" i="55"/>
  <c r="W370" i="55"/>
  <c r="W371" i="55"/>
  <c r="W372" i="55"/>
  <c r="W373" i="55"/>
  <c r="W374" i="55"/>
  <c r="W375" i="55"/>
  <c r="W376" i="55"/>
  <c r="W377" i="55"/>
  <c r="W378" i="55"/>
  <c r="W379" i="55"/>
  <c r="W380" i="55"/>
  <c r="W381" i="55"/>
  <c r="W382" i="55"/>
  <c r="W383" i="55"/>
  <c r="W386" i="55"/>
  <c r="W387" i="55"/>
  <c r="W388" i="55"/>
  <c r="W389" i="55"/>
  <c r="W390" i="55"/>
  <c r="W391" i="55"/>
  <c r="W392" i="55"/>
  <c r="W393" i="55"/>
  <c r="W394" i="55"/>
  <c r="W395" i="55"/>
  <c r="W396" i="55"/>
  <c r="W397" i="55"/>
  <c r="W398" i="55"/>
  <c r="W399" i="55"/>
  <c r="W400" i="55"/>
  <c r="W401" i="55"/>
  <c r="W402" i="55"/>
  <c r="W403" i="55"/>
  <c r="W404" i="55"/>
  <c r="W405" i="55"/>
  <c r="W406" i="55"/>
  <c r="W407" i="55"/>
  <c r="W408" i="55"/>
  <c r="W409" i="55"/>
  <c r="W410" i="55"/>
  <c r="W411" i="55"/>
  <c r="W412" i="55"/>
  <c r="W413" i="55"/>
  <c r="W414" i="55"/>
  <c r="W415" i="55"/>
  <c r="W416" i="55"/>
  <c r="W417" i="55"/>
  <c r="W418" i="55"/>
  <c r="W419" i="55"/>
  <c r="W420" i="55"/>
  <c r="W421" i="55"/>
  <c r="W422" i="55"/>
  <c r="W423" i="55"/>
  <c r="W424" i="55"/>
  <c r="W425" i="55"/>
  <c r="W426" i="55"/>
  <c r="W427" i="55"/>
  <c r="W428" i="55"/>
  <c r="W429" i="55"/>
  <c r="W430" i="55"/>
  <c r="W431" i="55"/>
  <c r="W432" i="55"/>
  <c r="W433" i="55"/>
  <c r="W434" i="55"/>
  <c r="W435" i="55"/>
  <c r="W436" i="55"/>
  <c r="W437" i="55"/>
  <c r="W438" i="55"/>
  <c r="W439" i="55"/>
  <c r="W440" i="55"/>
  <c r="W441" i="55"/>
  <c r="W442" i="55"/>
  <c r="W443" i="55"/>
  <c r="W444" i="55"/>
  <c r="W445" i="55"/>
  <c r="W446" i="55"/>
  <c r="W447" i="55"/>
  <c r="W448" i="55"/>
  <c r="W449" i="55"/>
  <c r="W450" i="55"/>
  <c r="W451" i="55"/>
  <c r="W452" i="55"/>
  <c r="W453" i="55"/>
  <c r="W454" i="55"/>
  <c r="W455" i="55"/>
  <c r="W456" i="55"/>
  <c r="W457" i="55"/>
  <c r="W458" i="55"/>
  <c r="W459" i="55"/>
  <c r="W460" i="55"/>
  <c r="W461" i="55"/>
  <c r="W462" i="55"/>
  <c r="W463" i="55"/>
  <c r="W464" i="55"/>
  <c r="W465" i="55"/>
  <c r="W466" i="55"/>
  <c r="W467" i="55"/>
  <c r="W468" i="55"/>
  <c r="W469" i="55"/>
  <c r="W470" i="55"/>
  <c r="W471" i="55"/>
  <c r="W472" i="55"/>
  <c r="W473" i="55"/>
  <c r="W474" i="55"/>
  <c r="W475" i="55"/>
  <c r="W476" i="55"/>
  <c r="W477" i="55"/>
  <c r="W478" i="55"/>
  <c r="W479" i="55"/>
  <c r="W480" i="55"/>
  <c r="W481" i="55"/>
  <c r="W482" i="55"/>
  <c r="W483" i="55"/>
  <c r="W484" i="55"/>
  <c r="W485" i="55"/>
  <c r="W486" i="55"/>
  <c r="W487" i="55"/>
  <c r="W488" i="55"/>
  <c r="W489" i="55"/>
  <c r="W490" i="55"/>
  <c r="W491" i="55"/>
  <c r="W492" i="55"/>
  <c r="W493" i="55"/>
  <c r="W494" i="55"/>
  <c r="W495" i="55"/>
  <c r="W496" i="55"/>
  <c r="W497" i="55"/>
  <c r="W498" i="55"/>
  <c r="W499" i="55"/>
  <c r="W500" i="55"/>
  <c r="W501" i="55"/>
  <c r="W502" i="55"/>
  <c r="W503" i="55"/>
  <c r="W504" i="55"/>
  <c r="W505" i="55"/>
  <c r="W506" i="55"/>
  <c r="W507" i="55"/>
  <c r="W508" i="55"/>
  <c r="W509" i="55"/>
  <c r="W510" i="55"/>
  <c r="W511" i="55"/>
  <c r="W512" i="55"/>
  <c r="W513" i="55"/>
  <c r="W514" i="55"/>
  <c r="W515" i="55"/>
  <c r="W516" i="55"/>
  <c r="W517" i="55"/>
  <c r="W518" i="55"/>
  <c r="W519" i="55"/>
  <c r="W520" i="55"/>
  <c r="W521" i="55"/>
  <c r="W522" i="55"/>
  <c r="W523" i="55"/>
  <c r="W524" i="55"/>
  <c r="W525" i="55"/>
  <c r="W526" i="55"/>
  <c r="W527" i="55"/>
  <c r="W528" i="55"/>
  <c r="W529" i="55"/>
  <c r="W530" i="55"/>
  <c r="W531" i="55"/>
  <c r="W532" i="55"/>
  <c r="W533" i="55"/>
  <c r="W534" i="55"/>
  <c r="W535" i="55"/>
  <c r="W536" i="55"/>
  <c r="W537" i="55"/>
  <c r="W538" i="55"/>
  <c r="W539" i="55"/>
  <c r="W540" i="55"/>
  <c r="W541" i="55"/>
  <c r="W542" i="55"/>
  <c r="W543" i="55"/>
  <c r="W544" i="55"/>
  <c r="W545" i="55"/>
  <c r="W546" i="55"/>
  <c r="W547" i="55"/>
  <c r="W548" i="55"/>
  <c r="W549" i="55"/>
  <c r="W550" i="55"/>
  <c r="W551" i="55"/>
  <c r="W552" i="55"/>
  <c r="W553" i="55"/>
  <c r="W554" i="55"/>
  <c r="W555" i="55"/>
  <c r="W556" i="55"/>
  <c r="W557" i="55"/>
  <c r="W558" i="55"/>
  <c r="W559" i="55"/>
  <c r="W560" i="55"/>
  <c r="W561" i="55"/>
  <c r="W562" i="55"/>
  <c r="W563" i="55"/>
  <c r="W564" i="55"/>
  <c r="W565" i="55"/>
  <c r="W566" i="55"/>
  <c r="W567" i="55"/>
  <c r="W568" i="55"/>
  <c r="W569" i="55"/>
  <c r="W570" i="55"/>
  <c r="W571" i="55"/>
  <c r="W572" i="55"/>
  <c r="W573" i="55"/>
  <c r="W574" i="55"/>
  <c r="W575" i="55"/>
  <c r="W576" i="55"/>
  <c r="W577" i="55"/>
  <c r="W578" i="55"/>
  <c r="W579" i="55"/>
  <c r="W580" i="55"/>
  <c r="W581" i="55"/>
  <c r="W582" i="55"/>
  <c r="W583" i="55"/>
  <c r="W584" i="55"/>
  <c r="W585" i="55"/>
  <c r="W586" i="55"/>
  <c r="W587" i="55"/>
  <c r="W588" i="55"/>
  <c r="W589" i="55"/>
  <c r="W590" i="55"/>
  <c r="W591" i="55"/>
  <c r="W592" i="55"/>
  <c r="W593" i="55"/>
  <c r="W594" i="55"/>
  <c r="W595" i="55"/>
  <c r="W596" i="55"/>
  <c r="W597" i="55"/>
  <c r="W598" i="55"/>
  <c r="W599" i="55"/>
  <c r="W600" i="55"/>
  <c r="W601" i="55"/>
  <c r="W602" i="55"/>
  <c r="W603" i="55"/>
  <c r="W604" i="55"/>
  <c r="W605" i="55"/>
  <c r="W606" i="55"/>
  <c r="W607" i="55"/>
  <c r="C14" i="56"/>
  <c r="A14" i="56" s="1"/>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50" i="56"/>
  <c r="C51" i="56"/>
  <c r="C52" i="56"/>
  <c r="C53" i="56"/>
  <c r="C54" i="56"/>
  <c r="C55" i="56"/>
  <c r="C56" i="56"/>
  <c r="C57" i="56"/>
  <c r="C58" i="56"/>
  <c r="C59" i="56"/>
  <c r="C60" i="56"/>
  <c r="C61" i="56"/>
  <c r="C62" i="56"/>
  <c r="C63" i="56"/>
  <c r="C64" i="56"/>
  <c r="C65" i="56"/>
  <c r="C66" i="56"/>
  <c r="C68" i="56"/>
  <c r="C69" i="56"/>
  <c r="C70" i="56"/>
  <c r="C71" i="56"/>
  <c r="C72" i="56"/>
  <c r="C73" i="56"/>
  <c r="C74" i="56"/>
  <c r="C75" i="56"/>
  <c r="C76" i="56"/>
  <c r="C77" i="56"/>
  <c r="C78" i="56"/>
  <c r="C79" i="56"/>
  <c r="C80" i="56"/>
  <c r="C81" i="56"/>
  <c r="C82" i="56"/>
  <c r="C83" i="56"/>
  <c r="C84" i="56"/>
  <c r="C85" i="56"/>
  <c r="C86" i="56"/>
  <c r="C87" i="56"/>
  <c r="C88" i="56"/>
  <c r="C89" i="56"/>
  <c r="C90" i="56"/>
  <c r="C91" i="56"/>
  <c r="C92" i="56"/>
  <c r="C93" i="56"/>
  <c r="C94" i="56"/>
  <c r="C95" i="56"/>
  <c r="C96" i="56"/>
  <c r="C97" i="56"/>
  <c r="C98" i="56"/>
  <c r="C99" i="56"/>
  <c r="C100" i="56"/>
  <c r="C101" i="56"/>
  <c r="C102" i="56"/>
  <c r="C103" i="56"/>
  <c r="C104" i="56"/>
  <c r="C105" i="56"/>
  <c r="C106" i="56"/>
  <c r="C107" i="56"/>
  <c r="C108" i="56"/>
  <c r="C109" i="56"/>
  <c r="C110" i="56"/>
  <c r="C111" i="56"/>
  <c r="C112" i="56"/>
  <c r="C113" i="56"/>
  <c r="C114" i="56"/>
  <c r="C115" i="56"/>
  <c r="C116" i="56"/>
  <c r="C117" i="56"/>
  <c r="C118" i="56"/>
  <c r="C119" i="56"/>
  <c r="C120" i="56"/>
  <c r="C121" i="56"/>
  <c r="C122" i="56"/>
  <c r="C123" i="56"/>
  <c r="C124" i="56"/>
  <c r="C125" i="56"/>
  <c r="C126" i="56"/>
  <c r="C127" i="56"/>
  <c r="C128" i="56"/>
  <c r="C129" i="56"/>
  <c r="C130" i="56"/>
  <c r="C131" i="56"/>
  <c r="C132" i="56"/>
  <c r="C133" i="56"/>
  <c r="C134" i="56"/>
  <c r="C135" i="56"/>
  <c r="C136" i="56"/>
  <c r="C137" i="56"/>
  <c r="C138" i="56"/>
  <c r="C139" i="56"/>
  <c r="C140" i="56"/>
  <c r="C141" i="56"/>
  <c r="C142" i="56"/>
  <c r="C143" i="56"/>
  <c r="C144" i="56"/>
  <c r="C145" i="56"/>
  <c r="C146" i="56"/>
  <c r="C147" i="56"/>
  <c r="C148" i="56"/>
  <c r="C149" i="56"/>
  <c r="C150" i="56"/>
  <c r="C153" i="56"/>
  <c r="C154" i="56"/>
  <c r="C155" i="56"/>
  <c r="C156" i="56"/>
  <c r="C157" i="56"/>
  <c r="C158" i="56"/>
  <c r="C159" i="56"/>
  <c r="C160" i="56"/>
  <c r="C161" i="56"/>
  <c r="C162" i="56"/>
  <c r="C163" i="56"/>
  <c r="C164" i="56"/>
  <c r="C165" i="56"/>
  <c r="C166" i="56"/>
  <c r="C170" i="56"/>
  <c r="C171" i="56"/>
  <c r="C172" i="56"/>
  <c r="C173" i="56"/>
  <c r="C174" i="56"/>
  <c r="C175" i="56"/>
  <c r="C176" i="56"/>
  <c r="C177" i="56"/>
  <c r="C178" i="56"/>
  <c r="C179" i="56"/>
  <c r="C180" i="56"/>
  <c r="C181" i="56"/>
  <c r="C182" i="56"/>
  <c r="C183" i="56"/>
  <c r="C184" i="56"/>
  <c r="C185" i="56"/>
  <c r="C186" i="56"/>
  <c r="C187" i="56"/>
  <c r="C188" i="56"/>
  <c r="C189" i="56"/>
  <c r="C190" i="56"/>
  <c r="C191" i="56"/>
  <c r="C192" i="56"/>
  <c r="C193" i="56"/>
  <c r="C194" i="56"/>
  <c r="C195" i="56"/>
  <c r="C196" i="56"/>
  <c r="C197" i="56"/>
  <c r="C198" i="56"/>
  <c r="C199" i="56"/>
  <c r="C200" i="56"/>
  <c r="C201" i="56"/>
  <c r="C202" i="56"/>
  <c r="C203" i="56"/>
  <c r="C204" i="56"/>
  <c r="C205" i="56"/>
  <c r="C206" i="56"/>
  <c r="C207" i="56"/>
  <c r="C208" i="56"/>
  <c r="C209" i="56"/>
  <c r="C210" i="56"/>
  <c r="C211" i="56"/>
  <c r="C212" i="56"/>
  <c r="C213" i="56"/>
  <c r="C214" i="56"/>
  <c r="C283" i="56"/>
  <c r="C284" i="56"/>
  <c r="C285" i="56"/>
  <c r="C286" i="56"/>
  <c r="C287" i="56"/>
  <c r="C288" i="56"/>
  <c r="C289" i="56"/>
  <c r="C290" i="56"/>
  <c r="C291" i="56"/>
  <c r="C292" i="56"/>
  <c r="C293" i="56"/>
  <c r="C294" i="56"/>
  <c r="C295" i="56"/>
  <c r="C296" i="56"/>
  <c r="C297" i="56"/>
  <c r="C298" i="56"/>
  <c r="C299" i="56"/>
  <c r="C300" i="56"/>
  <c r="C301" i="56"/>
  <c r="C302" i="56"/>
  <c r="C303" i="56"/>
  <c r="C304" i="56"/>
  <c r="C305" i="56"/>
  <c r="C306" i="56"/>
  <c r="C307" i="56"/>
  <c r="C308" i="56"/>
  <c r="C309" i="56"/>
  <c r="C310" i="56"/>
  <c r="C311" i="56"/>
  <c r="C312" i="56"/>
  <c r="C313" i="56"/>
  <c r="C314" i="56"/>
  <c r="C315" i="56"/>
  <c r="C316" i="56"/>
  <c r="C317" i="56"/>
  <c r="C319" i="56"/>
  <c r="C320" i="56"/>
  <c r="C321" i="56"/>
  <c r="C322" i="56"/>
  <c r="C323" i="56"/>
  <c r="C324" i="56"/>
  <c r="C325" i="56"/>
  <c r="C326" i="56"/>
  <c r="C327" i="56"/>
  <c r="C328" i="56"/>
  <c r="C329" i="56"/>
  <c r="C330" i="56"/>
  <c r="C331" i="56"/>
  <c r="C332" i="56"/>
  <c r="C333" i="56"/>
  <c r="C334" i="56"/>
  <c r="C335" i="56"/>
  <c r="C336" i="56"/>
  <c r="C337" i="56"/>
  <c r="C338" i="56"/>
  <c r="C339" i="56"/>
  <c r="C340" i="56"/>
  <c r="C341" i="56"/>
  <c r="C342" i="56"/>
  <c r="C343" i="56"/>
  <c r="C344" i="56"/>
  <c r="C345" i="56"/>
  <c r="C346" i="56"/>
  <c r="C347" i="56"/>
  <c r="C348" i="56"/>
  <c r="C350" i="56"/>
  <c r="C351" i="56"/>
  <c r="C352" i="56"/>
  <c r="C353" i="56"/>
  <c r="C354" i="56"/>
  <c r="C355" i="56"/>
  <c r="C356" i="56"/>
  <c r="C357" i="56"/>
  <c r="C358" i="56"/>
  <c r="C359" i="56"/>
  <c r="C360" i="56"/>
  <c r="C361" i="56"/>
  <c r="C362" i="56"/>
  <c r="C363" i="56"/>
  <c r="C364" i="56"/>
  <c r="C365" i="56"/>
  <c r="C366" i="56"/>
  <c r="C367" i="56"/>
  <c r="C368" i="56"/>
  <c r="C369" i="56"/>
  <c r="C370" i="56"/>
  <c r="C371" i="56"/>
  <c r="C372" i="56"/>
  <c r="C373" i="56"/>
  <c r="C374" i="56"/>
  <c r="C375" i="56"/>
  <c r="C376" i="56"/>
  <c r="C377" i="56"/>
  <c r="C378" i="56"/>
  <c r="C379" i="56"/>
  <c r="C380" i="56"/>
  <c r="C381" i="56"/>
  <c r="C382" i="56"/>
  <c r="C383" i="56"/>
  <c r="C386" i="56"/>
  <c r="C387" i="56"/>
  <c r="C388" i="56"/>
  <c r="C389" i="56"/>
  <c r="C390" i="56"/>
  <c r="C391" i="56"/>
  <c r="C392" i="56"/>
  <c r="C393" i="56"/>
  <c r="C394" i="56"/>
  <c r="C395" i="56"/>
  <c r="C396" i="56"/>
  <c r="C397" i="56"/>
  <c r="C398" i="56"/>
  <c r="C399" i="56"/>
  <c r="C400" i="56"/>
  <c r="C401" i="56"/>
  <c r="C402" i="56"/>
  <c r="C403" i="56"/>
  <c r="C404" i="56"/>
  <c r="C405" i="56"/>
  <c r="C406" i="56"/>
  <c r="C407" i="56"/>
  <c r="C408" i="56"/>
  <c r="C409" i="56"/>
  <c r="C410" i="56"/>
  <c r="C411" i="56"/>
  <c r="C412" i="56"/>
  <c r="C413" i="56"/>
  <c r="C414" i="56"/>
  <c r="C415" i="56"/>
  <c r="C416" i="56"/>
  <c r="C417" i="56"/>
  <c r="C418" i="56"/>
  <c r="C419" i="56"/>
  <c r="C420" i="56"/>
  <c r="C421" i="56"/>
  <c r="C422" i="56"/>
  <c r="C423" i="56"/>
  <c r="C424" i="56"/>
  <c r="C425" i="56"/>
  <c r="C426" i="56"/>
  <c r="C427" i="56"/>
  <c r="C428" i="56"/>
  <c r="C429" i="56"/>
  <c r="C430" i="56"/>
  <c r="C431" i="56"/>
  <c r="C432" i="56"/>
  <c r="C433" i="56"/>
  <c r="C434" i="56"/>
  <c r="C435" i="56"/>
  <c r="C436" i="56"/>
  <c r="C437" i="56"/>
  <c r="C438" i="56"/>
  <c r="C439" i="56"/>
  <c r="C440" i="56"/>
  <c r="C441" i="56"/>
  <c r="C442" i="56"/>
  <c r="C443" i="56"/>
  <c r="C444" i="56"/>
  <c r="C445" i="56"/>
  <c r="C446" i="56"/>
  <c r="C447" i="56"/>
  <c r="C448" i="56"/>
  <c r="C449" i="56"/>
  <c r="C450" i="56"/>
  <c r="C451" i="56"/>
  <c r="C452" i="56"/>
  <c r="C453" i="56"/>
  <c r="C454" i="56"/>
  <c r="C455" i="56"/>
  <c r="C456" i="56"/>
  <c r="C457" i="56"/>
  <c r="C458" i="56"/>
  <c r="C459" i="56"/>
  <c r="C460" i="56"/>
  <c r="C461" i="56"/>
  <c r="C462" i="56"/>
  <c r="C463" i="56"/>
  <c r="C464" i="56"/>
  <c r="C465" i="56"/>
  <c r="C466" i="56"/>
  <c r="C467" i="56"/>
  <c r="C468" i="56"/>
  <c r="C469" i="56"/>
  <c r="C470" i="56"/>
  <c r="C471" i="56"/>
  <c r="C472" i="56"/>
  <c r="C473" i="56"/>
  <c r="C474" i="56"/>
  <c r="C475" i="56"/>
  <c r="C476" i="56"/>
  <c r="C477" i="56"/>
  <c r="C478" i="56"/>
  <c r="C479" i="56"/>
  <c r="C480" i="56"/>
  <c r="C481" i="56"/>
  <c r="C482" i="56"/>
  <c r="C483" i="56"/>
  <c r="C484" i="56"/>
  <c r="C485" i="56"/>
  <c r="C486" i="56"/>
  <c r="C487" i="56"/>
  <c r="C488" i="56"/>
  <c r="C489" i="56"/>
  <c r="C490" i="56"/>
  <c r="C491" i="56"/>
  <c r="C492" i="56"/>
  <c r="C493" i="56"/>
  <c r="C494" i="56"/>
  <c r="C495" i="56"/>
  <c r="C496" i="56"/>
  <c r="C497" i="56"/>
  <c r="C498" i="56"/>
  <c r="C499" i="56"/>
  <c r="C500" i="56"/>
  <c r="C501" i="56"/>
  <c r="C502" i="56"/>
  <c r="C503" i="56"/>
  <c r="C504" i="56"/>
  <c r="C505" i="56"/>
  <c r="C506" i="56"/>
  <c r="C507" i="56"/>
  <c r="C508" i="56"/>
  <c r="C509" i="56"/>
  <c r="C510" i="56"/>
  <c r="C511" i="56"/>
  <c r="C512" i="56"/>
  <c r="C513" i="56"/>
  <c r="C514" i="56"/>
  <c r="C515" i="56"/>
  <c r="C516" i="56"/>
  <c r="C517" i="56"/>
  <c r="C518" i="56"/>
  <c r="C519" i="56"/>
  <c r="C520" i="56"/>
  <c r="C521" i="56"/>
  <c r="C522" i="56"/>
  <c r="C523" i="56"/>
  <c r="C524" i="56"/>
  <c r="C525" i="56"/>
  <c r="C526" i="56"/>
  <c r="C527" i="56"/>
  <c r="C528" i="56"/>
  <c r="C529" i="56"/>
  <c r="C530" i="56"/>
  <c r="C531" i="56"/>
  <c r="C532" i="56"/>
  <c r="C533" i="56"/>
  <c r="C534" i="56"/>
  <c r="C535" i="56"/>
  <c r="C536" i="56"/>
  <c r="C537" i="56"/>
  <c r="C538" i="56"/>
  <c r="C539" i="56"/>
  <c r="C540" i="56"/>
  <c r="C541" i="56"/>
  <c r="C542" i="56"/>
  <c r="C543" i="56"/>
  <c r="C544" i="56"/>
  <c r="C545" i="56"/>
  <c r="C546" i="56"/>
  <c r="C547" i="56"/>
  <c r="C548" i="56"/>
  <c r="C549" i="56"/>
  <c r="C550" i="56"/>
  <c r="C551" i="56"/>
  <c r="C552" i="56"/>
  <c r="C553" i="56"/>
  <c r="C554" i="56"/>
  <c r="C555" i="56"/>
  <c r="C556" i="56"/>
  <c r="C557" i="56"/>
  <c r="C558" i="56"/>
  <c r="C559" i="56"/>
  <c r="C560" i="56"/>
  <c r="C561" i="56"/>
  <c r="C562" i="56"/>
  <c r="C563" i="56"/>
  <c r="C564" i="56"/>
  <c r="C565" i="56"/>
  <c r="C566" i="56"/>
  <c r="C567" i="56"/>
  <c r="C568" i="56"/>
  <c r="C569" i="56"/>
  <c r="C570" i="56"/>
  <c r="C571" i="56"/>
  <c r="C572" i="56"/>
  <c r="C573" i="56"/>
  <c r="C574" i="56"/>
  <c r="C575" i="56"/>
  <c r="C576" i="56"/>
  <c r="C577" i="56"/>
  <c r="C578" i="56"/>
  <c r="C579" i="56"/>
  <c r="C580" i="56"/>
  <c r="C581" i="56"/>
  <c r="C582" i="56"/>
  <c r="C583" i="56"/>
  <c r="C584" i="56"/>
  <c r="C585" i="56"/>
  <c r="C586" i="56"/>
  <c r="C587" i="56"/>
  <c r="C588" i="56"/>
  <c r="C589" i="56"/>
  <c r="C590" i="56"/>
  <c r="C591" i="56"/>
  <c r="C592" i="56"/>
  <c r="C593" i="56"/>
  <c r="C594" i="56"/>
  <c r="C595" i="56"/>
  <c r="C596" i="56"/>
  <c r="C597" i="56"/>
  <c r="C598" i="56"/>
  <c r="C599" i="56"/>
  <c r="C600" i="56"/>
  <c r="C601" i="56"/>
  <c r="C602" i="56"/>
  <c r="C603" i="56"/>
  <c r="C604" i="56"/>
  <c r="C605" i="56"/>
  <c r="C606" i="56"/>
  <c r="W14" i="55"/>
  <c r="O608" i="55"/>
  <c r="M608" i="55"/>
  <c r="K608" i="55"/>
  <c r="B608" i="55"/>
  <c r="D607" i="55"/>
  <c r="B607" i="56" s="1"/>
  <c r="D600" i="55"/>
  <c r="D592" i="55"/>
  <c r="D585" i="55"/>
  <c r="D584" i="55"/>
  <c r="D583" i="55"/>
  <c r="D577" i="55"/>
  <c r="D576" i="55"/>
  <c r="D569" i="55"/>
  <c r="D568" i="55"/>
  <c r="D561" i="55"/>
  <c r="D560" i="55"/>
  <c r="D559" i="55"/>
  <c r="D553" i="55"/>
  <c r="D552" i="55"/>
  <c r="D545" i="55"/>
  <c r="D544" i="55"/>
  <c r="D539" i="55"/>
  <c r="D537" i="55"/>
  <c r="D536" i="55"/>
  <c r="D534" i="55"/>
  <c r="D529" i="55"/>
  <c r="D528" i="55"/>
  <c r="D523" i="55"/>
  <c r="D521" i="55"/>
  <c r="D520" i="55"/>
  <c r="D513" i="55"/>
  <c r="D512" i="55"/>
  <c r="D505" i="55"/>
  <c r="D504" i="55"/>
  <c r="D499" i="55"/>
  <c r="D497" i="55"/>
  <c r="D496" i="55"/>
  <c r="D489" i="55"/>
  <c r="D488" i="55"/>
  <c r="D481" i="55"/>
  <c r="D480" i="55"/>
  <c r="D473" i="55"/>
  <c r="D472" i="55"/>
  <c r="D465" i="55"/>
  <c r="D464" i="55"/>
  <c r="D459" i="55"/>
  <c r="D457" i="55"/>
  <c r="D456" i="55"/>
  <c r="D449" i="55"/>
  <c r="D448" i="55"/>
  <c r="D441" i="55"/>
  <c r="D440" i="55"/>
  <c r="D438" i="55"/>
  <c r="D433" i="55"/>
  <c r="D432" i="55"/>
  <c r="D425" i="55"/>
  <c r="D424" i="55"/>
  <c r="D419" i="55"/>
  <c r="D417" i="55"/>
  <c r="D416" i="55"/>
  <c r="D409" i="55"/>
  <c r="D408" i="55"/>
  <c r="D401" i="55"/>
  <c r="D400" i="55"/>
  <c r="D395" i="55"/>
  <c r="D393" i="55"/>
  <c r="D392" i="55"/>
  <c r="D385" i="55"/>
  <c r="D384" i="55"/>
  <c r="D377" i="55"/>
  <c r="D376" i="55"/>
  <c r="D375" i="55"/>
  <c r="D369" i="55"/>
  <c r="D368" i="55"/>
  <c r="D361" i="55"/>
  <c r="D360" i="55"/>
  <c r="D355" i="55"/>
  <c r="D353" i="55"/>
  <c r="D352" i="55"/>
  <c r="D351" i="55"/>
  <c r="D345" i="55"/>
  <c r="D344" i="55"/>
  <c r="D339" i="55"/>
  <c r="D337" i="55"/>
  <c r="D336" i="55"/>
  <c r="D329" i="55"/>
  <c r="D328" i="55"/>
  <c r="D327" i="55"/>
  <c r="D321" i="55"/>
  <c r="D320" i="55"/>
  <c r="D312" i="55"/>
  <c r="D311" i="55"/>
  <c r="D304" i="55"/>
  <c r="D303" i="55"/>
  <c r="D302" i="55"/>
  <c r="D298" i="55"/>
  <c r="D296" i="55"/>
  <c r="D295" i="55"/>
  <c r="D288" i="55"/>
  <c r="D287" i="55"/>
  <c r="D280" i="55"/>
  <c r="D279" i="55"/>
  <c r="D272" i="55"/>
  <c r="D271" i="55"/>
  <c r="D264" i="55"/>
  <c r="D263" i="55"/>
  <c r="D258" i="55"/>
  <c r="D256" i="55"/>
  <c r="D255" i="55"/>
  <c r="D248" i="55"/>
  <c r="D247" i="55"/>
  <c r="D242" i="55"/>
  <c r="D240" i="55"/>
  <c r="D239" i="55"/>
  <c r="D232" i="55"/>
  <c r="D231" i="55"/>
  <c r="D226" i="55"/>
  <c r="D224" i="55"/>
  <c r="D223" i="55"/>
  <c r="D216" i="55"/>
  <c r="D215" i="55"/>
  <c r="D210" i="55"/>
  <c r="D208" i="55"/>
  <c r="D207" i="55"/>
  <c r="D200" i="55"/>
  <c r="D199" i="55"/>
  <c r="D194" i="55"/>
  <c r="D192" i="55"/>
  <c r="D191" i="55"/>
  <c r="D184" i="55"/>
  <c r="D183" i="55"/>
  <c r="D178" i="55"/>
  <c r="D176" i="55"/>
  <c r="D175" i="55"/>
  <c r="D160" i="55"/>
  <c r="D159" i="55"/>
  <c r="D150" i="55"/>
  <c r="D149" i="55"/>
  <c r="D142" i="55"/>
  <c r="D141" i="55"/>
  <c r="D134" i="55"/>
  <c r="D133" i="55"/>
  <c r="D132" i="55"/>
  <c r="D126" i="55"/>
  <c r="B126" i="56" s="1"/>
  <c r="D125" i="55"/>
  <c r="B125" i="56" s="1"/>
  <c r="D118" i="55"/>
  <c r="B118" i="56" s="1"/>
  <c r="D117" i="55"/>
  <c r="B117" i="56" s="1"/>
  <c r="D110" i="55"/>
  <c r="B110" i="56" s="1"/>
  <c r="D109" i="55"/>
  <c r="B109" i="56" s="1"/>
  <c r="D102" i="55"/>
  <c r="B102" i="56" s="1"/>
  <c r="D101" i="55"/>
  <c r="B101" i="56" s="1"/>
  <c r="D94" i="55"/>
  <c r="B94" i="56" s="1"/>
  <c r="D93" i="55"/>
  <c r="B93" i="56" s="1"/>
  <c r="D86" i="55"/>
  <c r="B86" i="56" s="1"/>
  <c r="D85" i="55"/>
  <c r="B85" i="56" s="1"/>
  <c r="D84" i="55"/>
  <c r="B84" i="56" s="1"/>
  <c r="D80" i="55"/>
  <c r="B80" i="56" s="1"/>
  <c r="D78" i="55"/>
  <c r="B78" i="56" s="1"/>
  <c r="D77" i="55"/>
  <c r="B77" i="56" s="1"/>
  <c r="D75" i="55"/>
  <c r="B75" i="56" s="1"/>
  <c r="D70" i="55"/>
  <c r="B70" i="56" s="1"/>
  <c r="D69" i="55"/>
  <c r="B69" i="56" s="1"/>
  <c r="D67" i="55"/>
  <c r="D62" i="55"/>
  <c r="B62" i="56" s="1"/>
  <c r="D61" i="55"/>
  <c r="B61" i="56" s="1"/>
  <c r="D54" i="55"/>
  <c r="B54" i="56" s="1"/>
  <c r="D53" i="55"/>
  <c r="B53" i="56" s="1"/>
  <c r="D46" i="55"/>
  <c r="B46" i="56" s="1"/>
  <c r="D45" i="55"/>
  <c r="B45" i="56" s="1"/>
  <c r="D38" i="55"/>
  <c r="B38" i="56" s="1"/>
  <c r="D37" i="55"/>
  <c r="B37" i="56" s="1"/>
  <c r="D30" i="55"/>
  <c r="B30" i="56" s="1"/>
  <c r="D29" i="55"/>
  <c r="B29" i="56" s="1"/>
  <c r="D22" i="55"/>
  <c r="B22" i="56" s="1"/>
  <c r="D21" i="55"/>
  <c r="B21" i="56" s="1"/>
  <c r="D20" i="55"/>
  <c r="B20" i="56" s="1"/>
  <c r="D16" i="55"/>
  <c r="B16" i="56" s="1"/>
  <c r="P14" i="55"/>
  <c r="D14" i="55"/>
  <c r="B14" i="56" s="1"/>
  <c r="D25" i="55" l="1"/>
  <c r="B25" i="56" s="1"/>
  <c r="S25" i="55"/>
  <c r="D17" i="55"/>
  <c r="B17" i="56" s="1"/>
  <c r="S17" i="55"/>
  <c r="D23" i="55"/>
  <c r="B23" i="56" s="1"/>
  <c r="S23" i="55"/>
  <c r="D24" i="55"/>
  <c r="B24" i="56" s="1"/>
  <c r="S24" i="55"/>
  <c r="D15" i="55"/>
  <c r="B15" i="56" s="1"/>
  <c r="S15" i="55"/>
  <c r="D31" i="55"/>
  <c r="B31" i="56" s="1"/>
  <c r="S31" i="55"/>
  <c r="D65" i="55"/>
  <c r="B65" i="56" s="1"/>
  <c r="D137" i="55"/>
  <c r="D601" i="55"/>
  <c r="D49" i="55"/>
  <c r="B49" i="56" s="1"/>
  <c r="D155" i="55"/>
  <c r="D33" i="55"/>
  <c r="B33" i="56" s="1"/>
  <c r="D81" i="55"/>
  <c r="B81" i="56" s="1"/>
  <c r="D96" i="55"/>
  <c r="B96" i="56" s="1"/>
  <c r="D112" i="55"/>
  <c r="B112" i="56" s="1"/>
  <c r="D128" i="55"/>
  <c r="B128" i="56" s="1"/>
  <c r="D179" i="55"/>
  <c r="D195" i="55"/>
  <c r="B195" i="56" s="1"/>
  <c r="D211" i="55"/>
  <c r="B211" i="56" s="1"/>
  <c r="D227" i="55"/>
  <c r="D243" i="55"/>
  <c r="D282" i="55"/>
  <c r="D323" i="55"/>
  <c r="D379" i="55"/>
  <c r="D483" i="55"/>
  <c r="D40" i="55"/>
  <c r="B40" i="56" s="1"/>
  <c r="D56" i="55"/>
  <c r="B56" i="56" s="1"/>
  <c r="D97" i="55"/>
  <c r="B97" i="56" s="1"/>
  <c r="D113" i="55"/>
  <c r="B113" i="56" s="1"/>
  <c r="D129" i="55"/>
  <c r="B129" i="56" s="1"/>
  <c r="D144" i="55"/>
  <c r="D162" i="55"/>
  <c r="B328" i="56"/>
  <c r="D363" i="55"/>
  <c r="B363" i="56" s="1"/>
  <c r="D403" i="55"/>
  <c r="D443" i="55"/>
  <c r="B443" i="56" s="1"/>
  <c r="D507" i="55"/>
  <c r="D41" i="55"/>
  <c r="B41" i="56" s="1"/>
  <c r="D57" i="55"/>
  <c r="B57" i="56" s="1"/>
  <c r="D72" i="55"/>
  <c r="B72" i="56" s="1"/>
  <c r="D145" i="55"/>
  <c r="D163" i="55"/>
  <c r="B163" i="56" s="1"/>
  <c r="D266" i="55"/>
  <c r="D306" i="55"/>
  <c r="B306" i="56" s="1"/>
  <c r="D347" i="55"/>
  <c r="D427" i="55"/>
  <c r="D467" i="55"/>
  <c r="D531" i="55"/>
  <c r="D579" i="55"/>
  <c r="D73" i="55"/>
  <c r="B73" i="56" s="1"/>
  <c r="D170" i="55"/>
  <c r="D186" i="55"/>
  <c r="D202" i="55"/>
  <c r="D218" i="55"/>
  <c r="D234" i="55"/>
  <c r="D250" i="55"/>
  <c r="D290" i="55"/>
  <c r="D387" i="55"/>
  <c r="B387" i="56" s="1"/>
  <c r="D491" i="55"/>
  <c r="D88" i="55"/>
  <c r="B88" i="56" s="1"/>
  <c r="D104" i="55"/>
  <c r="B104" i="56" s="1"/>
  <c r="D120" i="55"/>
  <c r="B120" i="56" s="1"/>
  <c r="D171" i="55"/>
  <c r="D187" i="55"/>
  <c r="D203" i="55"/>
  <c r="D219" i="55"/>
  <c r="B219" i="56" s="1"/>
  <c r="D235" i="55"/>
  <c r="D251" i="55"/>
  <c r="B251" i="56" s="1"/>
  <c r="D331" i="55"/>
  <c r="D371" i="55"/>
  <c r="D411" i="55"/>
  <c r="D451" i="55"/>
  <c r="D515" i="55"/>
  <c r="D32" i="55"/>
  <c r="B32" i="56" s="1"/>
  <c r="D48" i="55"/>
  <c r="B48" i="56" s="1"/>
  <c r="D64" i="55"/>
  <c r="B64" i="56" s="1"/>
  <c r="D89" i="55"/>
  <c r="B89" i="56" s="1"/>
  <c r="D105" i="55"/>
  <c r="B105" i="56" s="1"/>
  <c r="D121" i="55"/>
  <c r="B121" i="56" s="1"/>
  <c r="D136" i="55"/>
  <c r="D154" i="55"/>
  <c r="D274" i="55"/>
  <c r="D314" i="55"/>
  <c r="D435" i="55"/>
  <c r="B435" i="56" s="1"/>
  <c r="D475" i="55"/>
  <c r="D593" i="55"/>
  <c r="D346" i="55"/>
  <c r="D546" i="55"/>
  <c r="D259" i="55"/>
  <c r="D275" i="55"/>
  <c r="D291" i="55"/>
  <c r="B291" i="56" s="1"/>
  <c r="D563" i="55"/>
  <c r="B563" i="56" s="1"/>
  <c r="D603" i="55"/>
  <c r="D602" i="55"/>
  <c r="D594" i="55"/>
  <c r="D586" i="55"/>
  <c r="D578" i="55"/>
  <c r="D570" i="55"/>
  <c r="B570" i="56" s="1"/>
  <c r="D562" i="55"/>
  <c r="B562" i="56" s="1"/>
  <c r="D554" i="55"/>
  <c r="D538" i="55"/>
  <c r="B538" i="56" s="1"/>
  <c r="D530" i="55"/>
  <c r="B530" i="56" s="1"/>
  <c r="D522" i="55"/>
  <c r="B522" i="56" s="1"/>
  <c r="D514" i="55"/>
  <c r="D506" i="55"/>
  <c r="B506" i="56" s="1"/>
  <c r="D498" i="55"/>
  <c r="B498" i="56" s="1"/>
  <c r="D490" i="55"/>
  <c r="B490" i="56" s="1"/>
  <c r="D482" i="55"/>
  <c r="D474" i="55"/>
  <c r="B474" i="56" s="1"/>
  <c r="D466" i="55"/>
  <c r="B466" i="56" s="1"/>
  <c r="D458" i="55"/>
  <c r="B458" i="56" s="1"/>
  <c r="D450" i="55"/>
  <c r="D442" i="55"/>
  <c r="B442" i="56" s="1"/>
  <c r="D434" i="55"/>
  <c r="B434" i="56" s="1"/>
  <c r="D426" i="55"/>
  <c r="B426" i="56" s="1"/>
  <c r="D418" i="55"/>
  <c r="B418" i="56" s="1"/>
  <c r="D410" i="55"/>
  <c r="B410" i="56" s="1"/>
  <c r="D402" i="55"/>
  <c r="B402" i="56" s="1"/>
  <c r="D394" i="55"/>
  <c r="B394" i="56" s="1"/>
  <c r="D386" i="55"/>
  <c r="D378" i="55"/>
  <c r="B378" i="56" s="1"/>
  <c r="D370" i="55"/>
  <c r="B370" i="56" s="1"/>
  <c r="D362" i="55"/>
  <c r="B362" i="56" s="1"/>
  <c r="D354" i="55"/>
  <c r="D338" i="55"/>
  <c r="B338" i="56" s="1"/>
  <c r="D330" i="55"/>
  <c r="B330" i="56" s="1"/>
  <c r="D322" i="55"/>
  <c r="B322" i="56" s="1"/>
  <c r="D313" i="55"/>
  <c r="D305" i="55"/>
  <c r="B305" i="56" s="1"/>
  <c r="D297" i="55"/>
  <c r="B297" i="56" s="1"/>
  <c r="D289" i="55"/>
  <c r="B289" i="56" s="1"/>
  <c r="D281" i="55"/>
  <c r="D273" i="55"/>
  <c r="D265" i="55"/>
  <c r="D257" i="55"/>
  <c r="D249" i="55"/>
  <c r="D241" i="55"/>
  <c r="B242" i="56" s="1"/>
  <c r="D233" i="55"/>
  <c r="B234" i="56" s="1"/>
  <c r="D225" i="55"/>
  <c r="B225" i="56" s="1"/>
  <c r="D217" i="55"/>
  <c r="D209" i="55"/>
  <c r="B209" i="56" s="1"/>
  <c r="D201" i="55"/>
  <c r="B201" i="56" s="1"/>
  <c r="D193" i="55"/>
  <c r="D185" i="55"/>
  <c r="D177" i="55"/>
  <c r="B177" i="56" s="1"/>
  <c r="D169" i="55"/>
  <c r="B169" i="56" s="1"/>
  <c r="D161" i="55"/>
  <c r="D153" i="55"/>
  <c r="D143" i="55"/>
  <c r="B143" i="56" s="1"/>
  <c r="D135" i="55"/>
  <c r="D127" i="55"/>
  <c r="B127" i="56" s="1"/>
  <c r="D119" i="55"/>
  <c r="B119" i="56" s="1"/>
  <c r="D111" i="55"/>
  <c r="B111" i="56" s="1"/>
  <c r="D103" i="55"/>
  <c r="B103" i="56" s="1"/>
  <c r="D95" i="55"/>
  <c r="B95" i="56" s="1"/>
  <c r="D87" i="55"/>
  <c r="B87" i="56" s="1"/>
  <c r="D79" i="55"/>
  <c r="B79" i="56" s="1"/>
  <c r="D71" i="55"/>
  <c r="B71" i="56" s="1"/>
  <c r="D63" i="55"/>
  <c r="B63" i="56" s="1"/>
  <c r="D55" i="55"/>
  <c r="B55" i="56" s="1"/>
  <c r="D47" i="55"/>
  <c r="B47" i="56" s="1"/>
  <c r="D39" i="55"/>
  <c r="B39" i="56" s="1"/>
  <c r="D547" i="55"/>
  <c r="B547" i="56" s="1"/>
  <c r="D587" i="55"/>
  <c r="D571" i="55"/>
  <c r="D278" i="55"/>
  <c r="B278" i="56" s="1"/>
  <c r="D270" i="55"/>
  <c r="D262" i="55"/>
  <c r="D254" i="55"/>
  <c r="D246" i="55"/>
  <c r="B246" i="56" s="1"/>
  <c r="D238" i="55"/>
  <c r="D230" i="55"/>
  <c r="D222" i="55"/>
  <c r="D214" i="55"/>
  <c r="B214" i="56" s="1"/>
  <c r="D267" i="55"/>
  <c r="D283" i="55"/>
  <c r="B283" i="56" s="1"/>
  <c r="D299" i="55"/>
  <c r="D555" i="55"/>
  <c r="B555" i="56" s="1"/>
  <c r="D277" i="55"/>
  <c r="D269" i="55"/>
  <c r="B269" i="56" s="1"/>
  <c r="D261" i="55"/>
  <c r="D253" i="55"/>
  <c r="D245" i="55"/>
  <c r="D237" i="55"/>
  <c r="B237" i="56" s="1"/>
  <c r="D229" i="55"/>
  <c r="D221" i="55"/>
  <c r="B221" i="56" s="1"/>
  <c r="B560" i="56"/>
  <c r="D595" i="55"/>
  <c r="D276" i="55"/>
  <c r="B276" i="56" s="1"/>
  <c r="D268" i="55"/>
  <c r="D260" i="55"/>
  <c r="D252" i="55"/>
  <c r="D244" i="55"/>
  <c r="B244" i="56" s="1"/>
  <c r="D236" i="55"/>
  <c r="B236" i="56" s="1"/>
  <c r="D228" i="55"/>
  <c r="D220" i="55"/>
  <c r="B313" i="56"/>
  <c r="B450" i="56"/>
  <c r="B514" i="56"/>
  <c r="B376" i="56"/>
  <c r="B339" i="56"/>
  <c r="B354" i="56"/>
  <c r="F385" i="55"/>
  <c r="X349" i="55"/>
  <c r="F349" i="55"/>
  <c r="B619" i="57"/>
  <c r="B615" i="57"/>
  <c r="B614" i="57"/>
  <c r="X152" i="55"/>
  <c r="F152" i="55"/>
  <c r="C152" i="56" s="1"/>
  <c r="F384" i="55"/>
  <c r="N609" i="57"/>
  <c r="C618" i="57"/>
  <c r="C615" i="57"/>
  <c r="A15" i="56"/>
  <c r="A16" i="56" s="1"/>
  <c r="A17" i="56" s="1"/>
  <c r="A18" i="56" s="1"/>
  <c r="A19" i="56" s="1"/>
  <c r="A20" i="56" s="1"/>
  <c r="A21" i="56" s="1"/>
  <c r="A22" i="56" s="1"/>
  <c r="A23" i="56" s="1"/>
  <c r="A24" i="56" s="1"/>
  <c r="A25" i="56" s="1"/>
  <c r="A26" i="56" s="1"/>
  <c r="A27" i="56" s="1"/>
  <c r="A28" i="56" s="1"/>
  <c r="A29" i="56" s="1"/>
  <c r="A30" i="56" s="1"/>
  <c r="A31" i="56" s="1"/>
  <c r="A32" i="56" s="1"/>
  <c r="A33" i="56" s="1"/>
  <c r="A34" i="56" s="1"/>
  <c r="A35" i="56" s="1"/>
  <c r="A36" i="56" s="1"/>
  <c r="A37" i="56" s="1"/>
  <c r="A38" i="56" s="1"/>
  <c r="A39" i="56" s="1"/>
  <c r="A40" i="56" s="1"/>
  <c r="A41" i="56" s="1"/>
  <c r="A42" i="56" s="1"/>
  <c r="A43" i="56" s="1"/>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A73" i="56" s="1"/>
  <c r="A74" i="56" s="1"/>
  <c r="A75" i="56" s="1"/>
  <c r="A76" i="56" s="1"/>
  <c r="A77" i="56" s="1"/>
  <c r="A78" i="56" s="1"/>
  <c r="A79" i="56" s="1"/>
  <c r="A80" i="56" s="1"/>
  <c r="A81" i="56" s="1"/>
  <c r="A82" i="56" s="1"/>
  <c r="A83" i="56" s="1"/>
  <c r="A84" i="56" s="1"/>
  <c r="A85" i="56" s="1"/>
  <c r="A86" i="56" s="1"/>
  <c r="A87" i="56" s="1"/>
  <c r="A88" i="56" s="1"/>
  <c r="A89" i="56" s="1"/>
  <c r="A90" i="56" s="1"/>
  <c r="A91" i="56" s="1"/>
  <c r="A92" i="56" s="1"/>
  <c r="A93" i="56" s="1"/>
  <c r="A94" i="56" s="1"/>
  <c r="A95" i="56" s="1"/>
  <c r="A96" i="56" s="1"/>
  <c r="A97" i="56" s="1"/>
  <c r="A98" i="56" s="1"/>
  <c r="A99" i="56" s="1"/>
  <c r="A100" i="56" s="1"/>
  <c r="A101" i="56" s="1"/>
  <c r="A102" i="56" s="1"/>
  <c r="A103" i="56" s="1"/>
  <c r="A104" i="56" s="1"/>
  <c r="A105" i="56" s="1"/>
  <c r="A106" i="56" s="1"/>
  <c r="A107" i="56" s="1"/>
  <c r="A108" i="56" s="1"/>
  <c r="A109" i="56" s="1"/>
  <c r="A110" i="56" s="1"/>
  <c r="A111" i="56" s="1"/>
  <c r="A112" i="56" s="1"/>
  <c r="A113" i="56" s="1"/>
  <c r="A114" i="56" s="1"/>
  <c r="A115" i="56" s="1"/>
  <c r="A116" i="56" s="1"/>
  <c r="A117" i="56" s="1"/>
  <c r="A118" i="56" s="1"/>
  <c r="A119" i="56" s="1"/>
  <c r="A120" i="56" s="1"/>
  <c r="A121" i="56" s="1"/>
  <c r="A122" i="56" s="1"/>
  <c r="A123" i="56" s="1"/>
  <c r="A124" i="56" s="1"/>
  <c r="A125" i="56" s="1"/>
  <c r="A126" i="56" s="1"/>
  <c r="A127" i="56" s="1"/>
  <c r="A128" i="56" s="1"/>
  <c r="A129" i="56" s="1"/>
  <c r="A130" i="56" s="1"/>
  <c r="A131" i="56" s="1"/>
  <c r="A132" i="56" s="1"/>
  <c r="A133" i="56" s="1"/>
  <c r="A134" i="56" s="1"/>
  <c r="A135" i="56" s="1"/>
  <c r="A136" i="56" s="1"/>
  <c r="A137" i="56" s="1"/>
  <c r="A138" i="56" s="1"/>
  <c r="A139" i="56" s="1"/>
  <c r="A140" i="56" s="1"/>
  <c r="A141" i="56" s="1"/>
  <c r="A142" i="56" s="1"/>
  <c r="A143" i="56" s="1"/>
  <c r="A144" i="56" s="1"/>
  <c r="A145" i="56" s="1"/>
  <c r="A146" i="56" s="1"/>
  <c r="A147" i="56" s="1"/>
  <c r="A148" i="56" s="1"/>
  <c r="A149" i="56" s="1"/>
  <c r="A150" i="56" s="1"/>
  <c r="A151" i="56" s="1"/>
  <c r="B145" i="56"/>
  <c r="B595" i="56"/>
  <c r="C614" i="57"/>
  <c r="C276" i="56"/>
  <c r="C268" i="56"/>
  <c r="C260" i="56"/>
  <c r="C252" i="56"/>
  <c r="C244" i="56"/>
  <c r="C236" i="56"/>
  <c r="C228" i="56"/>
  <c r="C220" i="56"/>
  <c r="D152" i="55"/>
  <c r="B546" i="56"/>
  <c r="B303" i="56"/>
  <c r="B279" i="56"/>
  <c r="B271" i="56"/>
  <c r="B263" i="56"/>
  <c r="B255" i="56"/>
  <c r="B247" i="56"/>
  <c r="B239" i="56"/>
  <c r="B231" i="56"/>
  <c r="B223" i="56"/>
  <c r="B215" i="56"/>
  <c r="B202" i="56"/>
  <c r="B226" i="56"/>
  <c r="B258" i="56"/>
  <c r="A620" i="55"/>
  <c r="B218" i="56"/>
  <c r="B250" i="56"/>
  <c r="B584" i="56"/>
  <c r="D487" i="55"/>
  <c r="B487" i="56" s="1"/>
  <c r="D59" i="55"/>
  <c r="B59" i="56" s="1"/>
  <c r="D68" i="55"/>
  <c r="B68" i="56" s="1"/>
  <c r="D124" i="55"/>
  <c r="B124" i="56" s="1"/>
  <c r="D166" i="55"/>
  <c r="D189" i="55"/>
  <c r="D294" i="55"/>
  <c r="B294" i="56" s="1"/>
  <c r="D342" i="55"/>
  <c r="D367" i="55"/>
  <c r="B368" i="56" s="1"/>
  <c r="D391" i="55"/>
  <c r="B391" i="56" s="1"/>
  <c r="D415" i="55"/>
  <c r="D439" i="55"/>
  <c r="B439" i="56" s="1"/>
  <c r="D598" i="55"/>
  <c r="X385" i="55"/>
  <c r="D51" i="55"/>
  <c r="B51" i="56" s="1"/>
  <c r="D60" i="55"/>
  <c r="B60" i="56" s="1"/>
  <c r="D115" i="55"/>
  <c r="B115" i="56" s="1"/>
  <c r="D181" i="55"/>
  <c r="D190" i="55"/>
  <c r="B191" i="56" s="1"/>
  <c r="D319" i="55"/>
  <c r="D343" i="55"/>
  <c r="B343" i="56" s="1"/>
  <c r="D502" i="55"/>
  <c r="D527" i="55"/>
  <c r="B528" i="56" s="1"/>
  <c r="D551" i="55"/>
  <c r="B552" i="56" s="1"/>
  <c r="D575" i="55"/>
  <c r="D599" i="55"/>
  <c r="B600" i="56" s="1"/>
  <c r="D76" i="55"/>
  <c r="B76" i="56" s="1"/>
  <c r="D43" i="55"/>
  <c r="B43" i="56" s="1"/>
  <c r="D52" i="55"/>
  <c r="B52" i="56" s="1"/>
  <c r="D107" i="55"/>
  <c r="B107" i="56" s="1"/>
  <c r="D116" i="55"/>
  <c r="B116" i="56" s="1"/>
  <c r="D158" i="55"/>
  <c r="B158" i="56" s="1"/>
  <c r="D182" i="55"/>
  <c r="B182" i="56" s="1"/>
  <c r="D286" i="55"/>
  <c r="B286" i="56" s="1"/>
  <c r="D406" i="55"/>
  <c r="D431" i="55"/>
  <c r="B432" i="56" s="1"/>
  <c r="D455" i="55"/>
  <c r="B455" i="56" s="1"/>
  <c r="D479" i="55"/>
  <c r="D503" i="55"/>
  <c r="B503" i="56" s="1"/>
  <c r="D535" i="55"/>
  <c r="B535" i="56" s="1"/>
  <c r="D35" i="55"/>
  <c r="B35" i="56" s="1"/>
  <c r="D44" i="55"/>
  <c r="B44" i="56" s="1"/>
  <c r="D99" i="55"/>
  <c r="B99" i="56" s="1"/>
  <c r="D108" i="55"/>
  <c r="B108" i="56" s="1"/>
  <c r="D147" i="55"/>
  <c r="D174" i="55"/>
  <c r="D213" i="55"/>
  <c r="D309" i="55"/>
  <c r="D335" i="55"/>
  <c r="D359" i="55"/>
  <c r="B359" i="56" s="1"/>
  <c r="D383" i="55"/>
  <c r="D407" i="55"/>
  <c r="B407" i="56" s="1"/>
  <c r="D566" i="55"/>
  <c r="D591" i="55"/>
  <c r="B591" i="56" s="1"/>
  <c r="X384" i="55"/>
  <c r="D198" i="55"/>
  <c r="B198" i="56" s="1"/>
  <c r="D511" i="55"/>
  <c r="D27" i="55"/>
  <c r="B27" i="56" s="1"/>
  <c r="D36" i="55"/>
  <c r="B36" i="56" s="1"/>
  <c r="D91" i="55"/>
  <c r="B91" i="56" s="1"/>
  <c r="D100" i="55"/>
  <c r="B100" i="56" s="1"/>
  <c r="D139" i="55"/>
  <c r="D148" i="55"/>
  <c r="B149" i="56" s="1"/>
  <c r="D310" i="55"/>
  <c r="B311" i="56" s="1"/>
  <c r="D470" i="55"/>
  <c r="B482" i="56"/>
  <c r="D495" i="55"/>
  <c r="B496" i="56" s="1"/>
  <c r="D519" i="55"/>
  <c r="B520" i="56" s="1"/>
  <c r="B531" i="56"/>
  <c r="D543" i="55"/>
  <c r="D567" i="55"/>
  <c r="B568" i="56" s="1"/>
  <c r="D463" i="55"/>
  <c r="B464" i="56" s="1"/>
  <c r="D19" i="55"/>
  <c r="B19" i="56" s="1"/>
  <c r="D28" i="55"/>
  <c r="B28" i="56" s="1"/>
  <c r="D83" i="55"/>
  <c r="B83" i="56" s="1"/>
  <c r="D92" i="55"/>
  <c r="B92" i="56" s="1"/>
  <c r="D140" i="55"/>
  <c r="B186" i="56"/>
  <c r="D206" i="55"/>
  <c r="D374" i="55"/>
  <c r="B386" i="56"/>
  <c r="D399" i="55"/>
  <c r="B400" i="56" s="1"/>
  <c r="D423" i="55"/>
  <c r="B424" i="56" s="1"/>
  <c r="D447" i="55"/>
  <c r="B447" i="56" s="1"/>
  <c r="D471" i="55"/>
  <c r="B472" i="56" s="1"/>
  <c r="B594" i="56"/>
  <c r="B133" i="56"/>
  <c r="B142" i="56"/>
  <c r="B178" i="56"/>
  <c r="B187" i="56"/>
  <c r="B282" i="56"/>
  <c r="B488" i="56"/>
  <c r="B499" i="56"/>
  <c r="B536" i="56"/>
  <c r="B167" i="56"/>
  <c r="B392" i="56"/>
  <c r="B403" i="56"/>
  <c r="B440" i="56"/>
  <c r="B344" i="56"/>
  <c r="B287" i="56"/>
  <c r="B456" i="56"/>
  <c r="B467" i="56"/>
  <c r="B504" i="56"/>
  <c r="B160" i="56"/>
  <c r="B175" i="56"/>
  <c r="B193" i="56"/>
  <c r="B336" i="56"/>
  <c r="B346" i="56"/>
  <c r="B360" i="56"/>
  <c r="B371" i="56"/>
  <c r="B408" i="56"/>
  <c r="B578" i="56"/>
  <c r="B592" i="56"/>
  <c r="B602" i="56"/>
  <c r="D165" i="55"/>
  <c r="D205" i="55"/>
  <c r="D317" i="55"/>
  <c r="D350" i="55"/>
  <c r="D382" i="55"/>
  <c r="D414" i="55"/>
  <c r="D446" i="55"/>
  <c r="D478" i="55"/>
  <c r="D510" i="55"/>
  <c r="D542" i="55"/>
  <c r="D574" i="55"/>
  <c r="D606" i="55"/>
  <c r="D157" i="55"/>
  <c r="D197" i="55"/>
  <c r="C280" i="56"/>
  <c r="C272" i="56"/>
  <c r="C264" i="56"/>
  <c r="C256" i="56"/>
  <c r="C248" i="56"/>
  <c r="C240" i="56"/>
  <c r="C232" i="56"/>
  <c r="C224" i="56"/>
  <c r="C216" i="56"/>
  <c r="D151" i="55"/>
  <c r="B151" i="56" s="1"/>
  <c r="D173" i="55"/>
  <c r="D301" i="55"/>
  <c r="D334" i="55"/>
  <c r="D366" i="55"/>
  <c r="D398" i="55"/>
  <c r="D430" i="55"/>
  <c r="D462" i="55"/>
  <c r="D494" i="55"/>
  <c r="D526" i="55"/>
  <c r="D558" i="55"/>
  <c r="D590" i="55"/>
  <c r="D293" i="55"/>
  <c r="D123" i="55"/>
  <c r="B123" i="56" s="1"/>
  <c r="D285" i="55"/>
  <c r="D326" i="55"/>
  <c r="D358" i="55"/>
  <c r="D390" i="55"/>
  <c r="D422" i="55"/>
  <c r="D454" i="55"/>
  <c r="D486" i="55"/>
  <c r="D518" i="55"/>
  <c r="D550" i="55"/>
  <c r="D582" i="55"/>
  <c r="D34" i="55"/>
  <c r="B34" i="56" s="1"/>
  <c r="D90" i="55"/>
  <c r="B90" i="56" s="1"/>
  <c r="D18" i="55"/>
  <c r="B18" i="56" s="1"/>
  <c r="D74" i="55"/>
  <c r="B74" i="56" s="1"/>
  <c r="D130" i="55"/>
  <c r="B130" i="56" s="1"/>
  <c r="D66" i="55"/>
  <c r="B66" i="56" s="1"/>
  <c r="D106" i="55"/>
  <c r="B106" i="56" s="1"/>
  <c r="D50" i="55"/>
  <c r="B50" i="56" s="1"/>
  <c r="D82" i="55"/>
  <c r="B82" i="56" s="1"/>
  <c r="D26" i="55"/>
  <c r="B26" i="56" s="1"/>
  <c r="D98" i="55"/>
  <c r="B98" i="56" s="1"/>
  <c r="D58" i="55"/>
  <c r="B58" i="56" s="1"/>
  <c r="D122" i="55"/>
  <c r="B122" i="56" s="1"/>
  <c r="D42" i="55"/>
  <c r="B42" i="56" s="1"/>
  <c r="D114" i="55"/>
  <c r="B114" i="56" s="1"/>
  <c r="B137" i="56"/>
  <c r="B179" i="56"/>
  <c r="B207" i="56"/>
  <c r="B298" i="56"/>
  <c r="B320" i="56"/>
  <c r="B352" i="56"/>
  <c r="B384" i="56"/>
  <c r="B416" i="56"/>
  <c r="B448" i="56"/>
  <c r="B480" i="56"/>
  <c r="B512" i="56"/>
  <c r="B544" i="56"/>
  <c r="B554" i="56"/>
  <c r="B576" i="56"/>
  <c r="B586" i="56"/>
  <c r="B159" i="56"/>
  <c r="B171" i="56"/>
  <c r="B199" i="56"/>
  <c r="B217" i="56"/>
  <c r="B249" i="56"/>
  <c r="B257" i="56"/>
  <c r="B281" i="56"/>
  <c r="B290" i="56"/>
  <c r="B299" i="56"/>
  <c r="B331" i="56"/>
  <c r="B395" i="56"/>
  <c r="B427" i="56"/>
  <c r="B459" i="56"/>
  <c r="B491" i="56"/>
  <c r="B523" i="56"/>
  <c r="B587" i="56"/>
  <c r="B141" i="56"/>
  <c r="B150" i="56"/>
  <c r="B183" i="56"/>
  <c r="B210" i="56"/>
  <c r="B227" i="56"/>
  <c r="B235" i="56"/>
  <c r="B243" i="56"/>
  <c r="B259" i="56"/>
  <c r="B267" i="56"/>
  <c r="B275" i="56"/>
  <c r="B323" i="56"/>
  <c r="B355" i="56"/>
  <c r="B419" i="56"/>
  <c r="B451" i="56"/>
  <c r="B483" i="56"/>
  <c r="B515" i="56"/>
  <c r="B559" i="56"/>
  <c r="B579" i="56"/>
  <c r="B134" i="56"/>
  <c r="B185" i="56"/>
  <c r="B194" i="56"/>
  <c r="B203" i="56"/>
  <c r="B295" i="56"/>
  <c r="B314" i="56"/>
  <c r="B347" i="56"/>
  <c r="B379" i="56"/>
  <c r="B411" i="56"/>
  <c r="B475" i="56"/>
  <c r="B507" i="56"/>
  <c r="B539" i="56"/>
  <c r="B571" i="56"/>
  <c r="B583" i="56"/>
  <c r="B603" i="56"/>
  <c r="C282" i="56"/>
  <c r="C274" i="56"/>
  <c r="C266" i="56"/>
  <c r="C258" i="56"/>
  <c r="C250" i="56"/>
  <c r="C242" i="56"/>
  <c r="C234" i="56"/>
  <c r="C226" i="56"/>
  <c r="C218" i="56"/>
  <c r="D138" i="55"/>
  <c r="D146" i="55"/>
  <c r="D156" i="55"/>
  <c r="D164" i="55"/>
  <c r="B176" i="56"/>
  <c r="B184" i="56"/>
  <c r="B192" i="56"/>
  <c r="B200" i="56"/>
  <c r="B208" i="56"/>
  <c r="B216" i="56"/>
  <c r="B224" i="56"/>
  <c r="B232" i="56"/>
  <c r="B240" i="56"/>
  <c r="B248" i="56"/>
  <c r="B256" i="56"/>
  <c r="B264" i="56"/>
  <c r="B272" i="56"/>
  <c r="B280" i="56"/>
  <c r="B288" i="56"/>
  <c r="B296" i="56"/>
  <c r="B304" i="56"/>
  <c r="B312" i="56"/>
  <c r="B321" i="56"/>
  <c r="B329" i="56"/>
  <c r="B337" i="56"/>
  <c r="B345" i="56"/>
  <c r="B353" i="56"/>
  <c r="B361" i="56"/>
  <c r="B369" i="56"/>
  <c r="B377" i="56"/>
  <c r="B385" i="56"/>
  <c r="B393" i="56"/>
  <c r="B401" i="56"/>
  <c r="B409" i="56"/>
  <c r="B417" i="56"/>
  <c r="B425" i="56"/>
  <c r="B433" i="56"/>
  <c r="B441" i="56"/>
  <c r="B449" i="56"/>
  <c r="B457" i="56"/>
  <c r="B465" i="56"/>
  <c r="B473" i="56"/>
  <c r="B481" i="56"/>
  <c r="B489" i="56"/>
  <c r="B497" i="56"/>
  <c r="B505" i="56"/>
  <c r="B513" i="56"/>
  <c r="B521" i="56"/>
  <c r="B529" i="56"/>
  <c r="B537" i="56"/>
  <c r="B545" i="56"/>
  <c r="B553" i="56"/>
  <c r="B561" i="56"/>
  <c r="B569" i="56"/>
  <c r="B577" i="56"/>
  <c r="B585" i="56"/>
  <c r="B593" i="56"/>
  <c r="B601" i="56"/>
  <c r="C281" i="56"/>
  <c r="C273" i="56"/>
  <c r="C265" i="56"/>
  <c r="C257" i="56"/>
  <c r="C249" i="56"/>
  <c r="C241" i="56"/>
  <c r="C233" i="56"/>
  <c r="C225" i="56"/>
  <c r="C217" i="56"/>
  <c r="B170" i="56"/>
  <c r="C278" i="56"/>
  <c r="C270" i="56"/>
  <c r="C262" i="56"/>
  <c r="C254" i="56"/>
  <c r="C246" i="56"/>
  <c r="C238" i="56"/>
  <c r="C230" i="56"/>
  <c r="C222" i="56"/>
  <c r="C349" i="56"/>
  <c r="B135" i="56"/>
  <c r="B161" i="56"/>
  <c r="B220" i="56"/>
  <c r="B228" i="56"/>
  <c r="B252" i="56"/>
  <c r="B260" i="56"/>
  <c r="B268" i="56"/>
  <c r="D307" i="55"/>
  <c r="B307" i="56" s="1"/>
  <c r="D315" i="55"/>
  <c r="B315" i="56" s="1"/>
  <c r="D324" i="55"/>
  <c r="D332" i="55"/>
  <c r="B332" i="56" s="1"/>
  <c r="D340" i="55"/>
  <c r="B340" i="56" s="1"/>
  <c r="D348" i="55"/>
  <c r="D356" i="55"/>
  <c r="B356" i="56" s="1"/>
  <c r="D364" i="55"/>
  <c r="B364" i="56" s="1"/>
  <c r="D372" i="55"/>
  <c r="D380" i="55"/>
  <c r="B380" i="56" s="1"/>
  <c r="D388" i="55"/>
  <c r="D396" i="55"/>
  <c r="B396" i="56" s="1"/>
  <c r="D404" i="55"/>
  <c r="B404" i="56" s="1"/>
  <c r="D412" i="55"/>
  <c r="B412" i="56" s="1"/>
  <c r="D420" i="55"/>
  <c r="B420" i="56" s="1"/>
  <c r="D428" i="55"/>
  <c r="B428" i="56" s="1"/>
  <c r="D436" i="55"/>
  <c r="B436" i="56" s="1"/>
  <c r="D444" i="55"/>
  <c r="D452" i="55"/>
  <c r="D460" i="55"/>
  <c r="B460" i="56" s="1"/>
  <c r="D468" i="55"/>
  <c r="B468" i="56" s="1"/>
  <c r="D476" i="55"/>
  <c r="B476" i="56" s="1"/>
  <c r="D484" i="55"/>
  <c r="B484" i="56" s="1"/>
  <c r="D492" i="55"/>
  <c r="B492" i="56" s="1"/>
  <c r="D500" i="55"/>
  <c r="B500" i="56" s="1"/>
  <c r="D508" i="55"/>
  <c r="D516" i="55"/>
  <c r="D524" i="55"/>
  <c r="B524" i="56" s="1"/>
  <c r="D532" i="55"/>
  <c r="B532" i="56" s="1"/>
  <c r="D540" i="55"/>
  <c r="B540" i="56" s="1"/>
  <c r="D548" i="55"/>
  <c r="B548" i="56" s="1"/>
  <c r="D556" i="55"/>
  <c r="B556" i="56" s="1"/>
  <c r="D564" i="55"/>
  <c r="B564" i="56" s="1"/>
  <c r="D572" i="55"/>
  <c r="D580" i="55"/>
  <c r="D588" i="55"/>
  <c r="B588" i="56" s="1"/>
  <c r="D596" i="55"/>
  <c r="B596" i="56" s="1"/>
  <c r="D604" i="55"/>
  <c r="B604" i="56" s="1"/>
  <c r="C277" i="56"/>
  <c r="C269" i="56"/>
  <c r="C261" i="56"/>
  <c r="C253" i="56"/>
  <c r="C245" i="56"/>
  <c r="C237" i="56"/>
  <c r="C229" i="56"/>
  <c r="C221" i="56"/>
  <c r="B136" i="56"/>
  <c r="B144" i="56"/>
  <c r="B154" i="56"/>
  <c r="B162" i="56"/>
  <c r="D172" i="55"/>
  <c r="D180" i="55"/>
  <c r="D188" i="55"/>
  <c r="D196" i="55"/>
  <c r="D204" i="55"/>
  <c r="D212" i="55"/>
  <c r="B229" i="56"/>
  <c r="B245" i="56"/>
  <c r="B253" i="56"/>
  <c r="B261" i="56"/>
  <c r="B277" i="56"/>
  <c r="D284" i="55"/>
  <c r="D292" i="55"/>
  <c r="D300" i="55"/>
  <c r="D308" i="55"/>
  <c r="D316" i="55"/>
  <c r="D325" i="55"/>
  <c r="D333" i="55"/>
  <c r="D341" i="55"/>
  <c r="D349" i="55"/>
  <c r="D357" i="55"/>
  <c r="D365" i="55"/>
  <c r="B366" i="56" s="1"/>
  <c r="D373" i="55"/>
  <c r="D381" i="55"/>
  <c r="D389" i="55"/>
  <c r="D397" i="55"/>
  <c r="D405" i="55"/>
  <c r="B406" i="56" s="1"/>
  <c r="D413" i="55"/>
  <c r="D421" i="55"/>
  <c r="D429" i="55"/>
  <c r="D437" i="55"/>
  <c r="B438" i="56" s="1"/>
  <c r="D445" i="55"/>
  <c r="D453" i="55"/>
  <c r="D461" i="55"/>
  <c r="D469" i="55"/>
  <c r="D477" i="55"/>
  <c r="D485" i="55"/>
  <c r="D493" i="55"/>
  <c r="D501" i="55"/>
  <c r="D509" i="55"/>
  <c r="D517" i="55"/>
  <c r="D525" i="55"/>
  <c r="D533" i="55"/>
  <c r="B534" i="56" s="1"/>
  <c r="D541" i="55"/>
  <c r="D549" i="55"/>
  <c r="D557" i="55"/>
  <c r="D565" i="55"/>
  <c r="D573" i="55"/>
  <c r="D581" i="55"/>
  <c r="D589" i="55"/>
  <c r="D597" i="55"/>
  <c r="D605" i="55"/>
  <c r="B155" i="56"/>
  <c r="B174" i="56"/>
  <c r="B190" i="56"/>
  <c r="B206" i="56"/>
  <c r="B222" i="56"/>
  <c r="B230" i="56"/>
  <c r="B238" i="56"/>
  <c r="B254" i="56"/>
  <c r="B262" i="56"/>
  <c r="B270" i="56"/>
  <c r="B302" i="56"/>
  <c r="B327" i="56"/>
  <c r="B335" i="56"/>
  <c r="B351" i="56"/>
  <c r="B375" i="56"/>
  <c r="B383" i="56"/>
  <c r="B415" i="56"/>
  <c r="B463" i="56"/>
  <c r="B168" i="56"/>
  <c r="B153" i="56"/>
  <c r="D131" i="55"/>
  <c r="B131" i="56" s="1"/>
  <c r="X350" i="57"/>
  <c r="C619" i="57" s="1"/>
  <c r="E350" i="57"/>
  <c r="C616" i="57"/>
  <c r="C613" i="57"/>
  <c r="P152" i="57"/>
  <c r="P153" i="57" s="1"/>
  <c r="P154" i="57"/>
  <c r="P155" i="57" s="1"/>
  <c r="P156" i="57" s="1"/>
  <c r="P157" i="57" s="1"/>
  <c r="P158" i="57" s="1"/>
  <c r="P159" i="57" s="1"/>
  <c r="P160" i="57" s="1"/>
  <c r="P161" i="57" s="1"/>
  <c r="P162" i="57" s="1"/>
  <c r="P163" i="57" s="1"/>
  <c r="P164" i="57" s="1"/>
  <c r="P165" i="57" s="1"/>
  <c r="P166" i="57" s="1"/>
  <c r="P167" i="57" s="1"/>
  <c r="C617" i="57"/>
  <c r="B613" i="57"/>
  <c r="E385" i="57"/>
  <c r="E609" i="57" s="1"/>
  <c r="N379" i="55"/>
  <c r="F379" i="56" s="1"/>
  <c r="N355" i="55"/>
  <c r="F355" i="56" s="1"/>
  <c r="Y607" i="55"/>
  <c r="Y559" i="55"/>
  <c r="Y503" i="55"/>
  <c r="Y447" i="55"/>
  <c r="Y391" i="55"/>
  <c r="Y332" i="55"/>
  <c r="Y267" i="55"/>
  <c r="Y203" i="55"/>
  <c r="Y134" i="55"/>
  <c r="D318" i="55"/>
  <c r="N607" i="55"/>
  <c r="F607" i="56" s="1"/>
  <c r="N599" i="55"/>
  <c r="F599" i="56" s="1"/>
  <c r="N591" i="55"/>
  <c r="F591" i="56" s="1"/>
  <c r="N583" i="55"/>
  <c r="F583" i="56" s="1"/>
  <c r="N575" i="55"/>
  <c r="F575" i="56" s="1"/>
  <c r="N567" i="55"/>
  <c r="F567" i="56" s="1"/>
  <c r="N559" i="55"/>
  <c r="F559" i="56" s="1"/>
  <c r="N551" i="55"/>
  <c r="F551" i="56" s="1"/>
  <c r="N543" i="55"/>
  <c r="F543" i="56" s="1"/>
  <c r="N535" i="55"/>
  <c r="F535" i="56" s="1"/>
  <c r="N527" i="55"/>
  <c r="F527" i="56" s="1"/>
  <c r="N519" i="55"/>
  <c r="F519" i="56" s="1"/>
  <c r="N511" i="55"/>
  <c r="F511" i="56" s="1"/>
  <c r="N503" i="55"/>
  <c r="F503" i="56" s="1"/>
  <c r="N495" i="55"/>
  <c r="F495" i="56" s="1"/>
  <c r="N487" i="55"/>
  <c r="F487" i="56" s="1"/>
  <c r="N479" i="55"/>
  <c r="F479" i="56" s="1"/>
  <c r="N471" i="55"/>
  <c r="F471" i="56" s="1"/>
  <c r="N463" i="55"/>
  <c r="F463" i="56" s="1"/>
  <c r="N455" i="55"/>
  <c r="F455" i="56" s="1"/>
  <c r="N447" i="55"/>
  <c r="F447" i="56" s="1"/>
  <c r="N439" i="55"/>
  <c r="F439" i="56" s="1"/>
  <c r="N431" i="55"/>
  <c r="F431" i="56" s="1"/>
  <c r="N423" i="55"/>
  <c r="F423" i="56" s="1"/>
  <c r="N415" i="55"/>
  <c r="F415" i="56" s="1"/>
  <c r="N407" i="55"/>
  <c r="F407" i="56" s="1"/>
  <c r="N399" i="55"/>
  <c r="F399" i="56" s="1"/>
  <c r="N391" i="55"/>
  <c r="F391" i="56" s="1"/>
  <c r="Y601" i="55"/>
  <c r="Y593" i="55"/>
  <c r="Y585" i="55"/>
  <c r="Y577" i="55"/>
  <c r="Y569" i="55"/>
  <c r="Y561" i="55"/>
  <c r="Y553" i="55"/>
  <c r="Y545" i="55"/>
  <c r="Y537" i="55"/>
  <c r="Y529" i="55"/>
  <c r="Y521" i="55"/>
  <c r="Y513" i="55"/>
  <c r="Y505" i="55"/>
  <c r="Y497" i="55"/>
  <c r="Y489" i="55"/>
  <c r="Y481" i="55"/>
  <c r="Y473" i="55"/>
  <c r="Y465" i="55"/>
  <c r="Y457" i="55"/>
  <c r="Y449" i="55"/>
  <c r="Y441" i="55"/>
  <c r="Y433" i="55"/>
  <c r="Y425" i="55"/>
  <c r="Y417" i="55"/>
  <c r="Y409" i="55"/>
  <c r="Y401" i="55"/>
  <c r="Y393" i="55"/>
  <c r="Y383" i="55"/>
  <c r="Y375" i="55"/>
  <c r="Y367" i="55"/>
  <c r="Y359" i="55"/>
  <c r="Y351" i="55"/>
  <c r="Y342" i="55"/>
  <c r="Y334" i="55"/>
  <c r="Y326" i="55"/>
  <c r="Y317" i="55"/>
  <c r="Y309" i="55"/>
  <c r="Y301" i="55"/>
  <c r="Y293" i="55"/>
  <c r="Y285" i="55"/>
  <c r="Y277" i="55"/>
  <c r="Y269" i="55"/>
  <c r="Y261" i="55"/>
  <c r="Y253" i="55"/>
  <c r="Y245" i="55"/>
  <c r="Y237" i="55"/>
  <c r="Y229" i="55"/>
  <c r="Y221" i="55"/>
  <c r="Y213" i="55"/>
  <c r="Y205" i="55"/>
  <c r="Y197" i="55"/>
  <c r="Y189" i="55"/>
  <c r="Y181" i="55"/>
  <c r="Y173" i="55"/>
  <c r="Y162" i="55"/>
  <c r="Y154" i="55"/>
  <c r="Y144" i="55"/>
  <c r="Y136" i="55"/>
  <c r="Y129" i="55"/>
  <c r="Y121" i="55"/>
  <c r="Y113" i="55"/>
  <c r="Y105" i="55"/>
  <c r="Y97" i="55"/>
  <c r="Y89" i="55"/>
  <c r="Y81" i="55"/>
  <c r="Y73" i="55"/>
  <c r="Y65" i="55"/>
  <c r="Y57" i="55"/>
  <c r="Y49" i="55"/>
  <c r="Y41" i="55"/>
  <c r="Y33" i="55"/>
  <c r="Y25" i="55"/>
  <c r="Y17" i="55"/>
  <c r="Y575" i="55"/>
  <c r="Y519" i="55"/>
  <c r="Y471" i="55"/>
  <c r="Y423" i="55"/>
  <c r="Y365" i="55"/>
  <c r="Y299" i="55"/>
  <c r="Y243" i="55"/>
  <c r="Y171" i="55"/>
  <c r="N347" i="55"/>
  <c r="F347" i="56" s="1"/>
  <c r="N339" i="55"/>
  <c r="F339" i="56" s="1"/>
  <c r="N331" i="55"/>
  <c r="F331" i="56" s="1"/>
  <c r="N323" i="55"/>
  <c r="F323" i="56" s="1"/>
  <c r="N314" i="55"/>
  <c r="F314" i="56" s="1"/>
  <c r="N306" i="55"/>
  <c r="F306" i="56" s="1"/>
  <c r="N298" i="55"/>
  <c r="F298" i="56" s="1"/>
  <c r="N290" i="55"/>
  <c r="F290" i="56" s="1"/>
  <c r="N282" i="55"/>
  <c r="N274" i="55"/>
  <c r="C275" i="56"/>
  <c r="N266" i="55"/>
  <c r="C267" i="56"/>
  <c r="N258" i="55"/>
  <c r="C259" i="56"/>
  <c r="N250" i="55"/>
  <c r="C251" i="56"/>
  <c r="N242" i="55"/>
  <c r="C243" i="56"/>
  <c r="N234" i="55"/>
  <c r="C235" i="56"/>
  <c r="N226" i="55"/>
  <c r="C227" i="56"/>
  <c r="N218" i="55"/>
  <c r="C219" i="56"/>
  <c r="N210" i="55"/>
  <c r="F210" i="56" s="1"/>
  <c r="N202" i="55"/>
  <c r="F202" i="56" s="1"/>
  <c r="N194" i="55"/>
  <c r="F194" i="56" s="1"/>
  <c r="N186" i="55"/>
  <c r="F186" i="56" s="1"/>
  <c r="N178" i="55"/>
  <c r="F178" i="56" s="1"/>
  <c r="N170" i="55"/>
  <c r="F170" i="56" s="1"/>
  <c r="N159" i="55"/>
  <c r="F159" i="56" s="1"/>
  <c r="N149" i="55"/>
  <c r="F149" i="56" s="1"/>
  <c r="N141" i="55"/>
  <c r="F141" i="56" s="1"/>
  <c r="N133" i="55"/>
  <c r="F133" i="56" s="1"/>
  <c r="N126" i="55"/>
  <c r="F126" i="56" s="1"/>
  <c r="N118" i="55"/>
  <c r="F118" i="56" s="1"/>
  <c r="N110" i="55"/>
  <c r="F110" i="56" s="1"/>
  <c r="N102" i="55"/>
  <c r="F102" i="56" s="1"/>
  <c r="N94" i="55"/>
  <c r="F94" i="56" s="1"/>
  <c r="N86" i="55"/>
  <c r="F86" i="56" s="1"/>
  <c r="N78" i="55"/>
  <c r="F78" i="56" s="1"/>
  <c r="N70" i="55"/>
  <c r="F70" i="56" s="1"/>
  <c r="N62" i="55"/>
  <c r="F62" i="56" s="1"/>
  <c r="N54" i="55"/>
  <c r="F54" i="56" s="1"/>
  <c r="N46" i="55"/>
  <c r="F46" i="56" s="1"/>
  <c r="N38" i="55"/>
  <c r="F38" i="56" s="1"/>
  <c r="N30" i="55"/>
  <c r="F30" i="56" s="1"/>
  <c r="N22" i="55"/>
  <c r="F22" i="56" s="1"/>
  <c r="Y600" i="55"/>
  <c r="Y592" i="55"/>
  <c r="Y584" i="55"/>
  <c r="Y576" i="55"/>
  <c r="Y568" i="55"/>
  <c r="Y560" i="55"/>
  <c r="Y552" i="55"/>
  <c r="Y544" i="55"/>
  <c r="Y536" i="55"/>
  <c r="Y528" i="55"/>
  <c r="Y520" i="55"/>
  <c r="Y512" i="55"/>
  <c r="Y504" i="55"/>
  <c r="Y496" i="55"/>
  <c r="Y488" i="55"/>
  <c r="Y480" i="55"/>
  <c r="Y472" i="55"/>
  <c r="Y464" i="55"/>
  <c r="Y456" i="55"/>
  <c r="Y448" i="55"/>
  <c r="Y440" i="55"/>
  <c r="Y432" i="55"/>
  <c r="Y424" i="55"/>
  <c r="Y416" i="55"/>
  <c r="Y408" i="55"/>
  <c r="Y400" i="55"/>
  <c r="Y392" i="55"/>
  <c r="Y382" i="55"/>
  <c r="Y374" i="55"/>
  <c r="Y366" i="55"/>
  <c r="Y358" i="55"/>
  <c r="Y350" i="55"/>
  <c r="Y341" i="55"/>
  <c r="Y333" i="55"/>
  <c r="Y325" i="55"/>
  <c r="Y316" i="55"/>
  <c r="Y308" i="55"/>
  <c r="Y300" i="55"/>
  <c r="Y292" i="55"/>
  <c r="Y284" i="55"/>
  <c r="Y276" i="55"/>
  <c r="Y268" i="55"/>
  <c r="Y260" i="55"/>
  <c r="Y252" i="55"/>
  <c r="Y244" i="55"/>
  <c r="Y236" i="55"/>
  <c r="Y228" i="55"/>
  <c r="Y220" i="55"/>
  <c r="Y212" i="55"/>
  <c r="Y204" i="55"/>
  <c r="Y196" i="55"/>
  <c r="Y188" i="55"/>
  <c r="Y180" i="55"/>
  <c r="Y172" i="55"/>
  <c r="Y161" i="55"/>
  <c r="Y153" i="55"/>
  <c r="Y143" i="55"/>
  <c r="Y135" i="55"/>
  <c r="Y128" i="55"/>
  <c r="Y120" i="55"/>
  <c r="Y112" i="55"/>
  <c r="Y104" i="55"/>
  <c r="Y96" i="55"/>
  <c r="Y88" i="55"/>
  <c r="Y80" i="55"/>
  <c r="Y72" i="55"/>
  <c r="Y64" i="55"/>
  <c r="Y56" i="55"/>
  <c r="Y48" i="55"/>
  <c r="Y40" i="55"/>
  <c r="Y32" i="55"/>
  <c r="Y24" i="55"/>
  <c r="Y16" i="55"/>
  <c r="N168" i="55"/>
  <c r="F168" i="56" s="1"/>
  <c r="N151" i="55"/>
  <c r="F151" i="56" s="1"/>
  <c r="Y318" i="55"/>
  <c r="Y599" i="55"/>
  <c r="Y535" i="55"/>
  <c r="Y463" i="55"/>
  <c r="Y399" i="55"/>
  <c r="Y340" i="55"/>
  <c r="Y275" i="55"/>
  <c r="Y211" i="55"/>
  <c r="Y150" i="55"/>
  <c r="Y111" i="55"/>
  <c r="Y79" i="55"/>
  <c r="Y39" i="55"/>
  <c r="Y606" i="55"/>
  <c r="Y598" i="55"/>
  <c r="Y590" i="55"/>
  <c r="Y582" i="55"/>
  <c r="Y574" i="55"/>
  <c r="Y566" i="55"/>
  <c r="Y558" i="55"/>
  <c r="Y550" i="55"/>
  <c r="Y542" i="55"/>
  <c r="Y534" i="55"/>
  <c r="Y526" i="55"/>
  <c r="Y518" i="55"/>
  <c r="Y510" i="55"/>
  <c r="Y502" i="55"/>
  <c r="Y494" i="55"/>
  <c r="Y486" i="55"/>
  <c r="Y478" i="55"/>
  <c r="Y470" i="55"/>
  <c r="Y462" i="55"/>
  <c r="Y454" i="55"/>
  <c r="Y446" i="55"/>
  <c r="Y438" i="55"/>
  <c r="Y430" i="55"/>
  <c r="Y422" i="55"/>
  <c r="Y414" i="55"/>
  <c r="Y406" i="55"/>
  <c r="Y398" i="55"/>
  <c r="Y390" i="55"/>
  <c r="Y380" i="55"/>
  <c r="Y372" i="55"/>
  <c r="Y364" i="55"/>
  <c r="Y356" i="55"/>
  <c r="Y347" i="55"/>
  <c r="Y339" i="55"/>
  <c r="Y331" i="55"/>
  <c r="Y323" i="55"/>
  <c r="Y314" i="55"/>
  <c r="Y306" i="55"/>
  <c r="Y298" i="55"/>
  <c r="Y290" i="55"/>
  <c r="Y282" i="55"/>
  <c r="Y274" i="55"/>
  <c r="Y266" i="55"/>
  <c r="Y258" i="55"/>
  <c r="Y250" i="55"/>
  <c r="Y242" i="55"/>
  <c r="Y234" i="55"/>
  <c r="Y226" i="55"/>
  <c r="Y218" i="55"/>
  <c r="Y210" i="55"/>
  <c r="Y202" i="55"/>
  <c r="Y194" i="55"/>
  <c r="Y186" i="55"/>
  <c r="Y178" i="55"/>
  <c r="Y170" i="55"/>
  <c r="Y159" i="55"/>
  <c r="Y149" i="55"/>
  <c r="Y141" i="55"/>
  <c r="Y133" i="55"/>
  <c r="Y126" i="55"/>
  <c r="Y118" i="55"/>
  <c r="Y110" i="55"/>
  <c r="Y102" i="55"/>
  <c r="Y94" i="55"/>
  <c r="Y86" i="55"/>
  <c r="Y78" i="55"/>
  <c r="Y70" i="55"/>
  <c r="Y62" i="55"/>
  <c r="Y54" i="55"/>
  <c r="Y46" i="55"/>
  <c r="Y38" i="55"/>
  <c r="Y30" i="55"/>
  <c r="Y22" i="55"/>
  <c r="Y169" i="55"/>
  <c r="Y167" i="55"/>
  <c r="Y152" i="55"/>
  <c r="N363" i="55"/>
  <c r="F363" i="56" s="1"/>
  <c r="Y591" i="55"/>
  <c r="Y543" i="55"/>
  <c r="Y487" i="55"/>
  <c r="Y431" i="55"/>
  <c r="Y373" i="55"/>
  <c r="Y307" i="55"/>
  <c r="Y259" i="55"/>
  <c r="Y219" i="55"/>
  <c r="Y160" i="55"/>
  <c r="Y119" i="55"/>
  <c r="Y71" i="55"/>
  <c r="N603" i="55"/>
  <c r="F603" i="56" s="1"/>
  <c r="N595" i="55"/>
  <c r="F595" i="56" s="1"/>
  <c r="N587" i="55"/>
  <c r="F587" i="56" s="1"/>
  <c r="N579" i="55"/>
  <c r="F579" i="56" s="1"/>
  <c r="N571" i="55"/>
  <c r="F571" i="56" s="1"/>
  <c r="N563" i="55"/>
  <c r="F563" i="56" s="1"/>
  <c r="N555" i="55"/>
  <c r="F555" i="56" s="1"/>
  <c r="N547" i="55"/>
  <c r="F547" i="56" s="1"/>
  <c r="N539" i="55"/>
  <c r="F539" i="56" s="1"/>
  <c r="N531" i="55"/>
  <c r="F531" i="56" s="1"/>
  <c r="N523" i="55"/>
  <c r="F523" i="56" s="1"/>
  <c r="N515" i="55"/>
  <c r="F515" i="56" s="1"/>
  <c r="N507" i="55"/>
  <c r="F507" i="56" s="1"/>
  <c r="N499" i="55"/>
  <c r="F499" i="56" s="1"/>
  <c r="N491" i="55"/>
  <c r="F491" i="56" s="1"/>
  <c r="N483" i="55"/>
  <c r="F483" i="56" s="1"/>
  <c r="N475" i="55"/>
  <c r="F475" i="56" s="1"/>
  <c r="N467" i="55"/>
  <c r="F467" i="56" s="1"/>
  <c r="N459" i="55"/>
  <c r="F459" i="56" s="1"/>
  <c r="N451" i="55"/>
  <c r="F451" i="56" s="1"/>
  <c r="N443" i="55"/>
  <c r="F443" i="56" s="1"/>
  <c r="N435" i="55"/>
  <c r="F435" i="56" s="1"/>
  <c r="N427" i="55"/>
  <c r="F427" i="56" s="1"/>
  <c r="N419" i="55"/>
  <c r="F419" i="56" s="1"/>
  <c r="N411" i="55"/>
  <c r="F411" i="56" s="1"/>
  <c r="N403" i="55"/>
  <c r="F403" i="56" s="1"/>
  <c r="N395" i="55"/>
  <c r="F395" i="56" s="1"/>
  <c r="N387" i="55"/>
  <c r="F387" i="56" s="1"/>
  <c r="Y605" i="55"/>
  <c r="Y597" i="55"/>
  <c r="Y589" i="55"/>
  <c r="Y581" i="55"/>
  <c r="Y573" i="55"/>
  <c r="Y565" i="55"/>
  <c r="Y557" i="55"/>
  <c r="Y549" i="55"/>
  <c r="Y541" i="55"/>
  <c r="Y533" i="55"/>
  <c r="Y525" i="55"/>
  <c r="Y517" i="55"/>
  <c r="Y509" i="55"/>
  <c r="Y501" i="55"/>
  <c r="Y493" i="55"/>
  <c r="Y485" i="55"/>
  <c r="Y477" i="55"/>
  <c r="Y469" i="55"/>
  <c r="Y461" i="55"/>
  <c r="Y453" i="55"/>
  <c r="Y445" i="55"/>
  <c r="Y437" i="55"/>
  <c r="Y429" i="55"/>
  <c r="Y421" i="55"/>
  <c r="Y413" i="55"/>
  <c r="Y405" i="55"/>
  <c r="Y397" i="55"/>
  <c r="Y389" i="55"/>
  <c r="Y379" i="55"/>
  <c r="Y371" i="55"/>
  <c r="Y363" i="55"/>
  <c r="Y355" i="55"/>
  <c r="Y346" i="55"/>
  <c r="Y338" i="55"/>
  <c r="Y330" i="55"/>
  <c r="Y322" i="55"/>
  <c r="Y313" i="55"/>
  <c r="Y305" i="55"/>
  <c r="Y297" i="55"/>
  <c r="Y289" i="55"/>
  <c r="Y281" i="55"/>
  <c r="Y273" i="55"/>
  <c r="Y265" i="55"/>
  <c r="Y257" i="55"/>
  <c r="Y249" i="55"/>
  <c r="Y241" i="55"/>
  <c r="Y233" i="55"/>
  <c r="Y225" i="55"/>
  <c r="Y217" i="55"/>
  <c r="Y209" i="55"/>
  <c r="Y201" i="55"/>
  <c r="Y193" i="55"/>
  <c r="Y185" i="55"/>
  <c r="Y177" i="55"/>
  <c r="Y166" i="55"/>
  <c r="Y158" i="55"/>
  <c r="Y148" i="55"/>
  <c r="Y140" i="55"/>
  <c r="Y132" i="55"/>
  <c r="Y125" i="55"/>
  <c r="Y117" i="55"/>
  <c r="Y109" i="55"/>
  <c r="Y101" i="55"/>
  <c r="Y93" i="55"/>
  <c r="Y85" i="55"/>
  <c r="Y77" i="55"/>
  <c r="Y69" i="55"/>
  <c r="Y61" i="55"/>
  <c r="Y53" i="55"/>
  <c r="Y45" i="55"/>
  <c r="Y37" i="55"/>
  <c r="Y29" i="55"/>
  <c r="Y21" i="55"/>
  <c r="N167" i="55"/>
  <c r="F167" i="56" s="1"/>
  <c r="N318" i="55"/>
  <c r="F318" i="56" s="1"/>
  <c r="Y567" i="55"/>
  <c r="Y511" i="55"/>
  <c r="Y455" i="55"/>
  <c r="Y407" i="55"/>
  <c r="Y348" i="55"/>
  <c r="Y291" i="55"/>
  <c r="Y235" i="55"/>
  <c r="Y179" i="55"/>
  <c r="Y127" i="55"/>
  <c r="Y87" i="55"/>
  <c r="Y55" i="55"/>
  <c r="Y23" i="55"/>
  <c r="N343" i="55"/>
  <c r="F343" i="56" s="1"/>
  <c r="N335" i="55"/>
  <c r="F335" i="56" s="1"/>
  <c r="N327" i="55"/>
  <c r="F327" i="56" s="1"/>
  <c r="N319" i="55"/>
  <c r="F319" i="56" s="1"/>
  <c r="N310" i="55"/>
  <c r="F310" i="56" s="1"/>
  <c r="N302" i="55"/>
  <c r="F302" i="56" s="1"/>
  <c r="N294" i="55"/>
  <c r="F294" i="56" s="1"/>
  <c r="N286" i="55"/>
  <c r="F286" i="56" s="1"/>
  <c r="N278" i="55"/>
  <c r="C279" i="56"/>
  <c r="N270" i="55"/>
  <c r="C271" i="56"/>
  <c r="N262" i="55"/>
  <c r="C263" i="56"/>
  <c r="N254" i="55"/>
  <c r="C255" i="56"/>
  <c r="N246" i="55"/>
  <c r="C247" i="56"/>
  <c r="N238" i="55"/>
  <c r="C239" i="56"/>
  <c r="N230" i="55"/>
  <c r="C231" i="56"/>
  <c r="N222" i="55"/>
  <c r="C223" i="56"/>
  <c r="N214" i="55"/>
  <c r="C215" i="56"/>
  <c r="N206" i="55"/>
  <c r="F206" i="56" s="1"/>
  <c r="N198" i="55"/>
  <c r="F198" i="56" s="1"/>
  <c r="N190" i="55"/>
  <c r="F190" i="56" s="1"/>
  <c r="N182" i="55"/>
  <c r="F182" i="56" s="1"/>
  <c r="N174" i="55"/>
  <c r="F174" i="56" s="1"/>
  <c r="N163" i="55"/>
  <c r="F163" i="56" s="1"/>
  <c r="N155" i="55"/>
  <c r="F155" i="56" s="1"/>
  <c r="N145" i="55"/>
  <c r="F145" i="56" s="1"/>
  <c r="N137" i="55"/>
  <c r="F137" i="56" s="1"/>
  <c r="N130" i="55"/>
  <c r="F130" i="56" s="1"/>
  <c r="N122" i="55"/>
  <c r="F122" i="56" s="1"/>
  <c r="N114" i="55"/>
  <c r="F114" i="56" s="1"/>
  <c r="N106" i="55"/>
  <c r="F106" i="56" s="1"/>
  <c r="N98" i="55"/>
  <c r="F98" i="56" s="1"/>
  <c r="N90" i="55"/>
  <c r="F90" i="56" s="1"/>
  <c r="N82" i="55"/>
  <c r="F82" i="56" s="1"/>
  <c r="N74" i="55"/>
  <c r="F74" i="56" s="1"/>
  <c r="N66" i="55"/>
  <c r="F66" i="56" s="1"/>
  <c r="N58" i="55"/>
  <c r="F58" i="56" s="1"/>
  <c r="N50" i="55"/>
  <c r="F50" i="56" s="1"/>
  <c r="N42" i="55"/>
  <c r="F42" i="56" s="1"/>
  <c r="N34" i="55"/>
  <c r="F34" i="56" s="1"/>
  <c r="N26" i="55"/>
  <c r="F26" i="56" s="1"/>
  <c r="N18" i="55"/>
  <c r="F18" i="56" s="1"/>
  <c r="Y604" i="55"/>
  <c r="Y596" i="55"/>
  <c r="Y588" i="55"/>
  <c r="Y580" i="55"/>
  <c r="Y572" i="55"/>
  <c r="Y564" i="55"/>
  <c r="Y556" i="55"/>
  <c r="Y548" i="55"/>
  <c r="Y540" i="55"/>
  <c r="Y532" i="55"/>
  <c r="Y524" i="55"/>
  <c r="Y516" i="55"/>
  <c r="Y508" i="55"/>
  <c r="Y500" i="55"/>
  <c r="Y492" i="55"/>
  <c r="Y484" i="55"/>
  <c r="Y476" i="55"/>
  <c r="Y468" i="55"/>
  <c r="Y460" i="55"/>
  <c r="Y452" i="55"/>
  <c r="Y444" i="55"/>
  <c r="Y436" i="55"/>
  <c r="Y428" i="55"/>
  <c r="Y420" i="55"/>
  <c r="Y412" i="55"/>
  <c r="Y404" i="55"/>
  <c r="Y396" i="55"/>
  <c r="Y388" i="55"/>
  <c r="Y378" i="55"/>
  <c r="Y370" i="55"/>
  <c r="Y362" i="55"/>
  <c r="Y354" i="55"/>
  <c r="Y345" i="55"/>
  <c r="Y337" i="55"/>
  <c r="Y329" i="55"/>
  <c r="Y321" i="55"/>
  <c r="Y312" i="55"/>
  <c r="Y304" i="55"/>
  <c r="Y296" i="55"/>
  <c r="Y288" i="55"/>
  <c r="Y280" i="55"/>
  <c r="Y272" i="55"/>
  <c r="Y264" i="55"/>
  <c r="Y256" i="55"/>
  <c r="Y248" i="55"/>
  <c r="Y240" i="55"/>
  <c r="Y232" i="55"/>
  <c r="Y224" i="55"/>
  <c r="Y216" i="55"/>
  <c r="Y208" i="55"/>
  <c r="Y200" i="55"/>
  <c r="Y192" i="55"/>
  <c r="Y184" i="55"/>
  <c r="Y176" i="55"/>
  <c r="Y165" i="55"/>
  <c r="Y157" i="55"/>
  <c r="Y147" i="55"/>
  <c r="Y139" i="55"/>
  <c r="Y124" i="55"/>
  <c r="Y116" i="55"/>
  <c r="Y108" i="55"/>
  <c r="Y100" i="55"/>
  <c r="Y92" i="55"/>
  <c r="Y84" i="55"/>
  <c r="Y76" i="55"/>
  <c r="Y68" i="55"/>
  <c r="Y60" i="55"/>
  <c r="Y52" i="55"/>
  <c r="Y44" i="55"/>
  <c r="Y36" i="55"/>
  <c r="Y28" i="55"/>
  <c r="Y20" i="55"/>
  <c r="N169" i="55"/>
  <c r="F169" i="56" s="1"/>
  <c r="P15" i="55"/>
  <c r="Y551" i="55"/>
  <c r="Y495" i="55"/>
  <c r="Y439" i="55"/>
  <c r="Y381" i="55"/>
  <c r="Y324" i="55"/>
  <c r="Y251" i="55"/>
  <c r="Y195" i="55"/>
  <c r="Y103" i="55"/>
  <c r="N383" i="55"/>
  <c r="F383" i="56" s="1"/>
  <c r="N375" i="55"/>
  <c r="F375" i="56" s="1"/>
  <c r="N367" i="55"/>
  <c r="F367" i="56" s="1"/>
  <c r="N359" i="55"/>
  <c r="F359" i="56" s="1"/>
  <c r="N351" i="55"/>
  <c r="F351" i="56" s="1"/>
  <c r="Y603" i="55"/>
  <c r="Y595" i="55"/>
  <c r="Y587" i="55"/>
  <c r="Y579" i="55"/>
  <c r="Y571" i="55"/>
  <c r="Y563" i="55"/>
  <c r="Y555" i="55"/>
  <c r="Y547" i="55"/>
  <c r="Y539" i="55"/>
  <c r="Y531" i="55"/>
  <c r="Y523" i="55"/>
  <c r="Y515" i="55"/>
  <c r="Y507" i="55"/>
  <c r="Y499" i="55"/>
  <c r="Y491" i="55"/>
  <c r="Y483" i="55"/>
  <c r="Y475" i="55"/>
  <c r="Y467" i="55"/>
  <c r="Y459" i="55"/>
  <c r="Y451" i="55"/>
  <c r="Y443" i="55"/>
  <c r="Y435" i="55"/>
  <c r="Y427" i="55"/>
  <c r="Y419" i="55"/>
  <c r="Y411" i="55"/>
  <c r="Y403" i="55"/>
  <c r="Y395" i="55"/>
  <c r="Y387" i="55"/>
  <c r="Y377" i="55"/>
  <c r="Y369" i="55"/>
  <c r="Y361" i="55"/>
  <c r="Y353" i="55"/>
  <c r="Y344" i="55"/>
  <c r="Y336" i="55"/>
  <c r="Y328" i="55"/>
  <c r="Y320" i="55"/>
  <c r="Y311" i="55"/>
  <c r="Y303" i="55"/>
  <c r="Y295" i="55"/>
  <c r="Y287" i="55"/>
  <c r="Y279" i="55"/>
  <c r="Y271" i="55"/>
  <c r="Y263" i="55"/>
  <c r="Y255" i="55"/>
  <c r="Y247" i="55"/>
  <c r="Y239" i="55"/>
  <c r="Y231" i="55"/>
  <c r="Y223" i="55"/>
  <c r="Y215" i="55"/>
  <c r="Y207" i="55"/>
  <c r="Y199" i="55"/>
  <c r="Y191" i="55"/>
  <c r="Y183" i="55"/>
  <c r="Y175" i="55"/>
  <c r="Y164" i="55"/>
  <c r="Y156" i="55"/>
  <c r="Y146" i="55"/>
  <c r="Y138" i="55"/>
  <c r="Y131" i="55"/>
  <c r="Y123" i="55"/>
  <c r="Y115" i="55"/>
  <c r="Y107" i="55"/>
  <c r="Y99" i="55"/>
  <c r="Y91" i="55"/>
  <c r="Y83" i="55"/>
  <c r="Y75" i="55"/>
  <c r="Y67" i="55"/>
  <c r="Y59" i="55"/>
  <c r="Y51" i="55"/>
  <c r="Y43" i="55"/>
  <c r="Y35" i="55"/>
  <c r="Y27" i="55"/>
  <c r="Y19" i="55"/>
  <c r="Y151" i="55"/>
  <c r="N371" i="55"/>
  <c r="F371" i="56" s="1"/>
  <c r="Y583" i="55"/>
  <c r="Y527" i="55"/>
  <c r="Y479" i="55"/>
  <c r="Y415" i="55"/>
  <c r="Y357" i="55"/>
  <c r="Y315" i="55"/>
  <c r="Y283" i="55"/>
  <c r="Y227" i="55"/>
  <c r="Y187" i="55"/>
  <c r="Y142" i="55"/>
  <c r="Y95" i="55"/>
  <c r="Y63" i="55"/>
  <c r="Y47" i="55"/>
  <c r="Y31" i="55"/>
  <c r="Y15" i="55"/>
  <c r="Y14" i="55"/>
  <c r="Y602" i="55"/>
  <c r="Y594" i="55"/>
  <c r="Y586" i="55"/>
  <c r="Y578" i="55"/>
  <c r="Y570" i="55"/>
  <c r="Y562" i="55"/>
  <c r="Y554" i="55"/>
  <c r="Y546" i="55"/>
  <c r="Y538" i="55"/>
  <c r="Y530" i="55"/>
  <c r="Y522" i="55"/>
  <c r="Y514" i="55"/>
  <c r="Y506" i="55"/>
  <c r="Y498" i="55"/>
  <c r="Y490" i="55"/>
  <c r="Y482" i="55"/>
  <c r="Y474" i="55"/>
  <c r="Y466" i="55"/>
  <c r="Y458" i="55"/>
  <c r="Y450" i="55"/>
  <c r="Y442" i="55"/>
  <c r="Y434" i="55"/>
  <c r="Y426" i="55"/>
  <c r="Y418" i="55"/>
  <c r="Y410" i="55"/>
  <c r="Y402" i="55"/>
  <c r="Y394" i="55"/>
  <c r="Y386" i="55"/>
  <c r="Y376" i="55"/>
  <c r="Y368" i="55"/>
  <c r="Y360" i="55"/>
  <c r="Y352" i="55"/>
  <c r="Y343" i="55"/>
  <c r="Y335" i="55"/>
  <c r="Y327" i="55"/>
  <c r="Y319" i="55"/>
  <c r="Y310" i="55"/>
  <c r="Y302" i="55"/>
  <c r="Y294" i="55"/>
  <c r="Y286" i="55"/>
  <c r="Y278" i="55"/>
  <c r="Y270" i="55"/>
  <c r="Y262" i="55"/>
  <c r="Y254" i="55"/>
  <c r="Y246" i="55"/>
  <c r="Y238" i="55"/>
  <c r="Y230" i="55"/>
  <c r="Y222" i="55"/>
  <c r="Y214" i="55"/>
  <c r="Y206" i="55"/>
  <c r="Y198" i="55"/>
  <c r="Y190" i="55"/>
  <c r="Y182" i="55"/>
  <c r="Y174" i="55"/>
  <c r="Y163" i="55"/>
  <c r="Y155" i="55"/>
  <c r="Y145" i="55"/>
  <c r="Y137" i="55"/>
  <c r="Y130" i="55"/>
  <c r="Y122" i="55"/>
  <c r="Y114" i="55"/>
  <c r="Y106" i="55"/>
  <c r="Y98" i="55"/>
  <c r="Y90" i="55"/>
  <c r="Y82" i="55"/>
  <c r="Y74" i="55"/>
  <c r="Y66" i="55"/>
  <c r="Y58" i="55"/>
  <c r="Y50" i="55"/>
  <c r="Y42" i="55"/>
  <c r="Y34" i="55"/>
  <c r="Y26" i="55"/>
  <c r="Y18" i="55"/>
  <c r="Y168" i="55"/>
  <c r="B132" i="56"/>
  <c r="W349" i="55"/>
  <c r="C385" i="56"/>
  <c r="E142" i="55"/>
  <c r="E134" i="55"/>
  <c r="E127" i="55"/>
  <c r="E119" i="55"/>
  <c r="E111" i="55"/>
  <c r="E103" i="55"/>
  <c r="E95" i="55"/>
  <c r="E87" i="55"/>
  <c r="E79" i="55"/>
  <c r="E71" i="55"/>
  <c r="E63" i="55"/>
  <c r="E55" i="55"/>
  <c r="E47" i="55"/>
  <c r="E39" i="55"/>
  <c r="E31" i="55"/>
  <c r="E23" i="55"/>
  <c r="E15" i="55"/>
  <c r="E143" i="55"/>
  <c r="E135" i="55"/>
  <c r="E128" i="55"/>
  <c r="E120" i="55"/>
  <c r="E112" i="55"/>
  <c r="E104" i="55"/>
  <c r="E96" i="55"/>
  <c r="E88" i="55"/>
  <c r="E80" i="55"/>
  <c r="E72" i="55"/>
  <c r="E64" i="55"/>
  <c r="E56" i="55"/>
  <c r="E48" i="55"/>
  <c r="E40" i="55"/>
  <c r="E32" i="55"/>
  <c r="E24" i="55"/>
  <c r="E16" i="55"/>
  <c r="E605" i="55"/>
  <c r="E597" i="55"/>
  <c r="E589" i="55"/>
  <c r="E581" i="55"/>
  <c r="E604" i="55"/>
  <c r="E596" i="55"/>
  <c r="E588" i="55"/>
  <c r="E580" i="55"/>
  <c r="W384" i="55"/>
  <c r="W385" i="55"/>
  <c r="C384" i="56"/>
  <c r="E606" i="55"/>
  <c r="E598" i="55"/>
  <c r="E590" i="55"/>
  <c r="E582" i="55"/>
  <c r="E574" i="55"/>
  <c r="E566" i="55"/>
  <c r="E558" i="55"/>
  <c r="E550" i="55"/>
  <c r="E542" i="55"/>
  <c r="E534" i="55"/>
  <c r="E526" i="55"/>
  <c r="E518" i="55"/>
  <c r="E510" i="55"/>
  <c r="E502" i="55"/>
  <c r="E494" i="55"/>
  <c r="E486" i="55"/>
  <c r="E478" i="55"/>
  <c r="E470" i="55"/>
  <c r="E462" i="55"/>
  <c r="E454" i="55"/>
  <c r="E446" i="55"/>
  <c r="E438" i="55"/>
  <c r="E430" i="55"/>
  <c r="E422" i="55"/>
  <c r="E414" i="55"/>
  <c r="E406" i="55"/>
  <c r="E398" i="55"/>
  <c r="E390" i="55"/>
  <c r="E144" i="55"/>
  <c r="E136" i="55"/>
  <c r="E129" i="55"/>
  <c r="E121" i="55"/>
  <c r="E113" i="55"/>
  <c r="E105" i="55"/>
  <c r="E97" i="55"/>
  <c r="E89" i="55"/>
  <c r="E81" i="55"/>
  <c r="E73" i="55"/>
  <c r="E65" i="55"/>
  <c r="E57" i="55"/>
  <c r="E49" i="55"/>
  <c r="E41" i="55"/>
  <c r="E33" i="55"/>
  <c r="E25" i="55"/>
  <c r="E17" i="55"/>
  <c r="E573" i="55"/>
  <c r="E572" i="55"/>
  <c r="E564" i="55"/>
  <c r="E556" i="55"/>
  <c r="E548" i="55"/>
  <c r="E540" i="55"/>
  <c r="E532" i="55"/>
  <c r="E524" i="55"/>
  <c r="E516" i="55"/>
  <c r="E508" i="55"/>
  <c r="E500" i="55"/>
  <c r="E492" i="55"/>
  <c r="E484" i="55"/>
  <c r="E476" i="55"/>
  <c r="E468" i="55"/>
  <c r="E460" i="55"/>
  <c r="E452" i="55"/>
  <c r="E444" i="55"/>
  <c r="E436" i="55"/>
  <c r="E428" i="55"/>
  <c r="E420" i="55"/>
  <c r="E412" i="55"/>
  <c r="E404" i="55"/>
  <c r="E396" i="55"/>
  <c r="E388" i="55"/>
  <c r="E380" i="55"/>
  <c r="E372" i="55"/>
  <c r="E565" i="55"/>
  <c r="E557" i="55"/>
  <c r="E549" i="55"/>
  <c r="E541" i="55"/>
  <c r="E533" i="55"/>
  <c r="E525" i="55"/>
  <c r="E517" i="55"/>
  <c r="E509" i="55"/>
  <c r="E501" i="55"/>
  <c r="E493" i="55"/>
  <c r="E485" i="55"/>
  <c r="E477" i="55"/>
  <c r="E469" i="55"/>
  <c r="E461" i="55"/>
  <c r="E453" i="55"/>
  <c r="E445" i="55"/>
  <c r="E437" i="55"/>
  <c r="E429" i="55"/>
  <c r="E421" i="55"/>
  <c r="E413" i="55"/>
  <c r="E405" i="55"/>
  <c r="E397" i="55"/>
  <c r="E389" i="55"/>
  <c r="E381" i="55"/>
  <c r="E373" i="55"/>
  <c r="E365" i="55"/>
  <c r="E357" i="55"/>
  <c r="E341" i="55"/>
  <c r="E333" i="55"/>
  <c r="E325" i="55"/>
  <c r="E382" i="55"/>
  <c r="E374" i="55"/>
  <c r="E364" i="55"/>
  <c r="E356" i="55"/>
  <c r="E348" i="55"/>
  <c r="E340" i="55"/>
  <c r="E332" i="55"/>
  <c r="E324" i="55"/>
  <c r="E366" i="55"/>
  <c r="E358" i="55"/>
  <c r="E350" i="55"/>
  <c r="E342" i="55"/>
  <c r="E334" i="55"/>
  <c r="E326" i="55"/>
  <c r="E317" i="55"/>
  <c r="E309" i="55"/>
  <c r="E301" i="55"/>
  <c r="E293" i="55"/>
  <c r="E285" i="55"/>
  <c r="E277" i="55"/>
  <c r="E269" i="55"/>
  <c r="E261" i="55"/>
  <c r="E253" i="55"/>
  <c r="E245" i="55"/>
  <c r="E237" i="55"/>
  <c r="E229" i="55"/>
  <c r="E221" i="55"/>
  <c r="E213" i="55"/>
  <c r="E205" i="55"/>
  <c r="E197" i="55"/>
  <c r="E189" i="55"/>
  <c r="E181" i="55"/>
  <c r="E173" i="55"/>
  <c r="E162" i="55"/>
  <c r="E154" i="55"/>
  <c r="E318" i="55"/>
  <c r="E315" i="55"/>
  <c r="E307" i="55"/>
  <c r="E299" i="55"/>
  <c r="E291" i="55"/>
  <c r="E283" i="55"/>
  <c r="E275" i="55"/>
  <c r="E267" i="55"/>
  <c r="E259" i="55"/>
  <c r="E251" i="55"/>
  <c r="E243" i="55"/>
  <c r="E235" i="55"/>
  <c r="E227" i="55"/>
  <c r="E219" i="55"/>
  <c r="E211" i="55"/>
  <c r="E203" i="55"/>
  <c r="E195" i="55"/>
  <c r="E187" i="55"/>
  <c r="E179" i="55"/>
  <c r="E171" i="55"/>
  <c r="E316" i="55"/>
  <c r="E308" i="55"/>
  <c r="E300" i="55"/>
  <c r="E292" i="55"/>
  <c r="E284" i="55"/>
  <c r="E276" i="55"/>
  <c r="E268" i="55"/>
  <c r="E260" i="55"/>
  <c r="E252" i="55"/>
  <c r="E244" i="55"/>
  <c r="E236" i="55"/>
  <c r="E228" i="55"/>
  <c r="E220" i="55"/>
  <c r="E212" i="55"/>
  <c r="E204" i="55"/>
  <c r="E196" i="55"/>
  <c r="E188" i="55"/>
  <c r="E180" i="55"/>
  <c r="E172" i="55"/>
  <c r="E161" i="55"/>
  <c r="E150" i="55"/>
  <c r="E153" i="55"/>
  <c r="E160" i="55"/>
  <c r="E151" i="55"/>
  <c r="E168" i="55"/>
  <c r="E169" i="55"/>
  <c r="E167" i="55"/>
  <c r="E602" i="55"/>
  <c r="E594" i="55"/>
  <c r="E586" i="55"/>
  <c r="E578" i="55"/>
  <c r="E570" i="55"/>
  <c r="E562" i="55"/>
  <c r="E554" i="55"/>
  <c r="E546" i="55"/>
  <c r="E538" i="55"/>
  <c r="E530" i="55"/>
  <c r="E522" i="55"/>
  <c r="E514" i="55"/>
  <c r="E506" i="55"/>
  <c r="E498" i="55"/>
  <c r="E490" i="55"/>
  <c r="E482" i="55"/>
  <c r="E474" i="55"/>
  <c r="E466" i="55"/>
  <c r="E458" i="55"/>
  <c r="E450" i="55"/>
  <c r="E442" i="55"/>
  <c r="E434" i="55"/>
  <c r="E426" i="55"/>
  <c r="E418" i="55"/>
  <c r="E410" i="55"/>
  <c r="E402" i="55"/>
  <c r="E394" i="55"/>
  <c r="E386" i="55"/>
  <c r="E378" i="55"/>
  <c r="E370" i="55"/>
  <c r="E362" i="55"/>
  <c r="E354" i="55"/>
  <c r="E346" i="55"/>
  <c r="E338" i="55"/>
  <c r="E330" i="55"/>
  <c r="E322" i="55"/>
  <c r="E313" i="55"/>
  <c r="E305" i="55"/>
  <c r="E297" i="55"/>
  <c r="E289" i="55"/>
  <c r="E281" i="55"/>
  <c r="E273" i="55"/>
  <c r="E265" i="55"/>
  <c r="E257" i="55"/>
  <c r="E249" i="55"/>
  <c r="E241" i="55"/>
  <c r="E233" i="55"/>
  <c r="E225" i="55"/>
  <c r="E217" i="55"/>
  <c r="E209" i="55"/>
  <c r="E201" i="55"/>
  <c r="E193" i="55"/>
  <c r="E185" i="55"/>
  <c r="E177" i="55"/>
  <c r="E166" i="55"/>
  <c r="E158" i="55"/>
  <c r="E148" i="55"/>
  <c r="E140" i="55"/>
  <c r="E132" i="55"/>
  <c r="E125" i="55"/>
  <c r="E117" i="55"/>
  <c r="E109" i="55"/>
  <c r="E101" i="55"/>
  <c r="E93" i="55"/>
  <c r="E85" i="55"/>
  <c r="E77" i="55"/>
  <c r="E69" i="55"/>
  <c r="E61" i="55"/>
  <c r="E53" i="55"/>
  <c r="E45" i="55"/>
  <c r="E37" i="55"/>
  <c r="E29" i="55"/>
  <c r="E21" i="55"/>
  <c r="E601" i="55"/>
  <c r="E593" i="55"/>
  <c r="E585" i="55"/>
  <c r="E577" i="55"/>
  <c r="E569" i="55"/>
  <c r="E561" i="55"/>
  <c r="E553" i="55"/>
  <c r="E545" i="55"/>
  <c r="E537" i="55"/>
  <c r="E529" i="55"/>
  <c r="E521" i="55"/>
  <c r="E513" i="55"/>
  <c r="E505" i="55"/>
  <c r="E497" i="55"/>
  <c r="E489" i="55"/>
  <c r="E481" i="55"/>
  <c r="E473" i="55"/>
  <c r="E465" i="55"/>
  <c r="E457" i="55"/>
  <c r="E449" i="55"/>
  <c r="E441" i="55"/>
  <c r="E433" i="55"/>
  <c r="E425" i="55"/>
  <c r="E417" i="55"/>
  <c r="E409" i="55"/>
  <c r="E401" i="55"/>
  <c r="E393" i="55"/>
  <c r="E377" i="55"/>
  <c r="E369" i="55"/>
  <c r="E361" i="55"/>
  <c r="E353" i="55"/>
  <c r="E345" i="55"/>
  <c r="E337" i="55"/>
  <c r="E329" i="55"/>
  <c r="E321" i="55"/>
  <c r="E312" i="55"/>
  <c r="E304" i="55"/>
  <c r="E296" i="55"/>
  <c r="E288" i="55"/>
  <c r="E280" i="55"/>
  <c r="E272" i="55"/>
  <c r="E264" i="55"/>
  <c r="E256" i="55"/>
  <c r="E248" i="55"/>
  <c r="E240" i="55"/>
  <c r="E232" i="55"/>
  <c r="E224" i="55"/>
  <c r="E216" i="55"/>
  <c r="E208" i="55"/>
  <c r="E200" i="55"/>
  <c r="E192" i="55"/>
  <c r="E184" i="55"/>
  <c r="E176" i="55"/>
  <c r="E165" i="55"/>
  <c r="E157" i="55"/>
  <c r="E147" i="55"/>
  <c r="E139" i="55"/>
  <c r="E124" i="55"/>
  <c r="E116" i="55"/>
  <c r="E108" i="55"/>
  <c r="E100" i="55"/>
  <c r="E92" i="55"/>
  <c r="E84" i="55"/>
  <c r="E76" i="55"/>
  <c r="E68" i="55"/>
  <c r="E60" i="55"/>
  <c r="E52" i="55"/>
  <c r="E44" i="55"/>
  <c r="E36" i="55"/>
  <c r="E28" i="55"/>
  <c r="E20" i="55"/>
  <c r="E600" i="55"/>
  <c r="E592" i="55"/>
  <c r="E584" i="55"/>
  <c r="E576" i="55"/>
  <c r="E568" i="55"/>
  <c r="E560" i="55"/>
  <c r="E552" i="55"/>
  <c r="E544" i="55"/>
  <c r="E536" i="55"/>
  <c r="E528" i="55"/>
  <c r="E520" i="55"/>
  <c r="E512" i="55"/>
  <c r="E504" i="55"/>
  <c r="E496" i="55"/>
  <c r="E488" i="55"/>
  <c r="E480" i="55"/>
  <c r="E472" i="55"/>
  <c r="E464" i="55"/>
  <c r="E456" i="55"/>
  <c r="E448" i="55"/>
  <c r="E440" i="55"/>
  <c r="E432" i="55"/>
  <c r="E424" i="55"/>
  <c r="E416" i="55"/>
  <c r="E408" i="55"/>
  <c r="E400" i="55"/>
  <c r="E392" i="55"/>
  <c r="E376" i="55"/>
  <c r="E368" i="55"/>
  <c r="E360" i="55"/>
  <c r="E352" i="55"/>
  <c r="E344" i="55"/>
  <c r="E336" i="55"/>
  <c r="E328" i="55"/>
  <c r="E320" i="55"/>
  <c r="E311" i="55"/>
  <c r="E303" i="55"/>
  <c r="E295" i="55"/>
  <c r="E287" i="55"/>
  <c r="E279" i="55"/>
  <c r="E271" i="55"/>
  <c r="E263" i="55"/>
  <c r="E255" i="55"/>
  <c r="E247" i="55"/>
  <c r="E239" i="55"/>
  <c r="E231" i="55"/>
  <c r="E223" i="55"/>
  <c r="E215" i="55"/>
  <c r="E207" i="55"/>
  <c r="E199" i="55"/>
  <c r="E191" i="55"/>
  <c r="E183" i="55"/>
  <c r="E175" i="55"/>
  <c r="E164" i="55"/>
  <c r="E156" i="55"/>
  <c r="E146" i="55"/>
  <c r="E138" i="55"/>
  <c r="E131" i="55"/>
  <c r="E123" i="55"/>
  <c r="E115" i="55"/>
  <c r="E107" i="55"/>
  <c r="E99" i="55"/>
  <c r="E91" i="55"/>
  <c r="E83" i="55"/>
  <c r="E75" i="55"/>
  <c r="E67" i="55"/>
  <c r="E59" i="55"/>
  <c r="E51" i="55"/>
  <c r="E43" i="55"/>
  <c r="E35" i="55"/>
  <c r="E27" i="55"/>
  <c r="E19" i="55"/>
  <c r="E14" i="55"/>
  <c r="N602" i="55"/>
  <c r="F602" i="56" s="1"/>
  <c r="N594" i="55"/>
  <c r="F594" i="56" s="1"/>
  <c r="N586" i="55"/>
  <c r="F586" i="56" s="1"/>
  <c r="N578" i="55"/>
  <c r="F578" i="56" s="1"/>
  <c r="N570" i="55"/>
  <c r="F570" i="56" s="1"/>
  <c r="N562" i="55"/>
  <c r="F562" i="56" s="1"/>
  <c r="N554" i="55"/>
  <c r="F554" i="56" s="1"/>
  <c r="N546" i="55"/>
  <c r="F546" i="56" s="1"/>
  <c r="N538" i="55"/>
  <c r="F538" i="56" s="1"/>
  <c r="N530" i="55"/>
  <c r="F530" i="56" s="1"/>
  <c r="N522" i="55"/>
  <c r="F522" i="56" s="1"/>
  <c r="N514" i="55"/>
  <c r="F514" i="56" s="1"/>
  <c r="N506" i="55"/>
  <c r="F506" i="56" s="1"/>
  <c r="N498" i="55"/>
  <c r="F498" i="56" s="1"/>
  <c r="N490" i="55"/>
  <c r="F490" i="56" s="1"/>
  <c r="N482" i="55"/>
  <c r="F482" i="56" s="1"/>
  <c r="N474" i="55"/>
  <c r="F474" i="56" s="1"/>
  <c r="N466" i="55"/>
  <c r="F466" i="56" s="1"/>
  <c r="N458" i="55"/>
  <c r="F458" i="56" s="1"/>
  <c r="N450" i="55"/>
  <c r="F450" i="56" s="1"/>
  <c r="N442" i="55"/>
  <c r="F442" i="56" s="1"/>
  <c r="N434" i="55"/>
  <c r="F434" i="56" s="1"/>
  <c r="N426" i="55"/>
  <c r="F426" i="56" s="1"/>
  <c r="N418" i="55"/>
  <c r="F418" i="56" s="1"/>
  <c r="N410" i="55"/>
  <c r="F410" i="56" s="1"/>
  <c r="N402" i="55"/>
  <c r="F402" i="56" s="1"/>
  <c r="N394" i="55"/>
  <c r="F394" i="56" s="1"/>
  <c r="N386" i="55"/>
  <c r="F386" i="56" s="1"/>
  <c r="N378" i="55"/>
  <c r="F378" i="56" s="1"/>
  <c r="N370" i="55"/>
  <c r="F370" i="56" s="1"/>
  <c r="N362" i="55"/>
  <c r="F362" i="56" s="1"/>
  <c r="N354" i="55"/>
  <c r="F354" i="56" s="1"/>
  <c r="N346" i="55"/>
  <c r="F346" i="56" s="1"/>
  <c r="N338" i="55"/>
  <c r="F338" i="56" s="1"/>
  <c r="N330" i="55"/>
  <c r="F330" i="56" s="1"/>
  <c r="N322" i="55"/>
  <c r="F322" i="56" s="1"/>
  <c r="N313" i="55"/>
  <c r="F313" i="56" s="1"/>
  <c r="N305" i="55"/>
  <c r="F305" i="56" s="1"/>
  <c r="N297" i="55"/>
  <c r="F297" i="56" s="1"/>
  <c r="N289" i="55"/>
  <c r="F289" i="56" s="1"/>
  <c r="N281" i="55"/>
  <c r="N273" i="55"/>
  <c r="N265" i="55"/>
  <c r="N257" i="55"/>
  <c r="N249" i="55"/>
  <c r="N241" i="55"/>
  <c r="N233" i="55"/>
  <c r="N225" i="55"/>
  <c r="N217" i="55"/>
  <c r="N209" i="55"/>
  <c r="F209" i="56" s="1"/>
  <c r="N201" i="55"/>
  <c r="F201" i="56" s="1"/>
  <c r="N193" i="55"/>
  <c r="F193" i="56" s="1"/>
  <c r="N185" i="55"/>
  <c r="F185" i="56" s="1"/>
  <c r="N177" i="55"/>
  <c r="F177" i="56" s="1"/>
  <c r="N166" i="55"/>
  <c r="F166" i="56" s="1"/>
  <c r="N158" i="55"/>
  <c r="F158" i="56" s="1"/>
  <c r="N148" i="55"/>
  <c r="F148" i="56" s="1"/>
  <c r="N140" i="55"/>
  <c r="F140" i="56" s="1"/>
  <c r="N132" i="55"/>
  <c r="F132" i="56" s="1"/>
  <c r="N125" i="55"/>
  <c r="F125" i="56" s="1"/>
  <c r="N117" i="55"/>
  <c r="F117" i="56" s="1"/>
  <c r="N109" i="55"/>
  <c r="F109" i="56" s="1"/>
  <c r="N101" i="55"/>
  <c r="F101" i="56" s="1"/>
  <c r="N93" i="55"/>
  <c r="F93" i="56" s="1"/>
  <c r="N85" i="55"/>
  <c r="F85" i="56" s="1"/>
  <c r="N77" i="55"/>
  <c r="F77" i="56" s="1"/>
  <c r="N69" i="55"/>
  <c r="F69" i="56" s="1"/>
  <c r="N61" i="55"/>
  <c r="F61" i="56" s="1"/>
  <c r="N53" i="55"/>
  <c r="F53" i="56" s="1"/>
  <c r="N45" i="55"/>
  <c r="F45" i="56" s="1"/>
  <c r="N37" i="55"/>
  <c r="F37" i="56" s="1"/>
  <c r="N29" i="55"/>
  <c r="F29" i="56" s="1"/>
  <c r="N21" i="55"/>
  <c r="F21" i="56" s="1"/>
  <c r="N601" i="55"/>
  <c r="F601" i="56" s="1"/>
  <c r="N593" i="55"/>
  <c r="F593" i="56" s="1"/>
  <c r="N585" i="55"/>
  <c r="F585" i="56" s="1"/>
  <c r="N577" i="55"/>
  <c r="F577" i="56" s="1"/>
  <c r="N569" i="55"/>
  <c r="F569" i="56" s="1"/>
  <c r="N561" i="55"/>
  <c r="F561" i="56" s="1"/>
  <c r="N553" i="55"/>
  <c r="F553" i="56" s="1"/>
  <c r="N545" i="55"/>
  <c r="F545" i="56" s="1"/>
  <c r="N537" i="55"/>
  <c r="F537" i="56" s="1"/>
  <c r="N529" i="55"/>
  <c r="F529" i="56" s="1"/>
  <c r="N521" i="55"/>
  <c r="F521" i="56" s="1"/>
  <c r="N513" i="55"/>
  <c r="F513" i="56" s="1"/>
  <c r="N505" i="55"/>
  <c r="F505" i="56" s="1"/>
  <c r="N497" i="55"/>
  <c r="F497" i="56" s="1"/>
  <c r="N489" i="55"/>
  <c r="F489" i="56" s="1"/>
  <c r="N481" i="55"/>
  <c r="F481" i="56" s="1"/>
  <c r="N473" i="55"/>
  <c r="F473" i="56" s="1"/>
  <c r="N465" i="55"/>
  <c r="F465" i="56" s="1"/>
  <c r="N457" i="55"/>
  <c r="F457" i="56" s="1"/>
  <c r="N449" i="55"/>
  <c r="F449" i="56" s="1"/>
  <c r="N441" i="55"/>
  <c r="F441" i="56" s="1"/>
  <c r="N433" i="55"/>
  <c r="F433" i="56" s="1"/>
  <c r="N425" i="55"/>
  <c r="F425" i="56" s="1"/>
  <c r="N417" i="55"/>
  <c r="F417" i="56" s="1"/>
  <c r="N409" i="55"/>
  <c r="F409" i="56" s="1"/>
  <c r="N401" i="55"/>
  <c r="F401" i="56" s="1"/>
  <c r="N393" i="55"/>
  <c r="F393" i="56" s="1"/>
  <c r="N385" i="55"/>
  <c r="F385" i="56" s="1"/>
  <c r="N377" i="55"/>
  <c r="F377" i="56" s="1"/>
  <c r="N369" i="55"/>
  <c r="F369" i="56" s="1"/>
  <c r="N361" i="55"/>
  <c r="F361" i="56" s="1"/>
  <c r="N353" i="55"/>
  <c r="F353" i="56" s="1"/>
  <c r="N345" i="55"/>
  <c r="F345" i="56" s="1"/>
  <c r="N337" i="55"/>
  <c r="F337" i="56" s="1"/>
  <c r="N329" i="55"/>
  <c r="F329" i="56" s="1"/>
  <c r="N321" i="55"/>
  <c r="F321" i="56" s="1"/>
  <c r="N312" i="55"/>
  <c r="F312" i="56" s="1"/>
  <c r="N304" i="55"/>
  <c r="F304" i="56" s="1"/>
  <c r="N296" i="55"/>
  <c r="F296" i="56" s="1"/>
  <c r="N288" i="55"/>
  <c r="F288" i="56" s="1"/>
  <c r="N280" i="55"/>
  <c r="N272" i="55"/>
  <c r="N264" i="55"/>
  <c r="N256" i="55"/>
  <c r="N248" i="55"/>
  <c r="N240" i="55"/>
  <c r="N232" i="55"/>
  <c r="N224" i="55"/>
  <c r="N216" i="55"/>
  <c r="N208" i="55"/>
  <c r="F208" i="56" s="1"/>
  <c r="N200" i="55"/>
  <c r="F200" i="56" s="1"/>
  <c r="N192" i="55"/>
  <c r="F192" i="56" s="1"/>
  <c r="N184" i="55"/>
  <c r="F184" i="56" s="1"/>
  <c r="N176" i="55"/>
  <c r="F176" i="56" s="1"/>
  <c r="N165" i="55"/>
  <c r="F165" i="56" s="1"/>
  <c r="N157" i="55"/>
  <c r="F157" i="56" s="1"/>
  <c r="N147" i="55"/>
  <c r="F147" i="56" s="1"/>
  <c r="N139" i="55"/>
  <c r="F139" i="56" s="1"/>
  <c r="N124" i="55"/>
  <c r="F124" i="56" s="1"/>
  <c r="N116" i="55"/>
  <c r="F116" i="56" s="1"/>
  <c r="N108" i="55"/>
  <c r="F108" i="56" s="1"/>
  <c r="N100" i="55"/>
  <c r="F100" i="56" s="1"/>
  <c r="N92" i="55"/>
  <c r="F92" i="56" s="1"/>
  <c r="N84" i="55"/>
  <c r="F84" i="56" s="1"/>
  <c r="N76" i="55"/>
  <c r="F76" i="56" s="1"/>
  <c r="N68" i="55"/>
  <c r="F68" i="56" s="1"/>
  <c r="N60" i="55"/>
  <c r="F60" i="56" s="1"/>
  <c r="N52" i="55"/>
  <c r="F52" i="56" s="1"/>
  <c r="N44" i="55"/>
  <c r="F44" i="56" s="1"/>
  <c r="N36" i="55"/>
  <c r="F36" i="56" s="1"/>
  <c r="N28" i="55"/>
  <c r="F28" i="56" s="1"/>
  <c r="N20" i="55"/>
  <c r="F20" i="56" s="1"/>
  <c r="N14" i="55"/>
  <c r="F14" i="56" s="1"/>
  <c r="N600" i="55"/>
  <c r="F600" i="56" s="1"/>
  <c r="N592" i="55"/>
  <c r="F592" i="56" s="1"/>
  <c r="N584" i="55"/>
  <c r="F584" i="56" s="1"/>
  <c r="N576" i="55"/>
  <c r="F576" i="56" s="1"/>
  <c r="N568" i="55"/>
  <c r="F568" i="56" s="1"/>
  <c r="N560" i="55"/>
  <c r="F560" i="56" s="1"/>
  <c r="N552" i="55"/>
  <c r="F552" i="56" s="1"/>
  <c r="N544" i="55"/>
  <c r="F544" i="56" s="1"/>
  <c r="N536" i="55"/>
  <c r="F536" i="56" s="1"/>
  <c r="N528" i="55"/>
  <c r="F528" i="56" s="1"/>
  <c r="N520" i="55"/>
  <c r="F520" i="56" s="1"/>
  <c r="N512" i="55"/>
  <c r="F512" i="56" s="1"/>
  <c r="N504" i="55"/>
  <c r="F504" i="56" s="1"/>
  <c r="N496" i="55"/>
  <c r="F496" i="56" s="1"/>
  <c r="N488" i="55"/>
  <c r="F488" i="56" s="1"/>
  <c r="N480" i="55"/>
  <c r="F480" i="56" s="1"/>
  <c r="N472" i="55"/>
  <c r="F472" i="56" s="1"/>
  <c r="N464" i="55"/>
  <c r="F464" i="56" s="1"/>
  <c r="N456" i="55"/>
  <c r="F456" i="56" s="1"/>
  <c r="N448" i="55"/>
  <c r="F448" i="56" s="1"/>
  <c r="N440" i="55"/>
  <c r="F440" i="56" s="1"/>
  <c r="N432" i="55"/>
  <c r="F432" i="56" s="1"/>
  <c r="N424" i="55"/>
  <c r="F424" i="56" s="1"/>
  <c r="N416" i="55"/>
  <c r="F416" i="56" s="1"/>
  <c r="N408" i="55"/>
  <c r="F408" i="56" s="1"/>
  <c r="N400" i="55"/>
  <c r="F400" i="56" s="1"/>
  <c r="N392" i="55"/>
  <c r="F392" i="56" s="1"/>
  <c r="N376" i="55"/>
  <c r="F376" i="56" s="1"/>
  <c r="N368" i="55"/>
  <c r="F368" i="56" s="1"/>
  <c r="N360" i="55"/>
  <c r="F360" i="56" s="1"/>
  <c r="N352" i="55"/>
  <c r="F352" i="56" s="1"/>
  <c r="N344" i="55"/>
  <c r="F344" i="56" s="1"/>
  <c r="N336" i="55"/>
  <c r="F336" i="56" s="1"/>
  <c r="N328" i="55"/>
  <c r="F328" i="56" s="1"/>
  <c r="N320" i="55"/>
  <c r="F320" i="56" s="1"/>
  <c r="N311" i="55"/>
  <c r="F311" i="56" s="1"/>
  <c r="N303" i="55"/>
  <c r="F303" i="56" s="1"/>
  <c r="N295" i="55"/>
  <c r="F295" i="56" s="1"/>
  <c r="N287" i="55"/>
  <c r="F287" i="56" s="1"/>
  <c r="N279" i="55"/>
  <c r="F280" i="56" s="1"/>
  <c r="N271" i="55"/>
  <c r="F272" i="56" s="1"/>
  <c r="N263" i="55"/>
  <c r="F264" i="56" s="1"/>
  <c r="N255" i="55"/>
  <c r="F256" i="56" s="1"/>
  <c r="N247" i="55"/>
  <c r="F248" i="56" s="1"/>
  <c r="N239" i="55"/>
  <c r="F240" i="56" s="1"/>
  <c r="N231" i="55"/>
  <c r="F232" i="56" s="1"/>
  <c r="N223" i="55"/>
  <c r="F224" i="56" s="1"/>
  <c r="N215" i="55"/>
  <c r="F216" i="56" s="1"/>
  <c r="N207" i="55"/>
  <c r="F207" i="56" s="1"/>
  <c r="N199" i="55"/>
  <c r="F199" i="56" s="1"/>
  <c r="N191" i="55"/>
  <c r="F191" i="56" s="1"/>
  <c r="N183" i="55"/>
  <c r="F183" i="56" s="1"/>
  <c r="N175" i="55"/>
  <c r="F175" i="56" s="1"/>
  <c r="N164" i="55"/>
  <c r="F164" i="56" s="1"/>
  <c r="N156" i="55"/>
  <c r="F156" i="56" s="1"/>
  <c r="N146" i="55"/>
  <c r="F146" i="56" s="1"/>
  <c r="N138" i="55"/>
  <c r="F138" i="56" s="1"/>
  <c r="N131" i="55"/>
  <c r="F131" i="56" s="1"/>
  <c r="N123" i="55"/>
  <c r="F123" i="56" s="1"/>
  <c r="N115" i="55"/>
  <c r="F115" i="56" s="1"/>
  <c r="N107" i="55"/>
  <c r="F107" i="56" s="1"/>
  <c r="N99" i="55"/>
  <c r="F99" i="56" s="1"/>
  <c r="N91" i="55"/>
  <c r="F91" i="56" s="1"/>
  <c r="N83" i="55"/>
  <c r="F83" i="56" s="1"/>
  <c r="N75" i="55"/>
  <c r="F75" i="56" s="1"/>
  <c r="N67" i="55"/>
  <c r="N59" i="55"/>
  <c r="F59" i="56" s="1"/>
  <c r="N51" i="55"/>
  <c r="F51" i="56" s="1"/>
  <c r="N43" i="55"/>
  <c r="F43" i="56" s="1"/>
  <c r="N35" i="55"/>
  <c r="F35" i="56" s="1"/>
  <c r="N27" i="55"/>
  <c r="F27" i="56" s="1"/>
  <c r="N19" i="55"/>
  <c r="F19" i="56" s="1"/>
  <c r="N606" i="55"/>
  <c r="F606" i="56" s="1"/>
  <c r="N598" i="55"/>
  <c r="F598" i="56" s="1"/>
  <c r="N590" i="55"/>
  <c r="F590" i="56" s="1"/>
  <c r="N582" i="55"/>
  <c r="F582" i="56" s="1"/>
  <c r="N574" i="55"/>
  <c r="F574" i="56" s="1"/>
  <c r="N566" i="55"/>
  <c r="F566" i="56" s="1"/>
  <c r="N558" i="55"/>
  <c r="F558" i="56" s="1"/>
  <c r="N550" i="55"/>
  <c r="F550" i="56" s="1"/>
  <c r="N542" i="55"/>
  <c r="F542" i="56" s="1"/>
  <c r="N534" i="55"/>
  <c r="F534" i="56" s="1"/>
  <c r="N526" i="55"/>
  <c r="F526" i="56" s="1"/>
  <c r="N518" i="55"/>
  <c r="F518" i="56" s="1"/>
  <c r="N510" i="55"/>
  <c r="F510" i="56" s="1"/>
  <c r="N502" i="55"/>
  <c r="F502" i="56" s="1"/>
  <c r="N494" i="55"/>
  <c r="F494" i="56" s="1"/>
  <c r="N486" i="55"/>
  <c r="F486" i="56" s="1"/>
  <c r="N478" i="55"/>
  <c r="F478" i="56" s="1"/>
  <c r="N470" i="55"/>
  <c r="F470" i="56" s="1"/>
  <c r="N462" i="55"/>
  <c r="F462" i="56" s="1"/>
  <c r="N454" i="55"/>
  <c r="F454" i="56" s="1"/>
  <c r="N446" i="55"/>
  <c r="F446" i="56" s="1"/>
  <c r="N438" i="55"/>
  <c r="F438" i="56" s="1"/>
  <c r="N430" i="55"/>
  <c r="F430" i="56" s="1"/>
  <c r="N422" i="55"/>
  <c r="F422" i="56" s="1"/>
  <c r="N414" i="55"/>
  <c r="F414" i="56" s="1"/>
  <c r="N406" i="55"/>
  <c r="F406" i="56" s="1"/>
  <c r="N398" i="55"/>
  <c r="F398" i="56" s="1"/>
  <c r="N390" i="55"/>
  <c r="F390" i="56" s="1"/>
  <c r="N382" i="55"/>
  <c r="F382" i="56" s="1"/>
  <c r="N374" i="55"/>
  <c r="F374" i="56" s="1"/>
  <c r="N366" i="55"/>
  <c r="F366" i="56" s="1"/>
  <c r="N358" i="55"/>
  <c r="F358" i="56" s="1"/>
  <c r="N350" i="55"/>
  <c r="F350" i="56" s="1"/>
  <c r="N342" i="55"/>
  <c r="F342" i="56" s="1"/>
  <c r="N334" i="55"/>
  <c r="F334" i="56" s="1"/>
  <c r="N326" i="55"/>
  <c r="F326" i="56" s="1"/>
  <c r="N317" i="55"/>
  <c r="F317" i="56" s="1"/>
  <c r="N309" i="55"/>
  <c r="F309" i="56" s="1"/>
  <c r="N301" i="55"/>
  <c r="F301" i="56" s="1"/>
  <c r="N293" i="55"/>
  <c r="F293" i="56" s="1"/>
  <c r="N285" i="55"/>
  <c r="F285" i="56" s="1"/>
  <c r="N277" i="55"/>
  <c r="N269" i="55"/>
  <c r="N261" i="55"/>
  <c r="N253" i="55"/>
  <c r="N245" i="55"/>
  <c r="N237" i="55"/>
  <c r="N229" i="55"/>
  <c r="N221" i="55"/>
  <c r="N213" i="55"/>
  <c r="F213" i="56" s="1"/>
  <c r="N205" i="55"/>
  <c r="F205" i="56" s="1"/>
  <c r="N197" i="55"/>
  <c r="F197" i="56" s="1"/>
  <c r="N189" i="55"/>
  <c r="F189" i="56" s="1"/>
  <c r="N181" i="55"/>
  <c r="F181" i="56" s="1"/>
  <c r="N173" i="55"/>
  <c r="F173" i="56" s="1"/>
  <c r="N162" i="55"/>
  <c r="F162" i="56" s="1"/>
  <c r="N154" i="55"/>
  <c r="F154" i="56" s="1"/>
  <c r="N144" i="55"/>
  <c r="F144" i="56" s="1"/>
  <c r="N136" i="55"/>
  <c r="F136" i="56" s="1"/>
  <c r="N129" i="55"/>
  <c r="F129" i="56" s="1"/>
  <c r="N121" i="55"/>
  <c r="F121" i="56" s="1"/>
  <c r="N113" i="55"/>
  <c r="F113" i="56" s="1"/>
  <c r="N105" i="55"/>
  <c r="F105" i="56" s="1"/>
  <c r="N97" i="55"/>
  <c r="F97" i="56" s="1"/>
  <c r="N89" i="55"/>
  <c r="F89" i="56" s="1"/>
  <c r="N81" i="55"/>
  <c r="F81" i="56" s="1"/>
  <c r="N73" i="55"/>
  <c r="F73" i="56" s="1"/>
  <c r="N65" i="55"/>
  <c r="F65" i="56" s="1"/>
  <c r="N57" i="55"/>
  <c r="F57" i="56" s="1"/>
  <c r="N49" i="55"/>
  <c r="F49" i="56" s="1"/>
  <c r="N41" i="55"/>
  <c r="F41" i="56" s="1"/>
  <c r="N33" i="55"/>
  <c r="F33" i="56" s="1"/>
  <c r="N25" i="55"/>
  <c r="F25" i="56" s="1"/>
  <c r="N17" i="55"/>
  <c r="F17" i="56" s="1"/>
  <c r="N605" i="55"/>
  <c r="F605" i="56" s="1"/>
  <c r="N597" i="55"/>
  <c r="F597" i="56" s="1"/>
  <c r="N589" i="55"/>
  <c r="F589" i="56" s="1"/>
  <c r="N581" i="55"/>
  <c r="F581" i="56" s="1"/>
  <c r="N573" i="55"/>
  <c r="F573" i="56" s="1"/>
  <c r="N565" i="55"/>
  <c r="F565" i="56" s="1"/>
  <c r="N557" i="55"/>
  <c r="F557" i="56" s="1"/>
  <c r="N549" i="55"/>
  <c r="F549" i="56" s="1"/>
  <c r="N541" i="55"/>
  <c r="F541" i="56" s="1"/>
  <c r="N533" i="55"/>
  <c r="F533" i="56" s="1"/>
  <c r="N525" i="55"/>
  <c r="F525" i="56" s="1"/>
  <c r="N517" i="55"/>
  <c r="F517" i="56" s="1"/>
  <c r="N509" i="55"/>
  <c r="F509" i="56" s="1"/>
  <c r="N501" i="55"/>
  <c r="F501" i="56" s="1"/>
  <c r="N493" i="55"/>
  <c r="F493" i="56" s="1"/>
  <c r="N485" i="55"/>
  <c r="F485" i="56" s="1"/>
  <c r="N477" i="55"/>
  <c r="F477" i="56" s="1"/>
  <c r="N469" i="55"/>
  <c r="F469" i="56" s="1"/>
  <c r="N461" i="55"/>
  <c r="F461" i="56" s="1"/>
  <c r="N453" i="55"/>
  <c r="F453" i="56" s="1"/>
  <c r="N445" i="55"/>
  <c r="F445" i="56" s="1"/>
  <c r="N437" i="55"/>
  <c r="F437" i="56" s="1"/>
  <c r="N429" i="55"/>
  <c r="F429" i="56" s="1"/>
  <c r="N421" i="55"/>
  <c r="F421" i="56" s="1"/>
  <c r="N413" i="55"/>
  <c r="F413" i="56" s="1"/>
  <c r="N405" i="55"/>
  <c r="F405" i="56" s="1"/>
  <c r="N397" i="55"/>
  <c r="F397" i="56" s="1"/>
  <c r="N389" i="55"/>
  <c r="F389" i="56" s="1"/>
  <c r="N381" i="55"/>
  <c r="F381" i="56" s="1"/>
  <c r="N373" i="55"/>
  <c r="F373" i="56" s="1"/>
  <c r="N365" i="55"/>
  <c r="F365" i="56" s="1"/>
  <c r="N357" i="55"/>
  <c r="F357" i="56" s="1"/>
  <c r="N349" i="55"/>
  <c r="F349" i="56" s="1"/>
  <c r="N341" i="55"/>
  <c r="F341" i="56" s="1"/>
  <c r="N333" i="55"/>
  <c r="F333" i="56" s="1"/>
  <c r="N325" i="55"/>
  <c r="F325" i="56" s="1"/>
  <c r="N316" i="55"/>
  <c r="F316" i="56" s="1"/>
  <c r="N308" i="55"/>
  <c r="F308" i="56" s="1"/>
  <c r="N300" i="55"/>
  <c r="F300" i="56" s="1"/>
  <c r="N292" i="55"/>
  <c r="F292" i="56" s="1"/>
  <c r="N284" i="55"/>
  <c r="F284" i="56" s="1"/>
  <c r="N276" i="55"/>
  <c r="N268" i="55"/>
  <c r="N260" i="55"/>
  <c r="N252" i="55"/>
  <c r="N244" i="55"/>
  <c r="N236" i="55"/>
  <c r="N228" i="55"/>
  <c r="N220" i="55"/>
  <c r="N212" i="55"/>
  <c r="F212" i="56" s="1"/>
  <c r="N204" i="55"/>
  <c r="F204" i="56" s="1"/>
  <c r="N196" i="55"/>
  <c r="F196" i="56" s="1"/>
  <c r="N188" i="55"/>
  <c r="F188" i="56" s="1"/>
  <c r="N180" i="55"/>
  <c r="F180" i="56" s="1"/>
  <c r="N172" i="55"/>
  <c r="F172" i="56" s="1"/>
  <c r="N161" i="55"/>
  <c r="F161" i="56" s="1"/>
  <c r="N153" i="55"/>
  <c r="F153" i="56" s="1"/>
  <c r="N143" i="55"/>
  <c r="F143" i="56" s="1"/>
  <c r="N135" i="55"/>
  <c r="F135" i="56" s="1"/>
  <c r="N128" i="55"/>
  <c r="F128" i="56" s="1"/>
  <c r="N120" i="55"/>
  <c r="F120" i="56" s="1"/>
  <c r="N112" i="55"/>
  <c r="F112" i="56" s="1"/>
  <c r="N104" i="55"/>
  <c r="F104" i="56" s="1"/>
  <c r="N96" i="55"/>
  <c r="F96" i="56" s="1"/>
  <c r="N88" i="55"/>
  <c r="F88" i="56" s="1"/>
  <c r="N80" i="55"/>
  <c r="F80" i="56" s="1"/>
  <c r="N72" i="55"/>
  <c r="F72" i="56" s="1"/>
  <c r="N64" i="55"/>
  <c r="F64" i="56" s="1"/>
  <c r="N56" i="55"/>
  <c r="F56" i="56" s="1"/>
  <c r="N48" i="55"/>
  <c r="F48" i="56" s="1"/>
  <c r="N40" i="55"/>
  <c r="F40" i="56" s="1"/>
  <c r="N32" i="55"/>
  <c r="F32" i="56" s="1"/>
  <c r="N24" i="55"/>
  <c r="F24" i="56" s="1"/>
  <c r="N16" i="55"/>
  <c r="F16" i="56" s="1"/>
  <c r="N604" i="55"/>
  <c r="F604" i="56" s="1"/>
  <c r="N596" i="55"/>
  <c r="F596" i="56" s="1"/>
  <c r="N588" i="55"/>
  <c r="F588" i="56" s="1"/>
  <c r="N580" i="55"/>
  <c r="F580" i="56" s="1"/>
  <c r="N572" i="55"/>
  <c r="F572" i="56" s="1"/>
  <c r="N564" i="55"/>
  <c r="F564" i="56" s="1"/>
  <c r="N556" i="55"/>
  <c r="F556" i="56" s="1"/>
  <c r="N548" i="55"/>
  <c r="F548" i="56" s="1"/>
  <c r="N540" i="55"/>
  <c r="F540" i="56" s="1"/>
  <c r="N532" i="55"/>
  <c r="F532" i="56" s="1"/>
  <c r="N524" i="55"/>
  <c r="F524" i="56" s="1"/>
  <c r="N516" i="55"/>
  <c r="F516" i="56" s="1"/>
  <c r="N508" i="55"/>
  <c r="F508" i="56" s="1"/>
  <c r="N500" i="55"/>
  <c r="F500" i="56" s="1"/>
  <c r="N492" i="55"/>
  <c r="F492" i="56" s="1"/>
  <c r="N484" i="55"/>
  <c r="F484" i="56" s="1"/>
  <c r="N476" i="55"/>
  <c r="F476" i="56" s="1"/>
  <c r="N468" i="55"/>
  <c r="F468" i="56" s="1"/>
  <c r="N460" i="55"/>
  <c r="F460" i="56" s="1"/>
  <c r="N452" i="55"/>
  <c r="F452" i="56" s="1"/>
  <c r="N444" i="55"/>
  <c r="F444" i="56" s="1"/>
  <c r="N436" i="55"/>
  <c r="F436" i="56" s="1"/>
  <c r="N428" i="55"/>
  <c r="F428" i="56" s="1"/>
  <c r="N420" i="55"/>
  <c r="F420" i="56" s="1"/>
  <c r="N412" i="55"/>
  <c r="F412" i="56" s="1"/>
  <c r="N404" i="55"/>
  <c r="F404" i="56" s="1"/>
  <c r="N396" i="55"/>
  <c r="F396" i="56" s="1"/>
  <c r="N388" i="55"/>
  <c r="F388" i="56" s="1"/>
  <c r="N380" i="55"/>
  <c r="F380" i="56" s="1"/>
  <c r="N372" i="55"/>
  <c r="F372" i="56" s="1"/>
  <c r="N364" i="55"/>
  <c r="F364" i="56" s="1"/>
  <c r="N356" i="55"/>
  <c r="F356" i="56" s="1"/>
  <c r="N348" i="55"/>
  <c r="F348" i="56" s="1"/>
  <c r="N340" i="55"/>
  <c r="F340" i="56" s="1"/>
  <c r="N332" i="55"/>
  <c r="F332" i="56" s="1"/>
  <c r="N324" i="55"/>
  <c r="F324" i="56" s="1"/>
  <c r="N315" i="55"/>
  <c r="F315" i="56" s="1"/>
  <c r="N307" i="55"/>
  <c r="F307" i="56" s="1"/>
  <c r="N299" i="55"/>
  <c r="F299" i="56" s="1"/>
  <c r="N291" i="55"/>
  <c r="F291" i="56" s="1"/>
  <c r="N283" i="55"/>
  <c r="F283" i="56" s="1"/>
  <c r="N275" i="55"/>
  <c r="N267" i="55"/>
  <c r="N259" i="55"/>
  <c r="N251" i="55"/>
  <c r="N243" i="55"/>
  <c r="N235" i="55"/>
  <c r="N227" i="55"/>
  <c r="N219" i="55"/>
  <c r="N211" i="55"/>
  <c r="F211" i="56" s="1"/>
  <c r="N203" i="55"/>
  <c r="F203" i="56" s="1"/>
  <c r="N195" i="55"/>
  <c r="F195" i="56" s="1"/>
  <c r="N187" i="55"/>
  <c r="F187" i="56" s="1"/>
  <c r="N179" i="55"/>
  <c r="F179" i="56" s="1"/>
  <c r="N171" i="55"/>
  <c r="F171" i="56" s="1"/>
  <c r="N160" i="55"/>
  <c r="F160" i="56" s="1"/>
  <c r="N150" i="55"/>
  <c r="F150" i="56" s="1"/>
  <c r="N142" i="55"/>
  <c r="F142" i="56" s="1"/>
  <c r="N134" i="55"/>
  <c r="F134" i="56" s="1"/>
  <c r="N127" i="55"/>
  <c r="F127" i="56" s="1"/>
  <c r="N119" i="55"/>
  <c r="F119" i="56" s="1"/>
  <c r="N111" i="55"/>
  <c r="F111" i="56" s="1"/>
  <c r="N103" i="55"/>
  <c r="F103" i="56" s="1"/>
  <c r="N95" i="55"/>
  <c r="F95" i="56" s="1"/>
  <c r="N87" i="55"/>
  <c r="F87" i="56" s="1"/>
  <c r="N79" i="55"/>
  <c r="F79" i="56" s="1"/>
  <c r="N71" i="55"/>
  <c r="F71" i="56" s="1"/>
  <c r="N63" i="55"/>
  <c r="F63" i="56" s="1"/>
  <c r="N55" i="55"/>
  <c r="F55" i="56" s="1"/>
  <c r="N47" i="55"/>
  <c r="F47" i="56" s="1"/>
  <c r="N39" i="55"/>
  <c r="F39" i="56" s="1"/>
  <c r="N31" i="55"/>
  <c r="F31" i="56" s="1"/>
  <c r="N23" i="55"/>
  <c r="F23" i="56" s="1"/>
  <c r="N15" i="55"/>
  <c r="F15" i="56" s="1"/>
  <c r="E603" i="55"/>
  <c r="E595" i="55"/>
  <c r="E587" i="55"/>
  <c r="E579" i="55"/>
  <c r="E571" i="55"/>
  <c r="E563" i="55"/>
  <c r="E555" i="55"/>
  <c r="E547" i="55"/>
  <c r="E539" i="55"/>
  <c r="E531" i="55"/>
  <c r="E523" i="55"/>
  <c r="E515" i="55"/>
  <c r="E507" i="55"/>
  <c r="E499" i="55"/>
  <c r="E491" i="55"/>
  <c r="E483" i="55"/>
  <c r="E475" i="55"/>
  <c r="E467" i="55"/>
  <c r="E459" i="55"/>
  <c r="E451" i="55"/>
  <c r="E443" i="55"/>
  <c r="E435" i="55"/>
  <c r="E427" i="55"/>
  <c r="E419" i="55"/>
  <c r="E411" i="55"/>
  <c r="E403" i="55"/>
  <c r="E395" i="55"/>
  <c r="E387" i="55"/>
  <c r="E379" i="55"/>
  <c r="E371" i="55"/>
  <c r="E363" i="55"/>
  <c r="E355" i="55"/>
  <c r="E347" i="55"/>
  <c r="E339" i="55"/>
  <c r="E331" i="55"/>
  <c r="E323" i="55"/>
  <c r="E314" i="55"/>
  <c r="E306" i="55"/>
  <c r="E298" i="55"/>
  <c r="E290" i="55"/>
  <c r="E282" i="55"/>
  <c r="E274" i="55"/>
  <c r="E266" i="55"/>
  <c r="E258" i="55"/>
  <c r="E250" i="55"/>
  <c r="E242" i="55"/>
  <c r="E234" i="55"/>
  <c r="E226" i="55"/>
  <c r="E218" i="55"/>
  <c r="E210" i="55"/>
  <c r="E202" i="55"/>
  <c r="E194" i="55"/>
  <c r="E186" i="55"/>
  <c r="E178" i="55"/>
  <c r="E170" i="55"/>
  <c r="E159" i="55"/>
  <c r="E149" i="55"/>
  <c r="E141" i="55"/>
  <c r="E133" i="55"/>
  <c r="E126" i="55"/>
  <c r="E118" i="55"/>
  <c r="E110" i="55"/>
  <c r="E102" i="55"/>
  <c r="E94" i="55"/>
  <c r="E86" i="55"/>
  <c r="E78" i="55"/>
  <c r="E70" i="55"/>
  <c r="E62" i="55"/>
  <c r="E54" i="55"/>
  <c r="E46" i="55"/>
  <c r="E38" i="55"/>
  <c r="E30" i="55"/>
  <c r="E22" i="55"/>
  <c r="E607" i="55"/>
  <c r="E599" i="55"/>
  <c r="E591" i="55"/>
  <c r="E583" i="55"/>
  <c r="E575" i="55"/>
  <c r="E567" i="55"/>
  <c r="E559" i="55"/>
  <c r="E551" i="55"/>
  <c r="E543" i="55"/>
  <c r="E535" i="55"/>
  <c r="E527" i="55"/>
  <c r="E519" i="55"/>
  <c r="E511" i="55"/>
  <c r="E503" i="55"/>
  <c r="E495" i="55"/>
  <c r="E487" i="55"/>
  <c r="E479" i="55"/>
  <c r="E471" i="55"/>
  <c r="E463" i="55"/>
  <c r="E455" i="55"/>
  <c r="E447" i="55"/>
  <c r="E439" i="55"/>
  <c r="E431" i="55"/>
  <c r="E423" i="55"/>
  <c r="E415" i="55"/>
  <c r="E407" i="55"/>
  <c r="E399" i="55"/>
  <c r="E391" i="55"/>
  <c r="E383" i="55"/>
  <c r="E375" i="55"/>
  <c r="E367" i="55"/>
  <c r="E359" i="55"/>
  <c r="E351" i="55"/>
  <c r="E343" i="55"/>
  <c r="E335" i="55"/>
  <c r="E327" i="55"/>
  <c r="E319" i="55"/>
  <c r="E310" i="55"/>
  <c r="E302" i="55"/>
  <c r="E294" i="55"/>
  <c r="E286" i="55"/>
  <c r="E278" i="55"/>
  <c r="E270" i="55"/>
  <c r="E262" i="55"/>
  <c r="E254" i="55"/>
  <c r="E246" i="55"/>
  <c r="E238" i="55"/>
  <c r="E230" i="55"/>
  <c r="E222" i="55"/>
  <c r="E214" i="55"/>
  <c r="E206" i="55"/>
  <c r="E198" i="55"/>
  <c r="E190" i="55"/>
  <c r="E182" i="55"/>
  <c r="E174" i="55"/>
  <c r="E163" i="55"/>
  <c r="E155" i="55"/>
  <c r="E145" i="55"/>
  <c r="E137" i="55"/>
  <c r="E130" i="55"/>
  <c r="E122" i="55"/>
  <c r="E114" i="55"/>
  <c r="E106" i="55"/>
  <c r="E98" i="55"/>
  <c r="E90" i="55"/>
  <c r="E82" i="55"/>
  <c r="E74" i="55"/>
  <c r="E66" i="55"/>
  <c r="E58" i="55"/>
  <c r="E50" i="55"/>
  <c r="E42" i="55"/>
  <c r="E34" i="55"/>
  <c r="E26" i="55"/>
  <c r="E18" i="55"/>
  <c r="E82" i="6"/>
  <c r="B624" i="23"/>
  <c r="B390" i="56" l="1"/>
  <c r="C608" i="56"/>
  <c r="B446" i="56"/>
  <c r="B274" i="56"/>
  <c r="B266" i="56"/>
  <c r="B273" i="56"/>
  <c r="B241" i="56"/>
  <c r="B189" i="56"/>
  <c r="B599" i="56"/>
  <c r="B590" i="56"/>
  <c r="B334" i="56"/>
  <c r="B454" i="56"/>
  <c r="B265" i="56"/>
  <c r="B566" i="56"/>
  <c r="F246" i="56"/>
  <c r="B157" i="56"/>
  <c r="B233" i="56"/>
  <c r="F244" i="56"/>
  <c r="F229" i="56"/>
  <c r="F278" i="56"/>
  <c r="B147" i="56"/>
  <c r="F266" i="56"/>
  <c r="B470" i="56"/>
  <c r="F238" i="56"/>
  <c r="B462" i="56"/>
  <c r="B582" i="56"/>
  <c r="B518" i="56"/>
  <c r="B326" i="56"/>
  <c r="B519" i="56"/>
  <c r="B139" i="56"/>
  <c r="X608" i="55"/>
  <c r="N152" i="55"/>
  <c r="F152" i="56" s="1"/>
  <c r="B319" i="56"/>
  <c r="B471" i="56"/>
  <c r="B511" i="56"/>
  <c r="B166" i="56"/>
  <c r="B598" i="56"/>
  <c r="B213" i="56"/>
  <c r="B398" i="56"/>
  <c r="B205" i="56"/>
  <c r="B148" i="56"/>
  <c r="B527" i="56"/>
  <c r="A152" i="56"/>
  <c r="A153" i="56" s="1"/>
  <c r="A154" i="56" s="1"/>
  <c r="A155" i="56" s="1"/>
  <c r="A156" i="56" s="1"/>
  <c r="A157" i="56" s="1"/>
  <c r="A158" i="56" s="1"/>
  <c r="A159" i="56" s="1"/>
  <c r="A160" i="56" s="1"/>
  <c r="A161" i="56" s="1"/>
  <c r="A162" i="56" s="1"/>
  <c r="A163" i="56" s="1"/>
  <c r="A164" i="56" s="1"/>
  <c r="A165" i="56" s="1"/>
  <c r="A166" i="56" s="1"/>
  <c r="A167" i="56" s="1"/>
  <c r="A168" i="56" s="1"/>
  <c r="A169" i="56" s="1"/>
  <c r="A170" i="56" s="1"/>
  <c r="A171" i="56" s="1"/>
  <c r="A172" i="56" s="1"/>
  <c r="A173" i="56" s="1"/>
  <c r="A174" i="56" s="1"/>
  <c r="A175" i="56" s="1"/>
  <c r="A176" i="56" s="1"/>
  <c r="A177" i="56" s="1"/>
  <c r="A178" i="56" s="1"/>
  <c r="A179" i="56" s="1"/>
  <c r="A180" i="56" s="1"/>
  <c r="A181" i="56" s="1"/>
  <c r="A182" i="56" s="1"/>
  <c r="A183" i="56" s="1"/>
  <c r="A184" i="56" s="1"/>
  <c r="A185" i="56" s="1"/>
  <c r="A186" i="56" s="1"/>
  <c r="A187" i="56" s="1"/>
  <c r="A188" i="56" s="1"/>
  <c r="A189" i="56" s="1"/>
  <c r="A190" i="56" s="1"/>
  <c r="A191" i="56" s="1"/>
  <c r="A192" i="56" s="1"/>
  <c r="A193" i="56" s="1"/>
  <c r="A194" i="56" s="1"/>
  <c r="A195" i="56" s="1"/>
  <c r="A196" i="56" s="1"/>
  <c r="A197" i="56" s="1"/>
  <c r="A198" i="56" s="1"/>
  <c r="A199" i="56" s="1"/>
  <c r="A200" i="56" s="1"/>
  <c r="A201" i="56" s="1"/>
  <c r="A202" i="56" s="1"/>
  <c r="A203" i="56" s="1"/>
  <c r="A204" i="56" s="1"/>
  <c r="A205" i="56" s="1"/>
  <c r="A206" i="56" s="1"/>
  <c r="A207" i="56" s="1"/>
  <c r="A208" i="56" s="1"/>
  <c r="A209" i="56" s="1"/>
  <c r="A210" i="56" s="1"/>
  <c r="A211" i="56" s="1"/>
  <c r="A212" i="56" s="1"/>
  <c r="A213" i="56" s="1"/>
  <c r="A214" i="56" s="1"/>
  <c r="A215" i="56" s="1"/>
  <c r="A216" i="56" s="1"/>
  <c r="A217" i="56" s="1"/>
  <c r="A218" i="56" s="1"/>
  <c r="A219" i="56" s="1"/>
  <c r="A220" i="56" s="1"/>
  <c r="A221" i="56" s="1"/>
  <c r="A222" i="56" s="1"/>
  <c r="A223" i="56" s="1"/>
  <c r="A224" i="56" s="1"/>
  <c r="A225" i="56" s="1"/>
  <c r="A226" i="56" s="1"/>
  <c r="A227" i="56" s="1"/>
  <c r="A228" i="56" s="1"/>
  <c r="A229" i="56" s="1"/>
  <c r="A230" i="56" s="1"/>
  <c r="A231" i="56" s="1"/>
  <c r="A232" i="56" s="1"/>
  <c r="A233" i="56" s="1"/>
  <c r="A234" i="56" s="1"/>
  <c r="A235" i="56" s="1"/>
  <c r="A236" i="56" s="1"/>
  <c r="A237" i="56" s="1"/>
  <c r="A238" i="56" s="1"/>
  <c r="A239" i="56" s="1"/>
  <c r="A240" i="56" s="1"/>
  <c r="A241" i="56" s="1"/>
  <c r="A242" i="56" s="1"/>
  <c r="A243" i="56" s="1"/>
  <c r="A244" i="56" s="1"/>
  <c r="A245" i="56" s="1"/>
  <c r="A246" i="56" s="1"/>
  <c r="A247" i="56" s="1"/>
  <c r="A248" i="56" s="1"/>
  <c r="A249" i="56" s="1"/>
  <c r="A250" i="56" s="1"/>
  <c r="A251" i="56" s="1"/>
  <c r="A252" i="56" s="1"/>
  <c r="A253" i="56" s="1"/>
  <c r="A254" i="56" s="1"/>
  <c r="A255" i="56" s="1"/>
  <c r="A256" i="56" s="1"/>
  <c r="A257" i="56" s="1"/>
  <c r="A258" i="56" s="1"/>
  <c r="A259" i="56" s="1"/>
  <c r="A260" i="56" s="1"/>
  <c r="A261" i="56" s="1"/>
  <c r="A262" i="56" s="1"/>
  <c r="A263" i="56" s="1"/>
  <c r="A264" i="56" s="1"/>
  <c r="A265" i="56" s="1"/>
  <c r="A266" i="56" s="1"/>
  <c r="A267" i="56" s="1"/>
  <c r="A268" i="56" s="1"/>
  <c r="A269" i="56" s="1"/>
  <c r="A270" i="56" s="1"/>
  <c r="A271" i="56" s="1"/>
  <c r="A272" i="56" s="1"/>
  <c r="A273" i="56" s="1"/>
  <c r="A274" i="56" s="1"/>
  <c r="A275" i="56" s="1"/>
  <c r="A276" i="56" s="1"/>
  <c r="A277" i="56" s="1"/>
  <c r="A278" i="56" s="1"/>
  <c r="A279" i="56" s="1"/>
  <c r="A280" i="56" s="1"/>
  <c r="A281" i="56" s="1"/>
  <c r="A282" i="56" s="1"/>
  <c r="A283" i="56" s="1"/>
  <c r="A284" i="56" s="1"/>
  <c r="A285" i="56" s="1"/>
  <c r="A286" i="56" s="1"/>
  <c r="A287" i="56" s="1"/>
  <c r="A288" i="56" s="1"/>
  <c r="A289" i="56" s="1"/>
  <c r="A290" i="56" s="1"/>
  <c r="A291" i="56" s="1"/>
  <c r="A292" i="56" s="1"/>
  <c r="A293" i="56" s="1"/>
  <c r="A294" i="56" s="1"/>
  <c r="A295" i="56" s="1"/>
  <c r="A296" i="56" s="1"/>
  <c r="A297" i="56" s="1"/>
  <c r="A298" i="56" s="1"/>
  <c r="A299" i="56" s="1"/>
  <c r="A300" i="56" s="1"/>
  <c r="A301" i="56" s="1"/>
  <c r="A302" i="56" s="1"/>
  <c r="A303" i="56" s="1"/>
  <c r="A304" i="56" s="1"/>
  <c r="A305" i="56" s="1"/>
  <c r="A306" i="56" s="1"/>
  <c r="A307" i="56" s="1"/>
  <c r="A308" i="56" s="1"/>
  <c r="A309" i="56" s="1"/>
  <c r="A310" i="56" s="1"/>
  <c r="A311" i="56" s="1"/>
  <c r="A312" i="56" s="1"/>
  <c r="A313" i="56" s="1"/>
  <c r="A314" i="56" s="1"/>
  <c r="A315" i="56" s="1"/>
  <c r="A316" i="56" s="1"/>
  <c r="A317" i="56" s="1"/>
  <c r="A318" i="56" s="1"/>
  <c r="A319" i="56" s="1"/>
  <c r="A320" i="56" s="1"/>
  <c r="A321" i="56" s="1"/>
  <c r="A322" i="56" s="1"/>
  <c r="A323" i="56" s="1"/>
  <c r="A324" i="56" s="1"/>
  <c r="A325" i="56" s="1"/>
  <c r="A326" i="56" s="1"/>
  <c r="A327" i="56" s="1"/>
  <c r="A328" i="56" s="1"/>
  <c r="A329" i="56" s="1"/>
  <c r="A330" i="56" s="1"/>
  <c r="A331" i="56" s="1"/>
  <c r="A332" i="56" s="1"/>
  <c r="A333" i="56" s="1"/>
  <c r="A334" i="56" s="1"/>
  <c r="A335" i="56" s="1"/>
  <c r="A336" i="56" s="1"/>
  <c r="A337" i="56" s="1"/>
  <c r="A338" i="56" s="1"/>
  <c r="A339" i="56" s="1"/>
  <c r="A340" i="56" s="1"/>
  <c r="A341" i="56" s="1"/>
  <c r="A342" i="56" s="1"/>
  <c r="A343" i="56" s="1"/>
  <c r="A344" i="56" s="1"/>
  <c r="A345" i="56" s="1"/>
  <c r="A346" i="56" s="1"/>
  <c r="A347" i="56" s="1"/>
  <c r="A348" i="56" s="1"/>
  <c r="A349" i="56" s="1"/>
  <c r="A350" i="56" s="1"/>
  <c r="A351" i="56" s="1"/>
  <c r="A352" i="56" s="1"/>
  <c r="A353" i="56" s="1"/>
  <c r="A354" i="56" s="1"/>
  <c r="A355" i="56" s="1"/>
  <c r="A356" i="56" s="1"/>
  <c r="A357" i="56" s="1"/>
  <c r="A358" i="56" s="1"/>
  <c r="A359" i="56" s="1"/>
  <c r="A360" i="56" s="1"/>
  <c r="A361" i="56" s="1"/>
  <c r="A362" i="56" s="1"/>
  <c r="A363" i="56" s="1"/>
  <c r="A364" i="56" s="1"/>
  <c r="A365" i="56" s="1"/>
  <c r="A366" i="56" s="1"/>
  <c r="A367" i="56" s="1"/>
  <c r="A368" i="56" s="1"/>
  <c r="A369" i="56" s="1"/>
  <c r="A370" i="56" s="1"/>
  <c r="A371" i="56" s="1"/>
  <c r="A372" i="56" s="1"/>
  <c r="A373" i="56" s="1"/>
  <c r="A374" i="56" s="1"/>
  <c r="A375" i="56" s="1"/>
  <c r="A376" i="56" s="1"/>
  <c r="A377" i="56" s="1"/>
  <c r="A378" i="56" s="1"/>
  <c r="A379" i="56" s="1"/>
  <c r="A380" i="56" s="1"/>
  <c r="A381" i="56" s="1"/>
  <c r="A382" i="56" s="1"/>
  <c r="A383" i="56" s="1"/>
  <c r="A384" i="56" s="1"/>
  <c r="A385" i="56" s="1"/>
  <c r="A386" i="56" s="1"/>
  <c r="A387" i="56" s="1"/>
  <c r="A388" i="56" s="1"/>
  <c r="A389" i="56" s="1"/>
  <c r="A390" i="56" s="1"/>
  <c r="A391" i="56" s="1"/>
  <c r="A392" i="56" s="1"/>
  <c r="A393" i="56" s="1"/>
  <c r="A394" i="56" s="1"/>
  <c r="A395" i="56" s="1"/>
  <c r="A396" i="56" s="1"/>
  <c r="A397" i="56" s="1"/>
  <c r="A398" i="56" s="1"/>
  <c r="A399" i="56" s="1"/>
  <c r="A400" i="56" s="1"/>
  <c r="A401" i="56" s="1"/>
  <c r="A402" i="56" s="1"/>
  <c r="A403" i="56" s="1"/>
  <c r="A404" i="56" s="1"/>
  <c r="A405" i="56" s="1"/>
  <c r="A406" i="56" s="1"/>
  <c r="A407" i="56" s="1"/>
  <c r="A408" i="56" s="1"/>
  <c r="A409" i="56" s="1"/>
  <c r="A410" i="56" s="1"/>
  <c r="A411" i="56" s="1"/>
  <c r="A412" i="56" s="1"/>
  <c r="A413" i="56" s="1"/>
  <c r="A414" i="56" s="1"/>
  <c r="A415" i="56" s="1"/>
  <c r="A416" i="56" s="1"/>
  <c r="A417" i="56" s="1"/>
  <c r="A418" i="56" s="1"/>
  <c r="A419" i="56" s="1"/>
  <c r="A420" i="56" s="1"/>
  <c r="A421" i="56" s="1"/>
  <c r="A422" i="56" s="1"/>
  <c r="A423" i="56" s="1"/>
  <c r="A424" i="56" s="1"/>
  <c r="A425" i="56" s="1"/>
  <c r="A426" i="56" s="1"/>
  <c r="A427" i="56" s="1"/>
  <c r="A428" i="56" s="1"/>
  <c r="A429" i="56" s="1"/>
  <c r="A430" i="56" s="1"/>
  <c r="A431" i="56" s="1"/>
  <c r="A432" i="56" s="1"/>
  <c r="A433" i="56" s="1"/>
  <c r="A434" i="56" s="1"/>
  <c r="A435" i="56" s="1"/>
  <c r="A436" i="56" s="1"/>
  <c r="A437" i="56" s="1"/>
  <c r="A438" i="56" s="1"/>
  <c r="A439" i="56" s="1"/>
  <c r="A440" i="56" s="1"/>
  <c r="A441" i="56" s="1"/>
  <c r="A442" i="56" s="1"/>
  <c r="A443" i="56" s="1"/>
  <c r="A444" i="56" s="1"/>
  <c r="A445" i="56" s="1"/>
  <c r="A446" i="56" s="1"/>
  <c r="A447" i="56" s="1"/>
  <c r="A448" i="56" s="1"/>
  <c r="A449" i="56" s="1"/>
  <c r="A450" i="56" s="1"/>
  <c r="A451" i="56" s="1"/>
  <c r="A452" i="56" s="1"/>
  <c r="A453" i="56" s="1"/>
  <c r="A454" i="56" s="1"/>
  <c r="A455" i="56" s="1"/>
  <c r="A456" i="56" s="1"/>
  <c r="A457" i="56" s="1"/>
  <c r="A458" i="56" s="1"/>
  <c r="A459" i="56" s="1"/>
  <c r="A460" i="56" s="1"/>
  <c r="A461" i="56" s="1"/>
  <c r="A462" i="56" s="1"/>
  <c r="A463" i="56" s="1"/>
  <c r="A464" i="56" s="1"/>
  <c r="A465" i="56" s="1"/>
  <c r="A466" i="56" s="1"/>
  <c r="A467" i="56" s="1"/>
  <c r="A468" i="56" s="1"/>
  <c r="A469" i="56" s="1"/>
  <c r="A470" i="56" s="1"/>
  <c r="A471" i="56" s="1"/>
  <c r="A472" i="56" s="1"/>
  <c r="A473" i="56" s="1"/>
  <c r="A474" i="56" s="1"/>
  <c r="A475" i="56" s="1"/>
  <c r="A476" i="56" s="1"/>
  <c r="A477" i="56" s="1"/>
  <c r="A478" i="56" s="1"/>
  <c r="A479" i="56" s="1"/>
  <c r="A480" i="56" s="1"/>
  <c r="A481" i="56" s="1"/>
  <c r="A482" i="56" s="1"/>
  <c r="A483" i="56" s="1"/>
  <c r="A484" i="56" s="1"/>
  <c r="A485" i="56" s="1"/>
  <c r="A486" i="56" s="1"/>
  <c r="A487" i="56" s="1"/>
  <c r="A488" i="56" s="1"/>
  <c r="A489" i="56" s="1"/>
  <c r="A490" i="56" s="1"/>
  <c r="A491" i="56" s="1"/>
  <c r="A492" i="56" s="1"/>
  <c r="A493" i="56" s="1"/>
  <c r="A494" i="56" s="1"/>
  <c r="A495" i="56" s="1"/>
  <c r="A496" i="56" s="1"/>
  <c r="A497" i="56" s="1"/>
  <c r="A498" i="56" s="1"/>
  <c r="A499" i="56" s="1"/>
  <c r="A500" i="56" s="1"/>
  <c r="A501" i="56" s="1"/>
  <c r="A502" i="56" s="1"/>
  <c r="A503" i="56" s="1"/>
  <c r="A504" i="56" s="1"/>
  <c r="A505" i="56" s="1"/>
  <c r="A506" i="56" s="1"/>
  <c r="A507" i="56" s="1"/>
  <c r="A508" i="56" s="1"/>
  <c r="A509" i="56" s="1"/>
  <c r="A510" i="56" s="1"/>
  <c r="A511" i="56" s="1"/>
  <c r="A512" i="56" s="1"/>
  <c r="A513" i="56" s="1"/>
  <c r="A514" i="56" s="1"/>
  <c r="A515" i="56" s="1"/>
  <c r="A516" i="56" s="1"/>
  <c r="A517" i="56" s="1"/>
  <c r="A518" i="56" s="1"/>
  <c r="A519" i="56" s="1"/>
  <c r="A520" i="56" s="1"/>
  <c r="A521" i="56" s="1"/>
  <c r="A522" i="56" s="1"/>
  <c r="A523" i="56" s="1"/>
  <c r="A524" i="56" s="1"/>
  <c r="A525" i="56" s="1"/>
  <c r="A526" i="56" s="1"/>
  <c r="A527" i="56" s="1"/>
  <c r="A528" i="56" s="1"/>
  <c r="A529" i="56" s="1"/>
  <c r="A530" i="56" s="1"/>
  <c r="A531" i="56" s="1"/>
  <c r="A532" i="56" s="1"/>
  <c r="A533" i="56" s="1"/>
  <c r="A534" i="56" s="1"/>
  <c r="A535" i="56" s="1"/>
  <c r="A536" i="56" s="1"/>
  <c r="A537" i="56" s="1"/>
  <c r="A538" i="56" s="1"/>
  <c r="A539" i="56" s="1"/>
  <c r="A540" i="56" s="1"/>
  <c r="A541" i="56" s="1"/>
  <c r="A542" i="56" s="1"/>
  <c r="A543" i="56" s="1"/>
  <c r="A544" i="56" s="1"/>
  <c r="A545" i="56" s="1"/>
  <c r="A546" i="56" s="1"/>
  <c r="A547" i="56" s="1"/>
  <c r="A548" i="56" s="1"/>
  <c r="A549" i="56" s="1"/>
  <c r="A550" i="56" s="1"/>
  <c r="A551" i="56" s="1"/>
  <c r="A552" i="56" s="1"/>
  <c r="A553" i="56" s="1"/>
  <c r="A554" i="56" s="1"/>
  <c r="A555" i="56" s="1"/>
  <c r="A556" i="56" s="1"/>
  <c r="A557" i="56" s="1"/>
  <c r="A558" i="56" s="1"/>
  <c r="A559" i="56" s="1"/>
  <c r="A560" i="56" s="1"/>
  <c r="A561" i="56" s="1"/>
  <c r="A562" i="56" s="1"/>
  <c r="A563" i="56" s="1"/>
  <c r="A564" i="56" s="1"/>
  <c r="A565" i="56" s="1"/>
  <c r="A566" i="56" s="1"/>
  <c r="A567" i="56" s="1"/>
  <c r="A568" i="56" s="1"/>
  <c r="A569" i="56" s="1"/>
  <c r="A570" i="56" s="1"/>
  <c r="A571" i="56" s="1"/>
  <c r="A572" i="56" s="1"/>
  <c r="A573" i="56" s="1"/>
  <c r="A574" i="56" s="1"/>
  <c r="A575" i="56" s="1"/>
  <c r="A576" i="56" s="1"/>
  <c r="A577" i="56" s="1"/>
  <c r="A578" i="56" s="1"/>
  <c r="A579" i="56" s="1"/>
  <c r="A580" i="56" s="1"/>
  <c r="A581" i="56" s="1"/>
  <c r="A582" i="56" s="1"/>
  <c r="A583" i="56" s="1"/>
  <c r="A584" i="56" s="1"/>
  <c r="A585" i="56" s="1"/>
  <c r="A586" i="56" s="1"/>
  <c r="A587" i="56" s="1"/>
  <c r="A588" i="56" s="1"/>
  <c r="A589" i="56" s="1"/>
  <c r="A590" i="56" s="1"/>
  <c r="A591" i="56" s="1"/>
  <c r="A592" i="56" s="1"/>
  <c r="A593" i="56" s="1"/>
  <c r="A594" i="56" s="1"/>
  <c r="A595" i="56" s="1"/>
  <c r="A596" i="56" s="1"/>
  <c r="A597" i="56" s="1"/>
  <c r="A598" i="56" s="1"/>
  <c r="A599" i="56" s="1"/>
  <c r="A600" i="56" s="1"/>
  <c r="A601" i="56" s="1"/>
  <c r="A602" i="56" s="1"/>
  <c r="A603" i="56" s="1"/>
  <c r="A604" i="56" s="1"/>
  <c r="A605" i="56" s="1"/>
  <c r="A606" i="56" s="1"/>
  <c r="A607" i="56" s="1"/>
  <c r="E152" i="55"/>
  <c r="B431" i="56"/>
  <c r="B382" i="56"/>
  <c r="F225" i="56"/>
  <c r="B575" i="56"/>
  <c r="B526" i="56"/>
  <c r="B543" i="56"/>
  <c r="F273" i="56"/>
  <c r="B310" i="56"/>
  <c r="B574" i="56"/>
  <c r="B510" i="56"/>
  <c r="B317" i="56"/>
  <c r="B152" i="56"/>
  <c r="B309" i="56"/>
  <c r="B181" i="56"/>
  <c r="B567" i="56"/>
  <c r="B367" i="56"/>
  <c r="B558" i="56"/>
  <c r="B301" i="56"/>
  <c r="B173" i="56"/>
  <c r="B495" i="56"/>
  <c r="F282" i="56"/>
  <c r="B422" i="56"/>
  <c r="B165" i="56"/>
  <c r="B551" i="56"/>
  <c r="B423" i="56"/>
  <c r="B542" i="56"/>
  <c r="F222" i="56"/>
  <c r="F274" i="56"/>
  <c r="F254" i="56"/>
  <c r="F242" i="56"/>
  <c r="F226" i="56"/>
  <c r="F270" i="56"/>
  <c r="F258" i="56"/>
  <c r="B494" i="56"/>
  <c r="F220" i="56"/>
  <c r="F269" i="56"/>
  <c r="B358" i="56"/>
  <c r="F249" i="56"/>
  <c r="B399" i="56"/>
  <c r="B478" i="56"/>
  <c r="B502" i="56"/>
  <c r="B374" i="56"/>
  <c r="B430" i="56"/>
  <c r="F234" i="56"/>
  <c r="B342" i="56"/>
  <c r="B479" i="56"/>
  <c r="B140" i="56"/>
  <c r="B486" i="56"/>
  <c r="B293" i="56"/>
  <c r="B606" i="56"/>
  <c r="B414" i="56"/>
  <c r="B350" i="56"/>
  <c r="F253" i="56"/>
  <c r="F218" i="56"/>
  <c r="F268" i="56"/>
  <c r="F233" i="56"/>
  <c r="B550" i="56"/>
  <c r="F250" i="56"/>
  <c r="B285" i="56"/>
  <c r="B197" i="56"/>
  <c r="F276" i="56"/>
  <c r="F261" i="56"/>
  <c r="F228" i="56"/>
  <c r="F277" i="56"/>
  <c r="B581" i="56"/>
  <c r="B517" i="56"/>
  <c r="B453" i="56"/>
  <c r="B389" i="56"/>
  <c r="B325" i="56"/>
  <c r="F231" i="56"/>
  <c r="F263" i="56"/>
  <c r="F252" i="56"/>
  <c r="F237" i="56"/>
  <c r="B196" i="56"/>
  <c r="P16" i="55"/>
  <c r="F260" i="56"/>
  <c r="F245" i="56"/>
  <c r="F230" i="56"/>
  <c r="F217" i="56"/>
  <c r="F281" i="56"/>
  <c r="F235" i="56"/>
  <c r="F267" i="56"/>
  <c r="B318" i="56"/>
  <c r="B573" i="56"/>
  <c r="B509" i="56"/>
  <c r="B445" i="56"/>
  <c r="B381" i="56"/>
  <c r="B316" i="56"/>
  <c r="B188" i="56"/>
  <c r="B388" i="56"/>
  <c r="B164" i="56"/>
  <c r="F239" i="56"/>
  <c r="F271" i="56"/>
  <c r="B565" i="56"/>
  <c r="B501" i="56"/>
  <c r="B437" i="56"/>
  <c r="B373" i="56"/>
  <c r="B308" i="56"/>
  <c r="B180" i="56"/>
  <c r="B146" i="56"/>
  <c r="C617" i="55"/>
  <c r="F243" i="56"/>
  <c r="F275" i="56"/>
  <c r="B557" i="56"/>
  <c r="B493" i="56"/>
  <c r="B429" i="56"/>
  <c r="B365" i="56"/>
  <c r="B300" i="56"/>
  <c r="B172" i="56"/>
  <c r="F241" i="56"/>
  <c r="F215" i="56"/>
  <c r="F214" i="56"/>
  <c r="F247" i="56"/>
  <c r="F279" i="56"/>
  <c r="B549" i="56"/>
  <c r="B485" i="56"/>
  <c r="B421" i="56"/>
  <c r="B357" i="56"/>
  <c r="B292" i="56"/>
  <c r="B372" i="56"/>
  <c r="F262" i="56"/>
  <c r="E349" i="55"/>
  <c r="F219" i="56"/>
  <c r="F251" i="56"/>
  <c r="B605" i="56"/>
  <c r="B541" i="56"/>
  <c r="B477" i="56"/>
  <c r="B413" i="56"/>
  <c r="B349" i="56"/>
  <c r="B284" i="56"/>
  <c r="B348" i="56"/>
  <c r="B452" i="56"/>
  <c r="F236" i="56"/>
  <c r="F221" i="56"/>
  <c r="F257" i="56"/>
  <c r="F223" i="56"/>
  <c r="F255" i="56"/>
  <c r="B597" i="56"/>
  <c r="B533" i="56"/>
  <c r="B469" i="56"/>
  <c r="B405" i="56"/>
  <c r="B341" i="56"/>
  <c r="B212" i="56"/>
  <c r="B324" i="56"/>
  <c r="B580" i="56"/>
  <c r="B516" i="56"/>
  <c r="B444" i="56"/>
  <c r="B156" i="56"/>
  <c r="F265" i="56"/>
  <c r="F227" i="56"/>
  <c r="F259" i="56"/>
  <c r="B589" i="56"/>
  <c r="B525" i="56"/>
  <c r="B461" i="56"/>
  <c r="B397" i="56"/>
  <c r="B333" i="56"/>
  <c r="B204" i="56"/>
  <c r="B572" i="56"/>
  <c r="B508" i="56"/>
  <c r="B138" i="56"/>
  <c r="P168" i="57"/>
  <c r="P170" i="57"/>
  <c r="P169" i="57"/>
  <c r="P171" i="57"/>
  <c r="P172" i="57" s="1"/>
  <c r="P173" i="57" s="1"/>
  <c r="P174" i="57" s="1"/>
  <c r="P175" i="57" s="1"/>
  <c r="P176" i="57" s="1"/>
  <c r="P177" i="57" s="1"/>
  <c r="P178" i="57" s="1"/>
  <c r="P179" i="57" s="1"/>
  <c r="P180" i="57" s="1"/>
  <c r="P181" i="57" s="1"/>
  <c r="P182" i="57" s="1"/>
  <c r="P183" i="57" s="1"/>
  <c r="P184" i="57" s="1"/>
  <c r="P185" i="57" s="1"/>
  <c r="P186" i="57" s="1"/>
  <c r="P187" i="57" s="1"/>
  <c r="P188" i="57" s="1"/>
  <c r="P189" i="57" s="1"/>
  <c r="P190" i="57" s="1"/>
  <c r="P191" i="57" s="1"/>
  <c r="P192" i="57" s="1"/>
  <c r="P193" i="57" s="1"/>
  <c r="P194" i="57" s="1"/>
  <c r="P195" i="57" s="1"/>
  <c r="P196" i="57" s="1"/>
  <c r="P197" i="57" s="1"/>
  <c r="P198" i="57" s="1"/>
  <c r="P199" i="57" s="1"/>
  <c r="P200" i="57" s="1"/>
  <c r="P201" i="57" s="1"/>
  <c r="P202" i="57" s="1"/>
  <c r="P203" i="57" s="1"/>
  <c r="P204" i="57" s="1"/>
  <c r="P205" i="57" s="1"/>
  <c r="P206" i="57" s="1"/>
  <c r="P207" i="57" s="1"/>
  <c r="P208" i="57" s="1"/>
  <c r="P209" i="57" s="1"/>
  <c r="P210" i="57" s="1"/>
  <c r="P211" i="57" s="1"/>
  <c r="P212" i="57" s="1"/>
  <c r="P213" i="57" s="1"/>
  <c r="P214" i="57" s="1"/>
  <c r="P215" i="57" s="1"/>
  <c r="P216" i="57" s="1"/>
  <c r="P217" i="57" s="1"/>
  <c r="P218" i="57" s="1"/>
  <c r="P219" i="57" s="1"/>
  <c r="P220" i="57" s="1"/>
  <c r="P221" i="57" s="1"/>
  <c r="P222" i="57" s="1"/>
  <c r="P223" i="57" s="1"/>
  <c r="P224" i="57" s="1"/>
  <c r="P225" i="57" s="1"/>
  <c r="P226" i="57" s="1"/>
  <c r="P227" i="57" s="1"/>
  <c r="P228" i="57" s="1"/>
  <c r="P229" i="57" s="1"/>
  <c r="P230" i="57" s="1"/>
  <c r="P231" i="57" s="1"/>
  <c r="P232" i="57" s="1"/>
  <c r="P233" i="57" s="1"/>
  <c r="P234" i="57" s="1"/>
  <c r="P235" i="57" s="1"/>
  <c r="P236" i="57" s="1"/>
  <c r="P237" i="57" s="1"/>
  <c r="P238" i="57" s="1"/>
  <c r="P239" i="57" s="1"/>
  <c r="P240" i="57" s="1"/>
  <c r="P241" i="57" s="1"/>
  <c r="P242" i="57" s="1"/>
  <c r="P243" i="57" s="1"/>
  <c r="P244" i="57" s="1"/>
  <c r="P245" i="57" s="1"/>
  <c r="P246" i="57" s="1"/>
  <c r="P247" i="57" s="1"/>
  <c r="P248" i="57" s="1"/>
  <c r="P249" i="57" s="1"/>
  <c r="P250" i="57" s="1"/>
  <c r="P251" i="57" s="1"/>
  <c r="P252" i="57" s="1"/>
  <c r="P253" i="57" s="1"/>
  <c r="P254" i="57" s="1"/>
  <c r="P255" i="57" s="1"/>
  <c r="P256" i="57" s="1"/>
  <c r="P257" i="57" s="1"/>
  <c r="P258" i="57" s="1"/>
  <c r="P259" i="57" s="1"/>
  <c r="P260" i="57" s="1"/>
  <c r="P261" i="57" s="1"/>
  <c r="P262" i="57" s="1"/>
  <c r="P263" i="57" s="1"/>
  <c r="P264" i="57" s="1"/>
  <c r="P265" i="57" s="1"/>
  <c r="P266" i="57" s="1"/>
  <c r="P267" i="57" s="1"/>
  <c r="P268" i="57" s="1"/>
  <c r="P269" i="57" s="1"/>
  <c r="P270" i="57" s="1"/>
  <c r="P271" i="57" s="1"/>
  <c r="P272" i="57" s="1"/>
  <c r="P273" i="57" s="1"/>
  <c r="P274" i="57" s="1"/>
  <c r="P275" i="57" s="1"/>
  <c r="P276" i="57" s="1"/>
  <c r="P277" i="57" s="1"/>
  <c r="P278" i="57" s="1"/>
  <c r="P279" i="57" s="1"/>
  <c r="P280" i="57" s="1"/>
  <c r="P281" i="57" s="1"/>
  <c r="P282" i="57" s="1"/>
  <c r="P283" i="57" s="1"/>
  <c r="P284" i="57" s="1"/>
  <c r="P285" i="57" s="1"/>
  <c r="P286" i="57" s="1"/>
  <c r="P287" i="57" s="1"/>
  <c r="P288" i="57" s="1"/>
  <c r="P289" i="57" s="1"/>
  <c r="P290" i="57" s="1"/>
  <c r="P291" i="57" s="1"/>
  <c r="P292" i="57" s="1"/>
  <c r="P293" i="57" s="1"/>
  <c r="P294" i="57" s="1"/>
  <c r="P295" i="57" s="1"/>
  <c r="P296" i="57" s="1"/>
  <c r="P297" i="57" s="1"/>
  <c r="P298" i="57" s="1"/>
  <c r="P299" i="57" s="1"/>
  <c r="P300" i="57" s="1"/>
  <c r="P301" i="57" s="1"/>
  <c r="P302" i="57" s="1"/>
  <c r="P303" i="57" s="1"/>
  <c r="P304" i="57" s="1"/>
  <c r="P305" i="57" s="1"/>
  <c r="P306" i="57" s="1"/>
  <c r="P307" i="57" s="1"/>
  <c r="P308" i="57" s="1"/>
  <c r="P309" i="57" s="1"/>
  <c r="P310" i="57" s="1"/>
  <c r="P311" i="57" s="1"/>
  <c r="P312" i="57" s="1"/>
  <c r="P313" i="57" s="1"/>
  <c r="P314" i="57" s="1"/>
  <c r="P315" i="57" s="1"/>
  <c r="P316" i="57" s="1"/>
  <c r="P317" i="57" s="1"/>
  <c r="P318" i="57" s="1"/>
  <c r="C616" i="55"/>
  <c r="C612" i="55"/>
  <c r="C614" i="55"/>
  <c r="N384" i="55"/>
  <c r="F384" i="56" s="1"/>
  <c r="Y384" i="55"/>
  <c r="C619" i="55"/>
  <c r="Y385" i="55"/>
  <c r="C615" i="55"/>
  <c r="C613" i="55"/>
  <c r="Y349" i="55"/>
  <c r="E384" i="55"/>
  <c r="B615" i="55"/>
  <c r="B617" i="55"/>
  <c r="E385" i="55"/>
  <c r="B613" i="55"/>
  <c r="B614" i="55"/>
  <c r="B619" i="55"/>
  <c r="B612" i="55"/>
  <c r="B616" i="55"/>
  <c r="B18" i="24"/>
  <c r="M121" i="6"/>
  <c r="M3" i="11"/>
  <c r="M4" i="11"/>
  <c r="M5" i="11"/>
  <c r="M6" i="11"/>
  <c r="M7" i="11"/>
  <c r="M8" i="11"/>
  <c r="M9" i="11"/>
  <c r="M10" i="11"/>
  <c r="M11" i="11"/>
  <c r="M12" i="11"/>
  <c r="M13" i="11"/>
  <c r="M14" i="11"/>
  <c r="M15" i="11"/>
  <c r="M16" i="11"/>
  <c r="M17" i="11"/>
  <c r="M18" i="11"/>
  <c r="M19" i="11"/>
  <c r="M20" i="11"/>
  <c r="M21" i="11"/>
  <c r="M22"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O119" i="11"/>
  <c r="A608" i="56" l="1"/>
  <c r="Y608" i="55"/>
  <c r="C618" i="55"/>
  <c r="C620" i="55" s="1"/>
  <c r="F608" i="56"/>
  <c r="P17" i="55"/>
  <c r="P320" i="57"/>
  <c r="P321" i="57" s="1"/>
  <c r="P322" i="57" s="1"/>
  <c r="P323" i="57" s="1"/>
  <c r="P324" i="57" s="1"/>
  <c r="P325" i="57" s="1"/>
  <c r="P326" i="57" s="1"/>
  <c r="P327" i="57" s="1"/>
  <c r="P328" i="57" s="1"/>
  <c r="P329" i="57" s="1"/>
  <c r="P330" i="57" s="1"/>
  <c r="P331" i="57" s="1"/>
  <c r="P332" i="57" s="1"/>
  <c r="P333" i="57" s="1"/>
  <c r="P334" i="57" s="1"/>
  <c r="P335" i="57" s="1"/>
  <c r="P336" i="57" s="1"/>
  <c r="P337" i="57" s="1"/>
  <c r="P338" i="57" s="1"/>
  <c r="P339" i="57" s="1"/>
  <c r="P340" i="57" s="1"/>
  <c r="P341" i="57" s="1"/>
  <c r="P342" i="57" s="1"/>
  <c r="P343" i="57" s="1"/>
  <c r="P344" i="57" s="1"/>
  <c r="P345" i="57" s="1"/>
  <c r="P346" i="57" s="1"/>
  <c r="P347" i="57" s="1"/>
  <c r="P348" i="57" s="1"/>
  <c r="P349" i="57" s="1"/>
  <c r="P350" i="57" s="1"/>
  <c r="P351" i="57" s="1"/>
  <c r="P352" i="57" s="1"/>
  <c r="P353" i="57" s="1"/>
  <c r="P354" i="57" s="1"/>
  <c r="P355" i="57" s="1"/>
  <c r="P356" i="57" s="1"/>
  <c r="P357" i="57" s="1"/>
  <c r="P358" i="57" s="1"/>
  <c r="P359" i="57" s="1"/>
  <c r="P360" i="57" s="1"/>
  <c r="P361" i="57" s="1"/>
  <c r="P362" i="57" s="1"/>
  <c r="P363" i="57" s="1"/>
  <c r="P364" i="57" s="1"/>
  <c r="P365" i="57" s="1"/>
  <c r="P366" i="57" s="1"/>
  <c r="P367" i="57" s="1"/>
  <c r="P368" i="57" s="1"/>
  <c r="P369" i="57" s="1"/>
  <c r="P370" i="57" s="1"/>
  <c r="P371" i="57" s="1"/>
  <c r="P372" i="57" s="1"/>
  <c r="P373" i="57" s="1"/>
  <c r="P374" i="57" s="1"/>
  <c r="P375" i="57" s="1"/>
  <c r="P376" i="57" s="1"/>
  <c r="P377" i="57" s="1"/>
  <c r="P378" i="57" s="1"/>
  <c r="P379" i="57" s="1"/>
  <c r="P380" i="57" s="1"/>
  <c r="P381" i="57" s="1"/>
  <c r="P382" i="57" s="1"/>
  <c r="P383" i="57" s="1"/>
  <c r="P384" i="57" s="1"/>
  <c r="P385" i="57" s="1"/>
  <c r="P386" i="57" s="1"/>
  <c r="P387" i="57" s="1"/>
  <c r="P388" i="57" s="1"/>
  <c r="P389" i="57" s="1"/>
  <c r="P390" i="57" s="1"/>
  <c r="P391" i="57" s="1"/>
  <c r="P392" i="57" s="1"/>
  <c r="P393" i="57" s="1"/>
  <c r="P394" i="57" s="1"/>
  <c r="P395" i="57" s="1"/>
  <c r="P396" i="57" s="1"/>
  <c r="P397" i="57" s="1"/>
  <c r="P398" i="57" s="1"/>
  <c r="P399" i="57" s="1"/>
  <c r="P400" i="57" s="1"/>
  <c r="P401" i="57" s="1"/>
  <c r="P402" i="57" s="1"/>
  <c r="P403" i="57" s="1"/>
  <c r="P404" i="57" s="1"/>
  <c r="P405" i="57" s="1"/>
  <c r="P406" i="57" s="1"/>
  <c r="P407" i="57" s="1"/>
  <c r="P408" i="57" s="1"/>
  <c r="P409" i="57" s="1"/>
  <c r="P410" i="57" s="1"/>
  <c r="P411" i="57" s="1"/>
  <c r="P412" i="57" s="1"/>
  <c r="P413" i="57" s="1"/>
  <c r="P414" i="57" s="1"/>
  <c r="P415" i="57" s="1"/>
  <c r="P416" i="57" s="1"/>
  <c r="P417" i="57" s="1"/>
  <c r="P418" i="57" s="1"/>
  <c r="P419" i="57" s="1"/>
  <c r="P420" i="57" s="1"/>
  <c r="P421" i="57" s="1"/>
  <c r="P422" i="57" s="1"/>
  <c r="P423" i="57" s="1"/>
  <c r="P424" i="57" s="1"/>
  <c r="P425" i="57" s="1"/>
  <c r="P426" i="57" s="1"/>
  <c r="P427" i="57" s="1"/>
  <c r="P428" i="57" s="1"/>
  <c r="P429" i="57" s="1"/>
  <c r="P430" i="57" s="1"/>
  <c r="P431" i="57" s="1"/>
  <c r="P432" i="57" s="1"/>
  <c r="P433" i="57" s="1"/>
  <c r="P434" i="57" s="1"/>
  <c r="P435" i="57" s="1"/>
  <c r="P436" i="57" s="1"/>
  <c r="P437" i="57" s="1"/>
  <c r="P438" i="57" s="1"/>
  <c r="P439" i="57" s="1"/>
  <c r="P440" i="57" s="1"/>
  <c r="P441" i="57" s="1"/>
  <c r="P442" i="57" s="1"/>
  <c r="P443" i="57" s="1"/>
  <c r="P444" i="57" s="1"/>
  <c r="P445" i="57" s="1"/>
  <c r="P446" i="57" s="1"/>
  <c r="P447" i="57" s="1"/>
  <c r="P448" i="57" s="1"/>
  <c r="P449" i="57" s="1"/>
  <c r="P450" i="57" s="1"/>
  <c r="P451" i="57" s="1"/>
  <c r="P452" i="57" s="1"/>
  <c r="P453" i="57" s="1"/>
  <c r="P454" i="57" s="1"/>
  <c r="P455" i="57" s="1"/>
  <c r="P456" i="57" s="1"/>
  <c r="P457" i="57" s="1"/>
  <c r="P458" i="57" s="1"/>
  <c r="P459" i="57" s="1"/>
  <c r="P460" i="57" s="1"/>
  <c r="P461" i="57" s="1"/>
  <c r="P462" i="57" s="1"/>
  <c r="P463" i="57" s="1"/>
  <c r="P464" i="57" s="1"/>
  <c r="P465" i="57" s="1"/>
  <c r="P466" i="57" s="1"/>
  <c r="P467" i="57" s="1"/>
  <c r="P468" i="57" s="1"/>
  <c r="P469" i="57" s="1"/>
  <c r="P470" i="57" s="1"/>
  <c r="P471" i="57" s="1"/>
  <c r="P472" i="57" s="1"/>
  <c r="P473" i="57" s="1"/>
  <c r="P474" i="57" s="1"/>
  <c r="P475" i="57" s="1"/>
  <c r="P476" i="57" s="1"/>
  <c r="P477" i="57" s="1"/>
  <c r="P478" i="57" s="1"/>
  <c r="P479" i="57" s="1"/>
  <c r="P480" i="57" s="1"/>
  <c r="P481" i="57" s="1"/>
  <c r="P482" i="57" s="1"/>
  <c r="P483" i="57" s="1"/>
  <c r="P484" i="57" s="1"/>
  <c r="P485" i="57" s="1"/>
  <c r="P486" i="57" s="1"/>
  <c r="P487" i="57" s="1"/>
  <c r="P488" i="57" s="1"/>
  <c r="P489" i="57" s="1"/>
  <c r="P490" i="57" s="1"/>
  <c r="P491" i="57" s="1"/>
  <c r="P492" i="57" s="1"/>
  <c r="P493" i="57" s="1"/>
  <c r="P494" i="57" s="1"/>
  <c r="P495" i="57" s="1"/>
  <c r="P496" i="57" s="1"/>
  <c r="P497" i="57" s="1"/>
  <c r="P498" i="57" s="1"/>
  <c r="P499" i="57" s="1"/>
  <c r="P500" i="57" s="1"/>
  <c r="P501" i="57" s="1"/>
  <c r="P502" i="57" s="1"/>
  <c r="P503" i="57" s="1"/>
  <c r="P504" i="57" s="1"/>
  <c r="P505" i="57" s="1"/>
  <c r="P506" i="57" s="1"/>
  <c r="P507" i="57" s="1"/>
  <c r="P508" i="57" s="1"/>
  <c r="P509" i="57" s="1"/>
  <c r="P510" i="57" s="1"/>
  <c r="P511" i="57" s="1"/>
  <c r="P512" i="57" s="1"/>
  <c r="P513" i="57" s="1"/>
  <c r="P514" i="57" s="1"/>
  <c r="P515" i="57" s="1"/>
  <c r="P516" i="57" s="1"/>
  <c r="P517" i="57" s="1"/>
  <c r="P518" i="57" s="1"/>
  <c r="P519" i="57" s="1"/>
  <c r="P520" i="57" s="1"/>
  <c r="P521" i="57" s="1"/>
  <c r="P522" i="57" s="1"/>
  <c r="P523" i="57" s="1"/>
  <c r="P524" i="57" s="1"/>
  <c r="P525" i="57" s="1"/>
  <c r="P526" i="57" s="1"/>
  <c r="P527" i="57" s="1"/>
  <c r="P528" i="57" s="1"/>
  <c r="P529" i="57" s="1"/>
  <c r="P530" i="57" s="1"/>
  <c r="P531" i="57" s="1"/>
  <c r="P532" i="57" s="1"/>
  <c r="P533" i="57" s="1"/>
  <c r="P534" i="57" s="1"/>
  <c r="P535" i="57" s="1"/>
  <c r="P536" i="57" s="1"/>
  <c r="P537" i="57" s="1"/>
  <c r="P538" i="57" s="1"/>
  <c r="P539" i="57" s="1"/>
  <c r="P540" i="57" s="1"/>
  <c r="P541" i="57" s="1"/>
  <c r="P542" i="57" s="1"/>
  <c r="P543" i="57" s="1"/>
  <c r="P544" i="57" s="1"/>
  <c r="P545" i="57" s="1"/>
  <c r="P546" i="57" s="1"/>
  <c r="P547" i="57" s="1"/>
  <c r="P548" i="57" s="1"/>
  <c r="P549" i="57" s="1"/>
  <c r="P550" i="57" s="1"/>
  <c r="P551" i="57" s="1"/>
  <c r="P552" i="57" s="1"/>
  <c r="P553" i="57" s="1"/>
  <c r="P554" i="57" s="1"/>
  <c r="P555" i="57" s="1"/>
  <c r="P556" i="57" s="1"/>
  <c r="P557" i="57" s="1"/>
  <c r="P558" i="57" s="1"/>
  <c r="P559" i="57" s="1"/>
  <c r="P560" i="57" s="1"/>
  <c r="P561" i="57" s="1"/>
  <c r="P562" i="57" s="1"/>
  <c r="P563" i="57" s="1"/>
  <c r="P564" i="57" s="1"/>
  <c r="P565" i="57" s="1"/>
  <c r="P566" i="57" s="1"/>
  <c r="P567" i="57" s="1"/>
  <c r="P568" i="57" s="1"/>
  <c r="P569" i="57" s="1"/>
  <c r="P570" i="57" s="1"/>
  <c r="P571" i="57" s="1"/>
  <c r="P572" i="57" s="1"/>
  <c r="P573" i="57" s="1"/>
  <c r="P574" i="57" s="1"/>
  <c r="P575" i="57" s="1"/>
  <c r="P576" i="57" s="1"/>
  <c r="P577" i="57" s="1"/>
  <c r="P578" i="57" s="1"/>
  <c r="P579" i="57" s="1"/>
  <c r="P580" i="57" s="1"/>
  <c r="P581" i="57" s="1"/>
  <c r="P582" i="57" s="1"/>
  <c r="P583" i="57" s="1"/>
  <c r="P584" i="57" s="1"/>
  <c r="P585" i="57" s="1"/>
  <c r="P586" i="57" s="1"/>
  <c r="P587" i="57" s="1"/>
  <c r="P588" i="57" s="1"/>
  <c r="P589" i="57" s="1"/>
  <c r="P590" i="57" s="1"/>
  <c r="P591" i="57" s="1"/>
  <c r="P592" i="57" s="1"/>
  <c r="P593" i="57" s="1"/>
  <c r="P594" i="57" s="1"/>
  <c r="P595" i="57" s="1"/>
  <c r="P596" i="57" s="1"/>
  <c r="P597" i="57" s="1"/>
  <c r="P598" i="57" s="1"/>
  <c r="P599" i="57" s="1"/>
  <c r="P600" i="57" s="1"/>
  <c r="P601" i="57" s="1"/>
  <c r="P602" i="57" s="1"/>
  <c r="P603" i="57" s="1"/>
  <c r="P604" i="57" s="1"/>
  <c r="P605" i="57" s="1"/>
  <c r="P606" i="57" s="1"/>
  <c r="P607" i="57" s="1"/>
  <c r="P608" i="57" s="1"/>
  <c r="P609" i="57" s="1"/>
  <c r="P319" i="57"/>
  <c r="N608" i="55"/>
  <c r="E608" i="55"/>
  <c r="B618" i="55"/>
  <c r="B620" i="55" s="1"/>
  <c r="P18" i="55" l="1"/>
  <c r="M5" i="6"/>
  <c r="M6" i="6"/>
  <c r="M7" i="6"/>
  <c r="M8" i="6"/>
  <c r="M9" i="6"/>
  <c r="M10" i="6"/>
  <c r="M11" i="6"/>
  <c r="M12" i="6"/>
  <c r="M13" i="6"/>
  <c r="M14" i="6"/>
  <c r="M15" i="6"/>
  <c r="M16" i="6"/>
  <c r="M17" i="6"/>
  <c r="M18" i="6"/>
  <c r="M19" i="6"/>
  <c r="M20" i="6"/>
  <c r="M21" i="6"/>
  <c r="M26" i="6"/>
  <c r="M27" i="6"/>
  <c r="M28" i="6"/>
  <c r="M29" i="6"/>
  <c r="M30" i="6"/>
  <c r="M33" i="6"/>
  <c r="M34" i="6"/>
  <c r="M35" i="6"/>
  <c r="M36" i="6"/>
  <c r="M37" i="6"/>
  <c r="M39" i="6"/>
  <c r="M40" i="6"/>
  <c r="M41" i="6"/>
  <c r="M42" i="6"/>
  <c r="M44" i="6"/>
  <c r="M46" i="6"/>
  <c r="M47" i="6"/>
  <c r="M48" i="6"/>
  <c r="M49" i="6"/>
  <c r="M51" i="6"/>
  <c r="M52" i="6"/>
  <c r="M53" i="6"/>
  <c r="M54" i="6"/>
  <c r="M59" i="6"/>
  <c r="M60" i="6"/>
  <c r="M61" i="6"/>
  <c r="M62" i="6"/>
  <c r="M63" i="6"/>
  <c r="M64" i="6"/>
  <c r="M68" i="6"/>
  <c r="M69" i="6"/>
  <c r="M71" i="6"/>
  <c r="M72" i="6"/>
  <c r="M73" i="6"/>
  <c r="M74" i="6"/>
  <c r="M75" i="6"/>
  <c r="M76" i="6"/>
  <c r="M77" i="6"/>
  <c r="M81" i="6"/>
  <c r="M83" i="6"/>
  <c r="M85" i="6"/>
  <c r="M86" i="6"/>
  <c r="M88" i="6"/>
  <c r="M90" i="6"/>
  <c r="M92" i="6"/>
  <c r="M93" i="6"/>
  <c r="M94" i="6"/>
  <c r="M95" i="6"/>
  <c r="M96" i="6"/>
  <c r="M98" i="6"/>
  <c r="M99" i="6"/>
  <c r="M100" i="6"/>
  <c r="M101" i="6"/>
  <c r="M102" i="6"/>
  <c r="M103" i="6"/>
  <c r="M104" i="6"/>
  <c r="M109" i="6"/>
  <c r="M111" i="6"/>
  <c r="M112" i="6"/>
  <c r="M113" i="6"/>
  <c r="M114" i="6"/>
  <c r="M115" i="6"/>
  <c r="M117" i="6"/>
  <c r="M118" i="6"/>
  <c r="M119" i="6"/>
  <c r="M120" i="6"/>
  <c r="M123" i="6"/>
  <c r="M124" i="6"/>
  <c r="M125" i="6"/>
  <c r="M126" i="6"/>
  <c r="M127" i="6"/>
  <c r="M128" i="6"/>
  <c r="M129" i="6"/>
  <c r="M130" i="6"/>
  <c r="M131" i="6"/>
  <c r="M132" i="6"/>
  <c r="M133" i="6"/>
  <c r="M134" i="6"/>
  <c r="M136" i="6"/>
  <c r="M137" i="6"/>
  <c r="M138" i="6"/>
  <c r="M139" i="6"/>
  <c r="M141" i="6"/>
  <c r="M142" i="6"/>
  <c r="M143" i="6"/>
  <c r="M144" i="6"/>
  <c r="M146" i="6"/>
  <c r="M147" i="6"/>
  <c r="M148" i="6"/>
  <c r="M149" i="6"/>
  <c r="M150" i="6"/>
  <c r="M151" i="6"/>
  <c r="M152" i="6"/>
  <c r="M153" i="6"/>
  <c r="M154" i="6"/>
  <c r="M155" i="6"/>
  <c r="M156" i="6"/>
  <c r="M159" i="6"/>
  <c r="M160" i="6"/>
  <c r="M162" i="6"/>
  <c r="M163" i="6"/>
  <c r="M165" i="6"/>
  <c r="M166" i="6"/>
  <c r="M167" i="6"/>
  <c r="M169" i="6"/>
  <c r="M170" i="6"/>
  <c r="M171" i="6"/>
  <c r="M172" i="6"/>
  <c r="M173" i="6"/>
  <c r="M174" i="6"/>
  <c r="M178" i="6"/>
  <c r="M179" i="6"/>
  <c r="M180" i="6"/>
  <c r="M181" i="6"/>
  <c r="M183" i="6"/>
  <c r="M185" i="6"/>
  <c r="M186" i="6"/>
  <c r="M187" i="6"/>
  <c r="M188" i="6"/>
  <c r="M189" i="6"/>
  <c r="M191" i="6"/>
  <c r="M192" i="6"/>
  <c r="M193"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70" i="6"/>
  <c r="M272" i="6"/>
  <c r="M273" i="6"/>
  <c r="M274" i="6"/>
  <c r="M275" i="6"/>
  <c r="M276" i="6"/>
  <c r="M277" i="6"/>
  <c r="M278" i="6"/>
  <c r="M279" i="6"/>
  <c r="M280" i="6"/>
  <c r="M281" i="6"/>
  <c r="M286" i="6"/>
  <c r="M287" i="6"/>
  <c r="M288" i="6"/>
  <c r="M291" i="6"/>
  <c r="M292" i="6"/>
  <c r="M293" i="6"/>
  <c r="M294" i="6"/>
  <c r="M295" i="6"/>
  <c r="M296" i="6"/>
  <c r="M297" i="6"/>
  <c r="M298" i="6"/>
  <c r="M299" i="6"/>
  <c r="M300" i="6"/>
  <c r="M302" i="6"/>
  <c r="M303" i="6"/>
  <c r="M304" i="6"/>
  <c r="M307" i="6"/>
  <c r="M310" i="6"/>
  <c r="M311" i="6"/>
  <c r="M313" i="6"/>
  <c r="M314" i="6"/>
  <c r="M315" i="6"/>
  <c r="M316" i="6"/>
  <c r="M317" i="6"/>
  <c r="M318" i="6"/>
  <c r="M319" i="6"/>
  <c r="M320" i="6"/>
  <c r="M321" i="6"/>
  <c r="M322" i="6"/>
  <c r="M323" i="6"/>
  <c r="M326" i="6"/>
  <c r="M328" i="6"/>
  <c r="M329" i="6"/>
  <c r="M330" i="6"/>
  <c r="M331" i="6"/>
  <c r="M332" i="6"/>
  <c r="M333" i="6"/>
  <c r="M334" i="6"/>
  <c r="M335" i="6"/>
  <c r="M336" i="6"/>
  <c r="M337" i="6"/>
  <c r="M338" i="6"/>
  <c r="M342" i="6"/>
  <c r="M343" i="6"/>
  <c r="M344" i="6"/>
  <c r="M345" i="6"/>
  <c r="M346" i="6"/>
  <c r="M347" i="6"/>
  <c r="M348" i="6"/>
  <c r="M349" i="6"/>
  <c r="M356" i="6"/>
  <c r="M357" i="6"/>
  <c r="M360" i="6"/>
  <c r="M361" i="6"/>
  <c r="M362" i="6"/>
  <c r="M363" i="6"/>
  <c r="M364" i="6"/>
  <c r="M365" i="6"/>
  <c r="M366" i="6"/>
  <c r="M367" i="6"/>
  <c r="M368"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7" i="6"/>
  <c r="M398" i="6"/>
  <c r="M399" i="6"/>
  <c r="M400" i="6"/>
  <c r="M401" i="6"/>
  <c r="M402" i="6"/>
  <c r="M403" i="6"/>
  <c r="M405" i="6"/>
  <c r="M406" i="6"/>
  <c r="M407" i="6"/>
  <c r="M408" i="6"/>
  <c r="M409" i="6"/>
  <c r="M410" i="6"/>
  <c r="M411" i="6"/>
  <c r="M414" i="6"/>
  <c r="M415" i="6"/>
  <c r="M416" i="6"/>
  <c r="M417" i="6"/>
  <c r="M418" i="6"/>
  <c r="M419" i="6"/>
  <c r="M420" i="6"/>
  <c r="M421" i="6"/>
  <c r="M422" i="6"/>
  <c r="M423" i="6"/>
  <c r="M424" i="6"/>
  <c r="M425" i="6"/>
  <c r="M426" i="6"/>
  <c r="M427" i="6"/>
  <c r="M428" i="6"/>
  <c r="M429" i="6"/>
  <c r="M430" i="6"/>
  <c r="M431" i="6"/>
  <c r="M432" i="6"/>
  <c r="M435" i="6"/>
  <c r="M436" i="6"/>
  <c r="M437" i="6"/>
  <c r="M438" i="6"/>
  <c r="M440" i="6"/>
  <c r="M441" i="6"/>
  <c r="M442" i="6"/>
  <c r="M443" i="6"/>
  <c r="M444" i="6"/>
  <c r="M447" i="6"/>
  <c r="M448" i="6"/>
  <c r="M453" i="6"/>
  <c r="M455" i="6"/>
  <c r="M456" i="6"/>
  <c r="M457" i="6"/>
  <c r="M458" i="6"/>
  <c r="M459" i="6"/>
  <c r="M461" i="6"/>
  <c r="M462" i="6"/>
  <c r="M463" i="6"/>
  <c r="M464" i="6"/>
  <c r="M465" i="6"/>
  <c r="M466" i="6"/>
  <c r="M469" i="6"/>
  <c r="M470" i="6"/>
  <c r="M471" i="6"/>
  <c r="M472" i="6"/>
  <c r="M473" i="6"/>
  <c r="M474" i="6"/>
  <c r="M475" i="6"/>
  <c r="M476" i="6"/>
  <c r="M477" i="6"/>
  <c r="M478" i="6"/>
  <c r="M479" i="6"/>
  <c r="M480" i="6"/>
  <c r="M481" i="6"/>
  <c r="M482" i="6"/>
  <c r="M483" i="6"/>
  <c r="M484" i="6"/>
  <c r="M485" i="6"/>
  <c r="M486" i="6"/>
  <c r="M487" i="6"/>
  <c r="M490" i="6"/>
  <c r="M491" i="6"/>
  <c r="M492" i="6"/>
  <c r="M493" i="6"/>
  <c r="M494" i="6"/>
  <c r="M495" i="6"/>
  <c r="M496" i="6"/>
  <c r="M497" i="6"/>
  <c r="M498" i="6"/>
  <c r="M504" i="6"/>
  <c r="M505" i="6"/>
  <c r="M506" i="6"/>
  <c r="M508" i="6"/>
  <c r="M509" i="6"/>
  <c r="M510" i="6"/>
  <c r="M511" i="6"/>
  <c r="M512" i="6"/>
  <c r="M513" i="6"/>
  <c r="M514" i="6"/>
  <c r="M515" i="6"/>
  <c r="M516" i="6"/>
  <c r="M517" i="6"/>
  <c r="M518" i="6"/>
  <c r="M519" i="6"/>
  <c r="M520" i="6"/>
  <c r="M521" i="6"/>
  <c r="M522" i="6"/>
  <c r="M523" i="6"/>
  <c r="M524" i="6"/>
  <c r="M525" i="6"/>
  <c r="M526" i="6"/>
  <c r="M528" i="6"/>
  <c r="M529" i="6"/>
  <c r="M530" i="6"/>
  <c r="M531" i="6"/>
  <c r="M533" i="6"/>
  <c r="M534" i="6"/>
  <c r="M535" i="6"/>
  <c r="M536" i="6"/>
  <c r="M537"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N4" i="6"/>
  <c r="N5" i="6" s="1"/>
  <c r="N6" i="6" s="1"/>
  <c r="N7" i="6" s="1"/>
  <c r="N8" i="6" s="1"/>
  <c r="N9" i="6" s="1"/>
  <c r="N10" i="6" s="1"/>
  <c r="N11" i="6" s="1"/>
  <c r="N12" i="6" s="1"/>
  <c r="N13" i="6" s="1"/>
  <c r="N14" i="6" s="1"/>
  <c r="N15" i="6" s="1"/>
  <c r="N16" i="6" s="1"/>
  <c r="N17" i="6" s="1"/>
  <c r="N18" i="6" s="1"/>
  <c r="N19" i="6" s="1"/>
  <c r="N20" i="6" s="1"/>
  <c r="N21" i="6" s="1"/>
  <c r="N22" i="6" s="1"/>
  <c r="N23" i="6" s="1"/>
  <c r="N24" i="6" s="1"/>
  <c r="N25" i="6" s="1"/>
  <c r="N26" i="6" s="1"/>
  <c r="N27" i="6" s="1"/>
  <c r="N28" i="6" s="1"/>
  <c r="N29" i="6" s="1"/>
  <c r="N30" i="6" s="1"/>
  <c r="N31" i="6" s="1"/>
  <c r="N32" i="6" s="1"/>
  <c r="N33" i="6" s="1"/>
  <c r="N34" i="6" s="1"/>
  <c r="N35" i="6" s="1"/>
  <c r="N36" i="6" s="1"/>
  <c r="N37" i="6" s="1"/>
  <c r="N38" i="6" s="1"/>
  <c r="N39" i="6" s="1"/>
  <c r="N40" i="6" s="1"/>
  <c r="N41" i="6" s="1"/>
  <c r="N42" i="6" s="1"/>
  <c r="N43" i="6" s="1"/>
  <c r="N44" i="6" s="1"/>
  <c r="N45" i="6" s="1"/>
  <c r="N46" i="6" s="1"/>
  <c r="N47" i="6" s="1"/>
  <c r="N48" i="6" s="1"/>
  <c r="N49" i="6" s="1"/>
  <c r="N50" i="6" s="1"/>
  <c r="N51" i="6" s="1"/>
  <c r="N52" i="6" s="1"/>
  <c r="N53" i="6" s="1"/>
  <c r="N54" i="6" s="1"/>
  <c r="N55" i="6" s="1"/>
  <c r="N56" i="6" s="1"/>
  <c r="N57" i="6" s="1"/>
  <c r="N58" i="6" s="1"/>
  <c r="N59" i="6" s="1"/>
  <c r="N60" i="6" s="1"/>
  <c r="N61" i="6" s="1"/>
  <c r="N62" i="6" s="1"/>
  <c r="N63" i="6" s="1"/>
  <c r="N64" i="6" s="1"/>
  <c r="N65" i="6" s="1"/>
  <c r="N66" i="6" s="1"/>
  <c r="N67" i="6" s="1"/>
  <c r="N68" i="6" s="1"/>
  <c r="N69" i="6" s="1"/>
  <c r="N70" i="6" s="1"/>
  <c r="N71" i="6" s="1"/>
  <c r="N72" i="6" s="1"/>
  <c r="N73" i="6" s="1"/>
  <c r="N74" i="6" s="1"/>
  <c r="N75" i="6" s="1"/>
  <c r="N76" i="6" s="1"/>
  <c r="N77" i="6" s="1"/>
  <c r="N78" i="6" s="1"/>
  <c r="N79" i="6" s="1"/>
  <c r="N80" i="6" s="1"/>
  <c r="N81" i="6" s="1"/>
  <c r="N82" i="6" s="1"/>
  <c r="N83" i="6" s="1"/>
  <c r="N84" i="6" s="1"/>
  <c r="N85" i="6" s="1"/>
  <c r="N86" i="6" s="1"/>
  <c r="N87" i="6" s="1"/>
  <c r="N88" i="6" s="1"/>
  <c r="N89" i="6" s="1"/>
  <c r="N90" i="6" s="1"/>
  <c r="N91" i="6" s="1"/>
  <c r="N92" i="6" s="1"/>
  <c r="N93" i="6" s="1"/>
  <c r="N94" i="6" s="1"/>
  <c r="N95" i="6" s="1"/>
  <c r="N96" i="6" s="1"/>
  <c r="N97" i="6" s="1"/>
  <c r="N98" i="6" s="1"/>
  <c r="N99" i="6" s="1"/>
  <c r="N100" i="6" s="1"/>
  <c r="N101" i="6" s="1"/>
  <c r="N102" i="6" s="1"/>
  <c r="N103" i="6" s="1"/>
  <c r="N104" i="6" s="1"/>
  <c r="N105" i="6" s="1"/>
  <c r="N106" i="6" s="1"/>
  <c r="N107" i="6" s="1"/>
  <c r="N108" i="6" s="1"/>
  <c r="N109" i="6" s="1"/>
  <c r="N110" i="6" s="1"/>
  <c r="N111" i="6" s="1"/>
  <c r="N112" i="6" s="1"/>
  <c r="N113" i="6" s="1"/>
  <c r="N114" i="6" s="1"/>
  <c r="N115" i="6" s="1"/>
  <c r="N116" i="6" s="1"/>
  <c r="N117" i="6" s="1"/>
  <c r="N118" i="6" s="1"/>
  <c r="N119" i="6" s="1"/>
  <c r="N120" i="6" s="1"/>
  <c r="N122" i="6" l="1"/>
  <c r="N123" i="6" s="1"/>
  <c r="N124" i="6" s="1"/>
  <c r="N125" i="6" s="1"/>
  <c r="N126" i="6" s="1"/>
  <c r="N127" i="6" s="1"/>
  <c r="N128" i="6" s="1"/>
  <c r="N129" i="6" s="1"/>
  <c r="N130" i="6" s="1"/>
  <c r="N131" i="6" s="1"/>
  <c r="N132" i="6" s="1"/>
  <c r="N133" i="6" s="1"/>
  <c r="N134" i="6" s="1"/>
  <c r="N135" i="6" s="1"/>
  <c r="N136" i="6" s="1"/>
  <c r="N137" i="6" s="1"/>
  <c r="N138" i="6" s="1"/>
  <c r="N139" i="6" s="1"/>
  <c r="N140" i="6" s="1"/>
  <c r="N141" i="6" s="1"/>
  <c r="N142" i="6" s="1"/>
  <c r="N143" i="6" s="1"/>
  <c r="N144" i="6" s="1"/>
  <c r="N145" i="6" s="1"/>
  <c r="N146" i="6" s="1"/>
  <c r="N147" i="6" s="1"/>
  <c r="N148" i="6" s="1"/>
  <c r="N149" i="6" s="1"/>
  <c r="N150" i="6" s="1"/>
  <c r="N151" i="6" s="1"/>
  <c r="N152" i="6" s="1"/>
  <c r="N153" i="6" s="1"/>
  <c r="N154" i="6" s="1"/>
  <c r="N155" i="6" s="1"/>
  <c r="N156" i="6" s="1"/>
  <c r="N157" i="6" s="1"/>
  <c r="N158" i="6" s="1"/>
  <c r="N159" i="6" s="1"/>
  <c r="N160" i="6" s="1"/>
  <c r="N161" i="6" s="1"/>
  <c r="N162" i="6" s="1"/>
  <c r="N163" i="6" s="1"/>
  <c r="N164" i="6" s="1"/>
  <c r="N165" i="6" s="1"/>
  <c r="N166" i="6" s="1"/>
  <c r="N167" i="6" s="1"/>
  <c r="N168" i="6" s="1"/>
  <c r="N169" i="6" s="1"/>
  <c r="N170" i="6" s="1"/>
  <c r="N171" i="6" s="1"/>
  <c r="N172" i="6" s="1"/>
  <c r="N173" i="6" s="1"/>
  <c r="N174" i="6" s="1"/>
  <c r="N175" i="6" s="1"/>
  <c r="N176" i="6" s="1"/>
  <c r="N177" i="6" s="1"/>
  <c r="N178" i="6" s="1"/>
  <c r="N179" i="6" s="1"/>
  <c r="N180" i="6" s="1"/>
  <c r="N181" i="6" s="1"/>
  <c r="N182" i="6" s="1"/>
  <c r="N183" i="6" s="1"/>
  <c r="N184" i="6" s="1"/>
  <c r="N185" i="6" s="1"/>
  <c r="N186" i="6" s="1"/>
  <c r="N187" i="6" s="1"/>
  <c r="N188" i="6" s="1"/>
  <c r="N189" i="6" s="1"/>
  <c r="N190" i="6" s="1"/>
  <c r="N191" i="6" s="1"/>
  <c r="N192" i="6" s="1"/>
  <c r="N193" i="6" s="1"/>
  <c r="N194" i="6" s="1"/>
  <c r="N195" i="6" s="1"/>
  <c r="N196" i="6" s="1"/>
  <c r="N197" i="6" s="1"/>
  <c r="N198" i="6" s="1"/>
  <c r="N199" i="6" s="1"/>
  <c r="N200" i="6" s="1"/>
  <c r="N201" i="6" s="1"/>
  <c r="N202" i="6" s="1"/>
  <c r="N203" i="6" s="1"/>
  <c r="N204" i="6" s="1"/>
  <c r="N205" i="6" s="1"/>
  <c r="N206" i="6" s="1"/>
  <c r="N207" i="6" s="1"/>
  <c r="N208" i="6" s="1"/>
  <c r="N209" i="6" s="1"/>
  <c r="N210" i="6" s="1"/>
  <c r="N211" i="6" s="1"/>
  <c r="N212" i="6" s="1"/>
  <c r="N213" i="6" s="1"/>
  <c r="N214" i="6" s="1"/>
  <c r="N215" i="6" s="1"/>
  <c r="N216" i="6" s="1"/>
  <c r="N217" i="6" s="1"/>
  <c r="N218" i="6" s="1"/>
  <c r="N219" i="6" s="1"/>
  <c r="N220" i="6" s="1"/>
  <c r="N221" i="6" s="1"/>
  <c r="N222" i="6" s="1"/>
  <c r="N223" i="6" s="1"/>
  <c r="N224" i="6" s="1"/>
  <c r="N225" i="6" s="1"/>
  <c r="N226" i="6" s="1"/>
  <c r="N227" i="6" s="1"/>
  <c r="N228" i="6" s="1"/>
  <c r="N229" i="6" s="1"/>
  <c r="N230" i="6" s="1"/>
  <c r="N231" i="6" s="1"/>
  <c r="N232" i="6" s="1"/>
  <c r="N233" i="6" s="1"/>
  <c r="N234" i="6" s="1"/>
  <c r="N235" i="6" s="1"/>
  <c r="N236" i="6" s="1"/>
  <c r="N237" i="6" s="1"/>
  <c r="N238" i="6" s="1"/>
  <c r="N239" i="6" s="1"/>
  <c r="N240" i="6" s="1"/>
  <c r="N241" i="6" s="1"/>
  <c r="N242" i="6" s="1"/>
  <c r="N243" i="6" s="1"/>
  <c r="N244" i="6" s="1"/>
  <c r="N245" i="6" s="1"/>
  <c r="N246" i="6" s="1"/>
  <c r="N247" i="6" s="1"/>
  <c r="N248" i="6" s="1"/>
  <c r="N249" i="6" s="1"/>
  <c r="N250" i="6" s="1"/>
  <c r="N251" i="6" s="1"/>
  <c r="N252" i="6" s="1"/>
  <c r="N253" i="6" s="1"/>
  <c r="N254" i="6" s="1"/>
  <c r="N255" i="6" s="1"/>
  <c r="N256" i="6" s="1"/>
  <c r="N257" i="6" s="1"/>
  <c r="N258" i="6" s="1"/>
  <c r="N259" i="6" s="1"/>
  <c r="N260" i="6" s="1"/>
  <c r="N261" i="6" s="1"/>
  <c r="N262" i="6" s="1"/>
  <c r="N263" i="6" s="1"/>
  <c r="N264" i="6" s="1"/>
  <c r="N265" i="6" s="1"/>
  <c r="N266" i="6" s="1"/>
  <c r="N267" i="6" s="1"/>
  <c r="N268" i="6" s="1"/>
  <c r="N269" i="6" s="1"/>
  <c r="N270" i="6" s="1"/>
  <c r="N271" i="6" s="1"/>
  <c r="N272" i="6" s="1"/>
  <c r="N273" i="6" s="1"/>
  <c r="N274" i="6" s="1"/>
  <c r="N275" i="6" s="1"/>
  <c r="N276" i="6" s="1"/>
  <c r="N277" i="6" s="1"/>
  <c r="N278" i="6" s="1"/>
  <c r="N279" i="6" s="1"/>
  <c r="N280" i="6" s="1"/>
  <c r="N281" i="6" s="1"/>
  <c r="N282" i="6" s="1"/>
  <c r="N283" i="6" s="1"/>
  <c r="N284" i="6" s="1"/>
  <c r="N285" i="6" s="1"/>
  <c r="N286" i="6" s="1"/>
  <c r="N287" i="6" s="1"/>
  <c r="N288" i="6" s="1"/>
  <c r="N289" i="6" s="1"/>
  <c r="N290" i="6" s="1"/>
  <c r="N291" i="6" s="1"/>
  <c r="N292" i="6" s="1"/>
  <c r="N293" i="6" s="1"/>
  <c r="N294" i="6" s="1"/>
  <c r="N295" i="6" s="1"/>
  <c r="N296" i="6" s="1"/>
  <c r="N297" i="6" s="1"/>
  <c r="N298" i="6" s="1"/>
  <c r="N299" i="6" s="1"/>
  <c r="N300" i="6" s="1"/>
  <c r="N301" i="6" s="1"/>
  <c r="N302" i="6" s="1"/>
  <c r="N303" i="6" s="1"/>
  <c r="N304" i="6" s="1"/>
  <c r="N305" i="6" s="1"/>
  <c r="N306" i="6" s="1"/>
  <c r="N307" i="6" s="1"/>
  <c r="N308" i="6" s="1"/>
  <c r="N309" i="6" s="1"/>
  <c r="N310" i="6" s="1"/>
  <c r="N311" i="6" s="1"/>
  <c r="N312" i="6" s="1"/>
  <c r="N313" i="6" s="1"/>
  <c r="N314" i="6" s="1"/>
  <c r="N315" i="6" s="1"/>
  <c r="N316" i="6" s="1"/>
  <c r="N317" i="6" s="1"/>
  <c r="N318" i="6" s="1"/>
  <c r="N319" i="6" s="1"/>
  <c r="N320" i="6" s="1"/>
  <c r="N321" i="6" s="1"/>
  <c r="N322" i="6" s="1"/>
  <c r="N323" i="6" s="1"/>
  <c r="N324" i="6" s="1"/>
  <c r="N325" i="6" s="1"/>
  <c r="N326" i="6" s="1"/>
  <c r="N327" i="6" s="1"/>
  <c r="N328" i="6" s="1"/>
  <c r="N329" i="6" s="1"/>
  <c r="N330" i="6" s="1"/>
  <c r="N331" i="6" s="1"/>
  <c r="N332" i="6" s="1"/>
  <c r="N333" i="6" s="1"/>
  <c r="N334" i="6" s="1"/>
  <c r="N335" i="6" s="1"/>
  <c r="N336" i="6" s="1"/>
  <c r="N337" i="6" s="1"/>
  <c r="N338" i="6" s="1"/>
  <c r="N339" i="6" s="1"/>
  <c r="N340" i="6" s="1"/>
  <c r="N341" i="6" s="1"/>
  <c r="N342" i="6" s="1"/>
  <c r="N343" i="6" s="1"/>
  <c r="N344" i="6" s="1"/>
  <c r="N345" i="6" s="1"/>
  <c r="N346" i="6" s="1"/>
  <c r="N347" i="6" s="1"/>
  <c r="N348" i="6" s="1"/>
  <c r="N349" i="6" s="1"/>
  <c r="N350" i="6" s="1"/>
  <c r="N351" i="6" s="1"/>
  <c r="N352" i="6" s="1"/>
  <c r="N353" i="6" s="1"/>
  <c r="N354" i="6" s="1"/>
  <c r="N355" i="6" s="1"/>
  <c r="N356" i="6" s="1"/>
  <c r="N357" i="6" s="1"/>
  <c r="N358" i="6" s="1"/>
  <c r="N359" i="6" s="1"/>
  <c r="N360" i="6" s="1"/>
  <c r="N361" i="6" s="1"/>
  <c r="N362" i="6" s="1"/>
  <c r="N363" i="6" s="1"/>
  <c r="N364" i="6" s="1"/>
  <c r="N365" i="6" s="1"/>
  <c r="N366" i="6" s="1"/>
  <c r="N367" i="6" s="1"/>
  <c r="N368" i="6" s="1"/>
  <c r="N369" i="6" s="1"/>
  <c r="N370" i="6" s="1"/>
  <c r="N371" i="6" s="1"/>
  <c r="N372" i="6" s="1"/>
  <c r="N373" i="6" s="1"/>
  <c r="N374" i="6" s="1"/>
  <c r="N375" i="6" s="1"/>
  <c r="N376" i="6" s="1"/>
  <c r="N377" i="6" s="1"/>
  <c r="N378" i="6" s="1"/>
  <c r="N379" i="6" s="1"/>
  <c r="N380" i="6" s="1"/>
  <c r="N381" i="6" s="1"/>
  <c r="N382" i="6" s="1"/>
  <c r="N383" i="6" s="1"/>
  <c r="N384" i="6" s="1"/>
  <c r="N385" i="6" s="1"/>
  <c r="N386" i="6" s="1"/>
  <c r="N387" i="6" s="1"/>
  <c r="N388" i="6" s="1"/>
  <c r="N389" i="6" s="1"/>
  <c r="N390" i="6" s="1"/>
  <c r="N391" i="6" s="1"/>
  <c r="N392" i="6" s="1"/>
  <c r="N393" i="6" s="1"/>
  <c r="N394" i="6" s="1"/>
  <c r="N395" i="6" s="1"/>
  <c r="N396" i="6" s="1"/>
  <c r="N397" i="6" s="1"/>
  <c r="N398" i="6" s="1"/>
  <c r="N399" i="6" s="1"/>
  <c r="N400" i="6" s="1"/>
  <c r="N401" i="6" s="1"/>
  <c r="N402" i="6" s="1"/>
  <c r="N403" i="6" s="1"/>
  <c r="N404" i="6" s="1"/>
  <c r="N405" i="6" s="1"/>
  <c r="N406" i="6" s="1"/>
  <c r="N407" i="6" s="1"/>
  <c r="N408" i="6" s="1"/>
  <c r="N409" i="6" s="1"/>
  <c r="N410" i="6" s="1"/>
  <c r="N411" i="6" s="1"/>
  <c r="N412" i="6" s="1"/>
  <c r="N413" i="6" s="1"/>
  <c r="N414" i="6" s="1"/>
  <c r="N415" i="6" s="1"/>
  <c r="N416" i="6" s="1"/>
  <c r="N417" i="6" s="1"/>
  <c r="N418" i="6" s="1"/>
  <c r="N419" i="6" s="1"/>
  <c r="N420" i="6" s="1"/>
  <c r="N421" i="6" s="1"/>
  <c r="N422" i="6" s="1"/>
  <c r="N423" i="6" s="1"/>
  <c r="N424" i="6" s="1"/>
  <c r="N425" i="6" s="1"/>
  <c r="N426" i="6" s="1"/>
  <c r="N427" i="6" s="1"/>
  <c r="N428" i="6" s="1"/>
  <c r="N429" i="6" s="1"/>
  <c r="N430" i="6" s="1"/>
  <c r="N431" i="6" s="1"/>
  <c r="N432" i="6" s="1"/>
  <c r="N433" i="6" s="1"/>
  <c r="N434" i="6" s="1"/>
  <c r="N435" i="6" s="1"/>
  <c r="N436" i="6" s="1"/>
  <c r="N437" i="6" s="1"/>
  <c r="N438" i="6" s="1"/>
  <c r="N439" i="6" s="1"/>
  <c r="N440" i="6" s="1"/>
  <c r="N441" i="6" s="1"/>
  <c r="N442" i="6" s="1"/>
  <c r="N443" i="6" s="1"/>
  <c r="N444" i="6" s="1"/>
  <c r="N445" i="6" s="1"/>
  <c r="N446" i="6" s="1"/>
  <c r="N447" i="6" s="1"/>
  <c r="N448" i="6" s="1"/>
  <c r="N449" i="6" s="1"/>
  <c r="N450" i="6" s="1"/>
  <c r="N451" i="6" s="1"/>
  <c r="N452" i="6" s="1"/>
  <c r="N453" i="6" s="1"/>
  <c r="N454" i="6" s="1"/>
  <c r="N455" i="6" s="1"/>
  <c r="N456" i="6" s="1"/>
  <c r="N457" i="6" s="1"/>
  <c r="N458" i="6" s="1"/>
  <c r="N459" i="6" s="1"/>
  <c r="N460" i="6" s="1"/>
  <c r="N461" i="6" s="1"/>
  <c r="N462" i="6" s="1"/>
  <c r="N463" i="6" s="1"/>
  <c r="N464" i="6" s="1"/>
  <c r="N465" i="6" s="1"/>
  <c r="N466" i="6" s="1"/>
  <c r="N467" i="6" s="1"/>
  <c r="N468" i="6" s="1"/>
  <c r="N469" i="6" s="1"/>
  <c r="N470" i="6" s="1"/>
  <c r="N471" i="6" s="1"/>
  <c r="N472" i="6" s="1"/>
  <c r="N473" i="6" s="1"/>
  <c r="N474" i="6" s="1"/>
  <c r="N475" i="6" s="1"/>
  <c r="N476" i="6" s="1"/>
  <c r="N477" i="6" s="1"/>
  <c r="N478" i="6" s="1"/>
  <c r="N479" i="6" s="1"/>
  <c r="N480" i="6" s="1"/>
  <c r="N481" i="6" s="1"/>
  <c r="N482" i="6" s="1"/>
  <c r="N483" i="6" s="1"/>
  <c r="N484" i="6" s="1"/>
  <c r="N485" i="6" s="1"/>
  <c r="N486" i="6" s="1"/>
  <c r="N487" i="6" s="1"/>
  <c r="N488" i="6" s="1"/>
  <c r="N489" i="6" s="1"/>
  <c r="N490" i="6" s="1"/>
  <c r="N491" i="6" s="1"/>
  <c r="N492" i="6" s="1"/>
  <c r="N493" i="6" s="1"/>
  <c r="N494" i="6" s="1"/>
  <c r="N495" i="6" s="1"/>
  <c r="N496" i="6" s="1"/>
  <c r="N497" i="6" s="1"/>
  <c r="N498" i="6" s="1"/>
  <c r="N499" i="6" s="1"/>
  <c r="N500" i="6" s="1"/>
  <c r="N501" i="6" s="1"/>
  <c r="N502" i="6" s="1"/>
  <c r="N503" i="6" s="1"/>
  <c r="N504" i="6" s="1"/>
  <c r="N505" i="6" s="1"/>
  <c r="N506" i="6" s="1"/>
  <c r="N507" i="6" s="1"/>
  <c r="N508" i="6" s="1"/>
  <c r="N509" i="6" s="1"/>
  <c r="N510" i="6" s="1"/>
  <c r="N511" i="6" s="1"/>
  <c r="N512" i="6" s="1"/>
  <c r="N513" i="6" s="1"/>
  <c r="N514" i="6" s="1"/>
  <c r="N515" i="6" s="1"/>
  <c r="N516" i="6" s="1"/>
  <c r="N517" i="6" s="1"/>
  <c r="N518" i="6" s="1"/>
  <c r="N519" i="6" s="1"/>
  <c r="N520" i="6" s="1"/>
  <c r="N521" i="6" s="1"/>
  <c r="N522" i="6" s="1"/>
  <c r="N523" i="6" s="1"/>
  <c r="N524" i="6" s="1"/>
  <c r="N525" i="6" s="1"/>
  <c r="N526" i="6" s="1"/>
  <c r="N527" i="6" s="1"/>
  <c r="N528" i="6" s="1"/>
  <c r="N529" i="6" s="1"/>
  <c r="N530" i="6" s="1"/>
  <c r="N531" i="6" s="1"/>
  <c r="N532" i="6" s="1"/>
  <c r="N533" i="6" s="1"/>
  <c r="N534" i="6" s="1"/>
  <c r="N535" i="6" s="1"/>
  <c r="N536" i="6" s="1"/>
  <c r="N537" i="6" s="1"/>
  <c r="N538" i="6" s="1"/>
  <c r="N539" i="6" s="1"/>
  <c r="N540" i="6" s="1"/>
  <c r="N541" i="6" s="1"/>
  <c r="N542" i="6" s="1"/>
  <c r="N543" i="6" s="1"/>
  <c r="N544" i="6" s="1"/>
  <c r="N545" i="6" s="1"/>
  <c r="N546" i="6" s="1"/>
  <c r="N547" i="6" s="1"/>
  <c r="N548" i="6" s="1"/>
  <c r="N549" i="6" s="1"/>
  <c r="N550" i="6" s="1"/>
  <c r="N551" i="6" s="1"/>
  <c r="N552" i="6" s="1"/>
  <c r="N553" i="6" s="1"/>
  <c r="N554" i="6" s="1"/>
  <c r="N555" i="6" s="1"/>
  <c r="N556" i="6" s="1"/>
  <c r="N557" i="6" s="1"/>
  <c r="N558" i="6" s="1"/>
  <c r="N559" i="6" s="1"/>
  <c r="N560" i="6" s="1"/>
  <c r="N561" i="6" s="1"/>
  <c r="N562" i="6" s="1"/>
  <c r="N563" i="6" s="1"/>
  <c r="N564" i="6" s="1"/>
  <c r="N565" i="6" s="1"/>
  <c r="N566" i="6" s="1"/>
  <c r="N567" i="6" s="1"/>
  <c r="N568" i="6" s="1"/>
  <c r="N569" i="6" s="1"/>
  <c r="N570" i="6" s="1"/>
  <c r="N571" i="6" s="1"/>
  <c r="N572" i="6" s="1"/>
  <c r="N573" i="6" s="1"/>
  <c r="N574" i="6" s="1"/>
  <c r="N575" i="6" s="1"/>
  <c r="N576" i="6" s="1"/>
  <c r="N577" i="6" s="1"/>
  <c r="N578" i="6" s="1"/>
  <c r="N579" i="6" s="1"/>
  <c r="N580" i="6" s="1"/>
  <c r="N581" i="6" s="1"/>
  <c r="N582" i="6" s="1"/>
  <c r="N583" i="6" s="1"/>
  <c r="N584" i="6" s="1"/>
  <c r="N585" i="6" s="1"/>
  <c r="N586" i="6" s="1"/>
  <c r="N587" i="6" s="1"/>
  <c r="N588" i="6" s="1"/>
  <c r="N589" i="6" s="1"/>
  <c r="N590" i="6" s="1"/>
  <c r="N591" i="6" s="1"/>
  <c r="N121" i="6"/>
  <c r="P19" i="55"/>
  <c r="N592" i="6" l="1"/>
  <c r="P20" i="55"/>
  <c r="M7" i="52"/>
  <c r="E7" i="52"/>
  <c r="M6" i="52"/>
  <c r="M5" i="52"/>
  <c r="E157" i="6"/>
  <c r="M157" i="6" s="1"/>
  <c r="E158" i="6"/>
  <c r="M158" i="6" s="1"/>
  <c r="B13" i="52"/>
  <c r="C13" i="52"/>
  <c r="D13" i="52"/>
  <c r="F13" i="52"/>
  <c r="G13" i="52"/>
  <c r="H13" i="52"/>
  <c r="I13" i="52"/>
  <c r="J13" i="52"/>
  <c r="B14" i="52"/>
  <c r="C14" i="52"/>
  <c r="D14" i="52"/>
  <c r="F14" i="52"/>
  <c r="G14" i="52"/>
  <c r="H14" i="52"/>
  <c r="I14" i="52"/>
  <c r="J14" i="52"/>
  <c r="B15" i="52"/>
  <c r="C15" i="52"/>
  <c r="D15" i="52"/>
  <c r="F15" i="52"/>
  <c r="G15" i="52"/>
  <c r="H15" i="52"/>
  <c r="I15" i="52"/>
  <c r="J15" i="52"/>
  <c r="B16" i="52"/>
  <c r="C16" i="52"/>
  <c r="D16" i="52"/>
  <c r="F16" i="52"/>
  <c r="G16" i="52"/>
  <c r="H16" i="52"/>
  <c r="I16" i="52"/>
  <c r="J16" i="52"/>
  <c r="E351" i="6"/>
  <c r="M351" i="6" s="1"/>
  <c r="E352" i="6"/>
  <c r="M352" i="6" s="1"/>
  <c r="E353" i="6"/>
  <c r="M353" i="6" s="1"/>
  <c r="E354" i="6"/>
  <c r="M354" i="6" s="1"/>
  <c r="E350" i="6"/>
  <c r="M350" i="6" s="1"/>
  <c r="E324" i="6"/>
  <c r="M324" i="6" s="1"/>
  <c r="E309" i="6"/>
  <c r="E308" i="6"/>
  <c r="E306" i="6"/>
  <c r="M306" i="6" s="1"/>
  <c r="E305" i="6"/>
  <c r="M305" i="6" s="1"/>
  <c r="E301" i="6"/>
  <c r="M301" i="6" s="1"/>
  <c r="E282" i="6"/>
  <c r="M282" i="6" s="1"/>
  <c r="E190" i="6"/>
  <c r="M190" i="6" s="1"/>
  <c r="E184" i="6"/>
  <c r="M184" i="6" s="1"/>
  <c r="E182" i="6"/>
  <c r="E145" i="6"/>
  <c r="M82" i="6"/>
  <c r="E57" i="6"/>
  <c r="M57" i="6" s="1"/>
  <c r="E55" i="6"/>
  <c r="M55" i="6" s="1"/>
  <c r="E32" i="6"/>
  <c r="M32" i="6" s="1"/>
  <c r="E540" i="6"/>
  <c r="M540" i="6" s="1"/>
  <c r="E539" i="6"/>
  <c r="M539" i="6" s="1"/>
  <c r="E538" i="6"/>
  <c r="E532" i="6"/>
  <c r="E527" i="6"/>
  <c r="E507" i="6"/>
  <c r="M507" i="6" s="1"/>
  <c r="E503" i="6"/>
  <c r="M503" i="6" s="1"/>
  <c r="E502" i="6"/>
  <c r="E501" i="6"/>
  <c r="M501" i="6" s="1"/>
  <c r="E500" i="6"/>
  <c r="M500" i="6" s="1"/>
  <c r="E499" i="6"/>
  <c r="E489" i="6"/>
  <c r="E488" i="6"/>
  <c r="E468" i="6"/>
  <c r="M468" i="6" s="1"/>
  <c r="E467" i="6"/>
  <c r="E460" i="6"/>
  <c r="M460" i="6" s="1"/>
  <c r="E454" i="6"/>
  <c r="M454" i="6" s="1"/>
  <c r="E452" i="6"/>
  <c r="M452" i="6" s="1"/>
  <c r="E451" i="6"/>
  <c r="E450" i="6"/>
  <c r="E449" i="6"/>
  <c r="E446" i="6"/>
  <c r="M446" i="6" s="1"/>
  <c r="E445" i="6"/>
  <c r="E439" i="6"/>
  <c r="E434" i="6"/>
  <c r="E433" i="6"/>
  <c r="M433" i="6" s="1"/>
  <c r="E413" i="6"/>
  <c r="E412" i="6"/>
  <c r="E404" i="6"/>
  <c r="E396" i="6"/>
  <c r="M396" i="6" s="1"/>
  <c r="E359" i="6"/>
  <c r="M359" i="6" s="1"/>
  <c r="E358" i="6"/>
  <c r="E355" i="6"/>
  <c r="M355" i="6" s="1"/>
  <c r="E341" i="6"/>
  <c r="M341" i="6" s="1"/>
  <c r="E340" i="6"/>
  <c r="E339" i="6"/>
  <c r="E327" i="6"/>
  <c r="E325" i="6"/>
  <c r="M325" i="6" s="1"/>
  <c r="E290" i="6"/>
  <c r="M290" i="6" s="1"/>
  <c r="E289" i="6"/>
  <c r="E285" i="6"/>
  <c r="M285" i="6" s="1"/>
  <c r="E284" i="6"/>
  <c r="M284" i="6" s="1"/>
  <c r="E283" i="6"/>
  <c r="E271" i="6"/>
  <c r="E269" i="6"/>
  <c r="E195" i="6"/>
  <c r="M195" i="6" s="1"/>
  <c r="E194" i="6"/>
  <c r="M194" i="6" s="1"/>
  <c r="E177" i="6"/>
  <c r="E176" i="6"/>
  <c r="M176" i="6" s="1"/>
  <c r="E175" i="6"/>
  <c r="M175" i="6" s="1"/>
  <c r="E168" i="6"/>
  <c r="E164" i="6"/>
  <c r="E161" i="6"/>
  <c r="E140" i="6"/>
  <c r="M140" i="6" s="1"/>
  <c r="E135" i="6"/>
  <c r="E122" i="6"/>
  <c r="M122" i="6" s="1"/>
  <c r="E116" i="6"/>
  <c r="M116" i="6" s="1"/>
  <c r="E110" i="6"/>
  <c r="E108" i="6"/>
  <c r="E107" i="6"/>
  <c r="E106" i="6"/>
  <c r="M106" i="6" s="1"/>
  <c r="E105" i="6"/>
  <c r="M105" i="6" s="1"/>
  <c r="E97" i="6"/>
  <c r="E91" i="6"/>
  <c r="M91" i="6" s="1"/>
  <c r="E89" i="6"/>
  <c r="M89" i="6" s="1"/>
  <c r="E87" i="6"/>
  <c r="E84" i="6"/>
  <c r="E80" i="6"/>
  <c r="E79" i="6"/>
  <c r="M79" i="6" s="1"/>
  <c r="E78" i="6"/>
  <c r="M78" i="6" s="1"/>
  <c r="E70" i="6"/>
  <c r="E67" i="6"/>
  <c r="M67" i="6" s="1"/>
  <c r="E66" i="6"/>
  <c r="M66" i="6" s="1"/>
  <c r="E65" i="6"/>
  <c r="E58" i="6"/>
  <c r="E56" i="6"/>
  <c r="E50" i="6"/>
  <c r="M50" i="6" s="1"/>
  <c r="E45" i="6"/>
  <c r="M45" i="6" s="1"/>
  <c r="E43" i="6"/>
  <c r="E38" i="6"/>
  <c r="M38" i="6" s="1"/>
  <c r="E31" i="6"/>
  <c r="M31" i="6" s="1"/>
  <c r="E25" i="6"/>
  <c r="E24" i="6"/>
  <c r="E23" i="6"/>
  <c r="E22" i="6"/>
  <c r="M22" i="6" s="1"/>
  <c r="H1" i="52"/>
  <c r="A1" i="52"/>
  <c r="B1" i="52"/>
  <c r="C1" i="52"/>
  <c r="D1" i="52"/>
  <c r="F1" i="52"/>
  <c r="G1" i="52"/>
  <c r="I1" i="52"/>
  <c r="J1" i="52"/>
  <c r="A2" i="52"/>
  <c r="B2" i="52"/>
  <c r="C2" i="52"/>
  <c r="D2" i="52"/>
  <c r="F2" i="52"/>
  <c r="G2" i="52"/>
  <c r="H2" i="52"/>
  <c r="I2" i="52"/>
  <c r="J2" i="52"/>
  <c r="A3" i="52"/>
  <c r="B3" i="52"/>
  <c r="C3" i="52"/>
  <c r="D3" i="52"/>
  <c r="F3" i="52"/>
  <c r="G3" i="52"/>
  <c r="H3" i="52"/>
  <c r="I3" i="52"/>
  <c r="J3" i="52"/>
  <c r="A8" i="52"/>
  <c r="B8" i="52"/>
  <c r="C8" i="52"/>
  <c r="D8" i="52"/>
  <c r="F8" i="52"/>
  <c r="G8" i="52"/>
  <c r="H8" i="52"/>
  <c r="I8" i="52"/>
  <c r="J8" i="52"/>
  <c r="A11" i="52"/>
  <c r="B11" i="52"/>
  <c r="C11" i="52"/>
  <c r="D11" i="52"/>
  <c r="F11" i="52"/>
  <c r="G11" i="52"/>
  <c r="H11" i="52"/>
  <c r="I11" i="52"/>
  <c r="J11" i="52"/>
  <c r="A12" i="52"/>
  <c r="B12" i="52"/>
  <c r="C12" i="52"/>
  <c r="D12" i="52"/>
  <c r="F12" i="52"/>
  <c r="G12" i="52"/>
  <c r="H12" i="52"/>
  <c r="I12" i="52"/>
  <c r="J12" i="52"/>
  <c r="A9" i="52"/>
  <c r="B9" i="52"/>
  <c r="C9" i="52"/>
  <c r="D9" i="52"/>
  <c r="F9" i="52"/>
  <c r="G9" i="52"/>
  <c r="H9" i="52"/>
  <c r="I9" i="52"/>
  <c r="J9" i="52"/>
  <c r="A10" i="52"/>
  <c r="B10" i="52"/>
  <c r="C10" i="52"/>
  <c r="D10" i="52"/>
  <c r="F10" i="52"/>
  <c r="G10" i="52"/>
  <c r="H10" i="52"/>
  <c r="I10" i="52"/>
  <c r="J10" i="52"/>
  <c r="A13" i="52"/>
  <c r="A14" i="52"/>
  <c r="A15" i="52"/>
  <c r="A16" i="52"/>
  <c r="A4" i="52"/>
  <c r="B4" i="52"/>
  <c r="C4" i="52"/>
  <c r="D4" i="52"/>
  <c r="F4" i="52"/>
  <c r="G4" i="52"/>
  <c r="H4" i="52"/>
  <c r="I4" i="52"/>
  <c r="J4" i="52"/>
  <c r="E312" i="6"/>
  <c r="M312" i="6" s="1"/>
  <c r="M622" i="23"/>
  <c r="M621" i="23"/>
  <c r="M620" i="23"/>
  <c r="M619" i="23"/>
  <c r="M618" i="23"/>
  <c r="M617" i="23"/>
  <c r="M616" i="23"/>
  <c r="M615" i="23"/>
  <c r="M614" i="23"/>
  <c r="M613" i="23"/>
  <c r="M612" i="23"/>
  <c r="M611" i="23"/>
  <c r="M610" i="23"/>
  <c r="M609" i="23"/>
  <c r="M608" i="23"/>
  <c r="M607" i="23"/>
  <c r="M606" i="23"/>
  <c r="M605" i="23"/>
  <c r="M604" i="23"/>
  <c r="M603" i="23"/>
  <c r="M602" i="23"/>
  <c r="M601" i="23"/>
  <c r="M600" i="23"/>
  <c r="M599" i="23"/>
  <c r="M598" i="23"/>
  <c r="M597" i="23"/>
  <c r="M596" i="23"/>
  <c r="M595" i="23"/>
  <c r="M594" i="23"/>
  <c r="M593" i="23"/>
  <c r="M592" i="23"/>
  <c r="M591" i="23"/>
  <c r="M590" i="23"/>
  <c r="M589" i="23"/>
  <c r="M588" i="23"/>
  <c r="M587" i="23"/>
  <c r="M586" i="23"/>
  <c r="M585" i="23"/>
  <c r="M584" i="23"/>
  <c r="M583" i="23"/>
  <c r="M582" i="23"/>
  <c r="M581" i="23"/>
  <c r="M580" i="23"/>
  <c r="M579" i="23"/>
  <c r="M578" i="23"/>
  <c r="M577" i="23"/>
  <c r="M576" i="23"/>
  <c r="M575" i="23"/>
  <c r="M574" i="23"/>
  <c r="M573" i="23"/>
  <c r="M572" i="23"/>
  <c r="M571" i="23"/>
  <c r="M570" i="23"/>
  <c r="M569" i="23"/>
  <c r="M568" i="23"/>
  <c r="M567" i="23"/>
  <c r="M566" i="23"/>
  <c r="M565" i="23"/>
  <c r="M564" i="23"/>
  <c r="M563" i="23"/>
  <c r="M562" i="23"/>
  <c r="M561" i="23"/>
  <c r="M560" i="23"/>
  <c r="M559" i="23"/>
  <c r="M558" i="23"/>
  <c r="M557" i="23"/>
  <c r="M556" i="23"/>
  <c r="M555" i="23"/>
  <c r="M554" i="23"/>
  <c r="M553" i="23"/>
  <c r="M552" i="23"/>
  <c r="M551" i="23"/>
  <c r="M550" i="23"/>
  <c r="M549" i="23"/>
  <c r="M548" i="23"/>
  <c r="M547" i="23"/>
  <c r="M546" i="23"/>
  <c r="M545" i="23"/>
  <c r="M544" i="23"/>
  <c r="M543" i="23"/>
  <c r="M542" i="23"/>
  <c r="M541" i="23"/>
  <c r="M540" i="23"/>
  <c r="M539" i="23"/>
  <c r="M538" i="23"/>
  <c r="M537" i="23"/>
  <c r="M536" i="23"/>
  <c r="M535" i="23"/>
  <c r="M534" i="23"/>
  <c r="M533" i="23"/>
  <c r="M532" i="23"/>
  <c r="M531" i="23"/>
  <c r="M530" i="23"/>
  <c r="M529" i="23"/>
  <c r="M528" i="23"/>
  <c r="M527" i="23"/>
  <c r="M526" i="23"/>
  <c r="M525" i="23"/>
  <c r="M524" i="23"/>
  <c r="M523" i="23"/>
  <c r="M522" i="23"/>
  <c r="M521" i="23"/>
  <c r="M520" i="23"/>
  <c r="M519" i="23"/>
  <c r="M518" i="23"/>
  <c r="M517" i="23"/>
  <c r="M516" i="23"/>
  <c r="M515" i="23"/>
  <c r="M514" i="23"/>
  <c r="M513" i="23"/>
  <c r="M512" i="23"/>
  <c r="M511" i="23"/>
  <c r="M510" i="23"/>
  <c r="M509" i="23"/>
  <c r="M508" i="23"/>
  <c r="M507" i="23"/>
  <c r="M506" i="23"/>
  <c r="M505" i="23"/>
  <c r="M504" i="23"/>
  <c r="M503" i="23"/>
  <c r="M502" i="23"/>
  <c r="M501" i="23"/>
  <c r="M500" i="23"/>
  <c r="M499" i="23"/>
  <c r="M498" i="23"/>
  <c r="M497" i="23"/>
  <c r="M496" i="23"/>
  <c r="M495" i="23"/>
  <c r="M494" i="23"/>
  <c r="M493" i="23"/>
  <c r="M492" i="23"/>
  <c r="M491" i="23"/>
  <c r="M490" i="23"/>
  <c r="M489" i="23"/>
  <c r="M488" i="23"/>
  <c r="M487" i="23"/>
  <c r="M486" i="23"/>
  <c r="M485" i="23"/>
  <c r="M484" i="23"/>
  <c r="M483" i="23"/>
  <c r="M482" i="23"/>
  <c r="M481" i="23"/>
  <c r="M480" i="23"/>
  <c r="M479" i="23"/>
  <c r="M478" i="23"/>
  <c r="M477" i="23"/>
  <c r="M476" i="23"/>
  <c r="M475" i="23"/>
  <c r="M474" i="23"/>
  <c r="M473" i="23"/>
  <c r="M472" i="23"/>
  <c r="M471" i="23"/>
  <c r="M470" i="23"/>
  <c r="M469" i="23"/>
  <c r="M468" i="23"/>
  <c r="M467" i="23"/>
  <c r="M466" i="23"/>
  <c r="M465" i="23"/>
  <c r="M464" i="23"/>
  <c r="M463" i="23"/>
  <c r="M462" i="23"/>
  <c r="M461" i="23"/>
  <c r="M460" i="23"/>
  <c r="M459" i="23"/>
  <c r="M458" i="23"/>
  <c r="M457" i="23"/>
  <c r="M456" i="23"/>
  <c r="M455" i="23"/>
  <c r="M454" i="23"/>
  <c r="M453" i="23"/>
  <c r="M452" i="23"/>
  <c r="M451" i="23"/>
  <c r="M450" i="23"/>
  <c r="M449" i="23"/>
  <c r="M448" i="23"/>
  <c r="M447" i="23"/>
  <c r="M446" i="23"/>
  <c r="M445" i="23"/>
  <c r="M444" i="23"/>
  <c r="M443" i="23"/>
  <c r="M442" i="23"/>
  <c r="M441" i="23"/>
  <c r="M440" i="23"/>
  <c r="M439" i="23"/>
  <c r="M438" i="23"/>
  <c r="M437" i="23"/>
  <c r="M436" i="23"/>
  <c r="M435" i="23"/>
  <c r="M434" i="23"/>
  <c r="M433" i="23"/>
  <c r="M432" i="23"/>
  <c r="M431" i="23"/>
  <c r="M430" i="23"/>
  <c r="M429" i="23"/>
  <c r="M428" i="23"/>
  <c r="M427" i="23"/>
  <c r="M426" i="23"/>
  <c r="M425" i="23"/>
  <c r="M424" i="23"/>
  <c r="M423" i="23"/>
  <c r="M422" i="23"/>
  <c r="M421" i="23"/>
  <c r="M420" i="23"/>
  <c r="M419" i="23"/>
  <c r="M418" i="23"/>
  <c r="M417" i="23"/>
  <c r="M416" i="23"/>
  <c r="M415" i="23"/>
  <c r="M414" i="23"/>
  <c r="M413" i="23"/>
  <c r="M412" i="23"/>
  <c r="M411" i="23"/>
  <c r="M410" i="23"/>
  <c r="M409" i="23"/>
  <c r="M408" i="23"/>
  <c r="M407" i="23"/>
  <c r="M406" i="23"/>
  <c r="M405" i="23"/>
  <c r="M404" i="23"/>
  <c r="M403" i="23"/>
  <c r="M402" i="23"/>
  <c r="M401" i="23"/>
  <c r="M400" i="23"/>
  <c r="M399" i="23"/>
  <c r="M398" i="23"/>
  <c r="M397" i="23"/>
  <c r="M396" i="23"/>
  <c r="M395" i="23"/>
  <c r="M394" i="23"/>
  <c r="M393" i="23"/>
  <c r="M392" i="23"/>
  <c r="M391" i="23"/>
  <c r="M390" i="23"/>
  <c r="M389" i="23"/>
  <c r="M388" i="23"/>
  <c r="M387" i="23"/>
  <c r="M386" i="23"/>
  <c r="M385" i="23"/>
  <c r="M384" i="23"/>
  <c r="M383" i="23"/>
  <c r="M382" i="23"/>
  <c r="M381" i="23"/>
  <c r="M380" i="23"/>
  <c r="M379" i="23"/>
  <c r="M378" i="23"/>
  <c r="M377" i="23"/>
  <c r="M376" i="23"/>
  <c r="M375" i="23"/>
  <c r="M374" i="23"/>
  <c r="M373" i="23"/>
  <c r="M372" i="23"/>
  <c r="M371" i="23"/>
  <c r="M370" i="23"/>
  <c r="M369" i="23"/>
  <c r="M368" i="23"/>
  <c r="M367" i="23"/>
  <c r="M366" i="23"/>
  <c r="M365" i="23"/>
  <c r="M364" i="23"/>
  <c r="M363" i="23"/>
  <c r="M362" i="23"/>
  <c r="M361" i="23"/>
  <c r="M360" i="23"/>
  <c r="M359" i="23"/>
  <c r="M358" i="23"/>
  <c r="M357" i="23"/>
  <c r="M356" i="23"/>
  <c r="M355" i="23"/>
  <c r="M354" i="23"/>
  <c r="M353" i="23"/>
  <c r="M352" i="23"/>
  <c r="M351" i="23"/>
  <c r="M350" i="23"/>
  <c r="M349" i="23"/>
  <c r="M348" i="23"/>
  <c r="M347" i="23"/>
  <c r="M346" i="23"/>
  <c r="M345" i="23"/>
  <c r="M344" i="23"/>
  <c r="M343" i="23"/>
  <c r="M342" i="23"/>
  <c r="M341" i="23"/>
  <c r="M340" i="23"/>
  <c r="M339" i="23"/>
  <c r="M338" i="23"/>
  <c r="M337" i="23"/>
  <c r="M336" i="23"/>
  <c r="M335" i="23"/>
  <c r="M334" i="23"/>
  <c r="M333" i="23"/>
  <c r="M332" i="23"/>
  <c r="M331" i="23"/>
  <c r="M330" i="23"/>
  <c r="M329" i="23"/>
  <c r="M328" i="23"/>
  <c r="M327" i="23"/>
  <c r="M326" i="23"/>
  <c r="M325" i="23"/>
  <c r="M324" i="23"/>
  <c r="M323" i="23"/>
  <c r="M322" i="23"/>
  <c r="M321" i="23"/>
  <c r="M320" i="23"/>
  <c r="M319" i="23"/>
  <c r="M318" i="23"/>
  <c r="M317" i="23"/>
  <c r="M316" i="23"/>
  <c r="M315" i="23"/>
  <c r="M314" i="23"/>
  <c r="M313" i="23"/>
  <c r="M312" i="23"/>
  <c r="M311" i="23"/>
  <c r="M310" i="23"/>
  <c r="M309" i="23"/>
  <c r="M308" i="23"/>
  <c r="M307" i="23"/>
  <c r="M306" i="23"/>
  <c r="M305" i="23"/>
  <c r="M304" i="23"/>
  <c r="M303" i="23"/>
  <c r="M302" i="23"/>
  <c r="M301" i="23"/>
  <c r="M300" i="23"/>
  <c r="M299" i="23"/>
  <c r="M298" i="23"/>
  <c r="M297" i="23"/>
  <c r="M296" i="23"/>
  <c r="M295" i="23"/>
  <c r="M294" i="23"/>
  <c r="M293" i="23"/>
  <c r="M292" i="23"/>
  <c r="M291" i="23"/>
  <c r="M290" i="23"/>
  <c r="M289" i="23"/>
  <c r="M288" i="23"/>
  <c r="M287" i="23"/>
  <c r="M286" i="23"/>
  <c r="M285" i="23"/>
  <c r="M284" i="23"/>
  <c r="M283" i="23"/>
  <c r="M282" i="23"/>
  <c r="M269" i="23"/>
  <c r="M268" i="23"/>
  <c r="M267" i="23"/>
  <c r="M266" i="23"/>
  <c r="M265" i="23"/>
  <c r="M264" i="23"/>
  <c r="M263" i="23"/>
  <c r="M262" i="23"/>
  <c r="M261" i="23"/>
  <c r="M260" i="23"/>
  <c r="M259" i="23"/>
  <c r="M258" i="23"/>
  <c r="M257" i="23"/>
  <c r="M243" i="23"/>
  <c r="M242" i="23"/>
  <c r="M241" i="23"/>
  <c r="M240" i="23"/>
  <c r="M234" i="23"/>
  <c r="M233" i="23"/>
  <c r="M232" i="23"/>
  <c r="M231" i="23"/>
  <c r="M228" i="23"/>
  <c r="M227" i="23"/>
  <c r="M226" i="23"/>
  <c r="M225" i="23"/>
  <c r="M224" i="23"/>
  <c r="M223" i="23"/>
  <c r="M222" i="23"/>
  <c r="M221" i="23"/>
  <c r="M220" i="23"/>
  <c r="M219" i="23"/>
  <c r="M218" i="23"/>
  <c r="M217" i="23"/>
  <c r="M216" i="23"/>
  <c r="M215" i="23"/>
  <c r="M214" i="23"/>
  <c r="M213" i="23"/>
  <c r="M212" i="23"/>
  <c r="M211" i="23"/>
  <c r="M210" i="23"/>
  <c r="M209" i="23"/>
  <c r="M208" i="23"/>
  <c r="M207" i="23"/>
  <c r="M206" i="23"/>
  <c r="M205" i="23"/>
  <c r="M204" i="23"/>
  <c r="M203" i="23"/>
  <c r="M202" i="23"/>
  <c r="M201" i="23"/>
  <c r="M200" i="23"/>
  <c r="M199" i="23"/>
  <c r="M198" i="23"/>
  <c r="M197" i="23"/>
  <c r="M196" i="23"/>
  <c r="M195" i="23"/>
  <c r="M194" i="23"/>
  <c r="M193" i="23"/>
  <c r="M192" i="23"/>
  <c r="M189" i="23"/>
  <c r="M188" i="23"/>
  <c r="M187" i="23"/>
  <c r="M186" i="23"/>
  <c r="M185" i="23"/>
  <c r="M184" i="23"/>
  <c r="M183" i="23"/>
  <c r="M182" i="23"/>
  <c r="M181" i="23"/>
  <c r="M180" i="23"/>
  <c r="M179" i="23"/>
  <c r="M178" i="23"/>
  <c r="M177" i="23"/>
  <c r="M176" i="23"/>
  <c r="M175" i="23"/>
  <c r="M174" i="23"/>
  <c r="M173" i="23"/>
  <c r="M172" i="23"/>
  <c r="M171" i="23"/>
  <c r="M170" i="23"/>
  <c r="M169" i="23"/>
  <c r="M168" i="23"/>
  <c r="M167" i="23"/>
  <c r="M166" i="23"/>
  <c r="M165" i="23"/>
  <c r="M164" i="23"/>
  <c r="M163" i="23"/>
  <c r="M162" i="23"/>
  <c r="M161" i="23"/>
  <c r="M160" i="23"/>
  <c r="M159" i="23"/>
  <c r="M158" i="23"/>
  <c r="M157" i="23"/>
  <c r="M156" i="23"/>
  <c r="M155" i="23"/>
  <c r="M154" i="23"/>
  <c r="M153" i="23"/>
  <c r="M152" i="23"/>
  <c r="M151" i="23"/>
  <c r="M150" i="23"/>
  <c r="M149" i="23"/>
  <c r="M148" i="23"/>
  <c r="M147" i="23"/>
  <c r="M146" i="23"/>
  <c r="M145" i="23"/>
  <c r="M144" i="23"/>
  <c r="M143" i="23"/>
  <c r="M142" i="23"/>
  <c r="M141" i="23"/>
  <c r="M140" i="23"/>
  <c r="M139" i="23"/>
  <c r="M138" i="23"/>
  <c r="M137" i="23"/>
  <c r="M136" i="23"/>
  <c r="M135" i="23"/>
  <c r="M134" i="23"/>
  <c r="M133" i="23"/>
  <c r="M132" i="23"/>
  <c r="M131" i="23"/>
  <c r="M130" i="23"/>
  <c r="M129" i="23"/>
  <c r="M128" i="23"/>
  <c r="M127" i="23"/>
  <c r="M126" i="23"/>
  <c r="M125" i="23"/>
  <c r="M124" i="23"/>
  <c r="M123" i="23"/>
  <c r="M122" i="23"/>
  <c r="M121" i="23"/>
  <c r="M120" i="23"/>
  <c r="M119" i="23"/>
  <c r="M118" i="23"/>
  <c r="M117" i="23"/>
  <c r="M116" i="23"/>
  <c r="M115" i="23"/>
  <c r="M114" i="23"/>
  <c r="M113" i="23"/>
  <c r="M112" i="23"/>
  <c r="M111" i="23"/>
  <c r="M110" i="23"/>
  <c r="M109" i="23"/>
  <c r="M108" i="23"/>
  <c r="M107" i="23"/>
  <c r="M106" i="23"/>
  <c r="M105" i="23"/>
  <c r="M104" i="23"/>
  <c r="M103" i="23"/>
  <c r="M102" i="23"/>
  <c r="M101" i="23"/>
  <c r="M100" i="23"/>
  <c r="M99" i="23"/>
  <c r="M98" i="23"/>
  <c r="M97" i="23"/>
  <c r="M96" i="23"/>
  <c r="M95" i="23"/>
  <c r="M94" i="23"/>
  <c r="M93" i="23"/>
  <c r="M92" i="23"/>
  <c r="M91" i="23"/>
  <c r="M90" i="23"/>
  <c r="M89" i="23"/>
  <c r="M88" i="23"/>
  <c r="M87" i="23"/>
  <c r="M86" i="23"/>
  <c r="M85" i="23"/>
  <c r="M84" i="23"/>
  <c r="M83" i="23"/>
  <c r="M82" i="23"/>
  <c r="M81" i="23"/>
  <c r="M80" i="23"/>
  <c r="M79" i="23"/>
  <c r="M78" i="23"/>
  <c r="M77" i="23"/>
  <c r="M76" i="23"/>
  <c r="M75" i="23"/>
  <c r="M74" i="23"/>
  <c r="M73" i="23"/>
  <c r="M72" i="23"/>
  <c r="M71" i="23"/>
  <c r="M70" i="23"/>
  <c r="M69" i="23"/>
  <c r="M68" i="23"/>
  <c r="M67" i="23"/>
  <c r="M66" i="23"/>
  <c r="M65" i="23"/>
  <c r="M64" i="23"/>
  <c r="M63" i="23"/>
  <c r="M62" i="23"/>
  <c r="M61" i="23"/>
  <c r="M60" i="23"/>
  <c r="M59" i="23"/>
  <c r="M58" i="23"/>
  <c r="M57" i="23"/>
  <c r="M56" i="23"/>
  <c r="M55" i="23"/>
  <c r="M54" i="23"/>
  <c r="M53" i="23"/>
  <c r="M52" i="23"/>
  <c r="M51" i="23"/>
  <c r="M50" i="23"/>
  <c r="M49" i="23"/>
  <c r="M48" i="23"/>
  <c r="M47" i="23"/>
  <c r="M46" i="23"/>
  <c r="M45" i="23"/>
  <c r="M44" i="23"/>
  <c r="M43" i="23"/>
  <c r="M42" i="23"/>
  <c r="M41" i="23"/>
  <c r="K622" i="23"/>
  <c r="I622" i="23"/>
  <c r="K621" i="23"/>
  <c r="I621" i="23"/>
  <c r="K620" i="23"/>
  <c r="I620" i="23"/>
  <c r="K619" i="23"/>
  <c r="I619" i="23"/>
  <c r="K618" i="23"/>
  <c r="I618" i="23"/>
  <c r="K617" i="23"/>
  <c r="I617" i="23"/>
  <c r="K616" i="23"/>
  <c r="I616" i="23"/>
  <c r="K615" i="23"/>
  <c r="I615" i="23"/>
  <c r="K614" i="23"/>
  <c r="I614" i="23"/>
  <c r="K613" i="23"/>
  <c r="I613" i="23"/>
  <c r="K612" i="23"/>
  <c r="I612" i="23"/>
  <c r="K611" i="23"/>
  <c r="I611" i="23"/>
  <c r="K610" i="23"/>
  <c r="I610" i="23"/>
  <c r="K609" i="23"/>
  <c r="I609" i="23"/>
  <c r="K608" i="23"/>
  <c r="I608" i="23"/>
  <c r="K607" i="23"/>
  <c r="I607" i="23"/>
  <c r="K606" i="23"/>
  <c r="I606" i="23"/>
  <c r="K605" i="23"/>
  <c r="I605" i="23"/>
  <c r="K604" i="23"/>
  <c r="I604" i="23"/>
  <c r="K603" i="23"/>
  <c r="I603" i="23"/>
  <c r="K602" i="23"/>
  <c r="I602" i="23"/>
  <c r="K601" i="23"/>
  <c r="I601" i="23"/>
  <c r="K600" i="23"/>
  <c r="I600" i="23"/>
  <c r="K599" i="23"/>
  <c r="I599" i="23"/>
  <c r="K598" i="23"/>
  <c r="I598" i="23"/>
  <c r="K597" i="23"/>
  <c r="I597" i="23"/>
  <c r="K596" i="23"/>
  <c r="I596" i="23"/>
  <c r="K595" i="23"/>
  <c r="I595" i="23"/>
  <c r="K594" i="23"/>
  <c r="I594" i="23"/>
  <c r="K593" i="23"/>
  <c r="I593" i="23"/>
  <c r="K592" i="23"/>
  <c r="I592" i="23"/>
  <c r="K591" i="23"/>
  <c r="I591" i="23"/>
  <c r="K590" i="23"/>
  <c r="I590" i="23"/>
  <c r="K589" i="23"/>
  <c r="I589" i="23"/>
  <c r="K588" i="23"/>
  <c r="I588" i="23"/>
  <c r="K587" i="23"/>
  <c r="I587" i="23"/>
  <c r="K586" i="23"/>
  <c r="I586" i="23"/>
  <c r="K585" i="23"/>
  <c r="I585" i="23"/>
  <c r="K584" i="23"/>
  <c r="I584" i="23"/>
  <c r="K583" i="23"/>
  <c r="I583" i="23"/>
  <c r="K582" i="23"/>
  <c r="I582" i="23"/>
  <c r="K581" i="23"/>
  <c r="I581" i="23"/>
  <c r="K580" i="23"/>
  <c r="I580" i="23"/>
  <c r="K579" i="23"/>
  <c r="I579" i="23"/>
  <c r="K578" i="23"/>
  <c r="I578" i="23"/>
  <c r="K577" i="23"/>
  <c r="I577" i="23"/>
  <c r="K576" i="23"/>
  <c r="I576" i="23"/>
  <c r="K575" i="23"/>
  <c r="I575" i="23"/>
  <c r="K574" i="23"/>
  <c r="I574" i="23"/>
  <c r="K573" i="23"/>
  <c r="I573" i="23"/>
  <c r="K572" i="23"/>
  <c r="I572" i="23"/>
  <c r="K571" i="23"/>
  <c r="I571" i="23"/>
  <c r="K570" i="23"/>
  <c r="I570" i="23"/>
  <c r="K569" i="23"/>
  <c r="I569" i="23"/>
  <c r="K568" i="23"/>
  <c r="I568" i="23"/>
  <c r="K567" i="23"/>
  <c r="I567" i="23"/>
  <c r="K566" i="23"/>
  <c r="I566" i="23"/>
  <c r="K565" i="23"/>
  <c r="I565" i="23"/>
  <c r="K564" i="23"/>
  <c r="I564" i="23"/>
  <c r="K563" i="23"/>
  <c r="I563" i="23"/>
  <c r="K562" i="23"/>
  <c r="I562" i="23"/>
  <c r="K561" i="23"/>
  <c r="I561" i="23"/>
  <c r="K560" i="23"/>
  <c r="I560" i="23"/>
  <c r="K559" i="23"/>
  <c r="I559" i="23"/>
  <c r="K558" i="23"/>
  <c r="I558" i="23"/>
  <c r="K557" i="23"/>
  <c r="I557" i="23"/>
  <c r="K556" i="23"/>
  <c r="I556" i="23"/>
  <c r="K555" i="23"/>
  <c r="I555" i="23"/>
  <c r="K554" i="23"/>
  <c r="I554" i="23"/>
  <c r="K553" i="23"/>
  <c r="I553" i="23"/>
  <c r="K552" i="23"/>
  <c r="I552" i="23"/>
  <c r="K551" i="23"/>
  <c r="I551" i="23"/>
  <c r="K550" i="23"/>
  <c r="I550" i="23"/>
  <c r="K549" i="23"/>
  <c r="I549" i="23"/>
  <c r="K548" i="23"/>
  <c r="I548" i="23"/>
  <c r="K547" i="23"/>
  <c r="I547" i="23"/>
  <c r="K546" i="23"/>
  <c r="I546" i="23"/>
  <c r="K545" i="23"/>
  <c r="I545" i="23"/>
  <c r="K544" i="23"/>
  <c r="I544" i="23"/>
  <c r="K543" i="23"/>
  <c r="I543" i="23"/>
  <c r="K542" i="23"/>
  <c r="I542" i="23"/>
  <c r="K541" i="23"/>
  <c r="I541" i="23"/>
  <c r="K540" i="23"/>
  <c r="I540" i="23"/>
  <c r="K539" i="23"/>
  <c r="I539" i="23"/>
  <c r="K538" i="23"/>
  <c r="I538" i="23"/>
  <c r="K537" i="23"/>
  <c r="I537" i="23"/>
  <c r="K536" i="23"/>
  <c r="I536" i="23"/>
  <c r="K535" i="23"/>
  <c r="I535" i="23"/>
  <c r="K534" i="23"/>
  <c r="I534" i="23"/>
  <c r="K533" i="23"/>
  <c r="I533" i="23"/>
  <c r="K532" i="23"/>
  <c r="I532" i="23"/>
  <c r="K531" i="23"/>
  <c r="I531" i="23"/>
  <c r="K530" i="23"/>
  <c r="I530" i="23"/>
  <c r="K529" i="23"/>
  <c r="I529" i="23"/>
  <c r="K528" i="23"/>
  <c r="I528" i="23"/>
  <c r="K527" i="23"/>
  <c r="I527" i="23"/>
  <c r="K526" i="23"/>
  <c r="I526" i="23"/>
  <c r="K525" i="23"/>
  <c r="I525" i="23"/>
  <c r="K524" i="23"/>
  <c r="I524" i="23"/>
  <c r="K523" i="23"/>
  <c r="I523" i="23"/>
  <c r="K522" i="23"/>
  <c r="I522" i="23"/>
  <c r="K521" i="23"/>
  <c r="I521" i="23"/>
  <c r="K520" i="23"/>
  <c r="I520" i="23"/>
  <c r="K519" i="23"/>
  <c r="I519" i="23"/>
  <c r="K518" i="23"/>
  <c r="I518" i="23"/>
  <c r="K517" i="23"/>
  <c r="I517" i="23"/>
  <c r="K516" i="23"/>
  <c r="I516" i="23"/>
  <c r="K515" i="23"/>
  <c r="I515" i="23"/>
  <c r="K514" i="23"/>
  <c r="I514" i="23"/>
  <c r="K513" i="23"/>
  <c r="I513" i="23"/>
  <c r="K512" i="23"/>
  <c r="I512" i="23"/>
  <c r="K511" i="23"/>
  <c r="I511" i="23"/>
  <c r="K510" i="23"/>
  <c r="I510" i="23"/>
  <c r="K509" i="23"/>
  <c r="I509" i="23"/>
  <c r="K508" i="23"/>
  <c r="I508" i="23"/>
  <c r="K507" i="23"/>
  <c r="I507" i="23"/>
  <c r="K506" i="23"/>
  <c r="I506" i="23"/>
  <c r="K505" i="23"/>
  <c r="I505" i="23"/>
  <c r="K504" i="23"/>
  <c r="I504" i="23"/>
  <c r="K503" i="23"/>
  <c r="I503" i="23"/>
  <c r="K502" i="23"/>
  <c r="I502" i="23"/>
  <c r="K501" i="23"/>
  <c r="I501" i="23"/>
  <c r="K500" i="23"/>
  <c r="I500" i="23"/>
  <c r="K499" i="23"/>
  <c r="I499" i="23"/>
  <c r="K498" i="23"/>
  <c r="I498" i="23"/>
  <c r="K497" i="23"/>
  <c r="I497" i="23"/>
  <c r="K496" i="23"/>
  <c r="I496" i="23"/>
  <c r="K495" i="23"/>
  <c r="I495" i="23"/>
  <c r="K494" i="23"/>
  <c r="I494" i="23"/>
  <c r="K493" i="23"/>
  <c r="I493" i="23"/>
  <c r="K492" i="23"/>
  <c r="I492" i="23"/>
  <c r="K491" i="23"/>
  <c r="I491" i="23"/>
  <c r="K490" i="23"/>
  <c r="I490" i="23"/>
  <c r="K489" i="23"/>
  <c r="I489" i="23"/>
  <c r="K488" i="23"/>
  <c r="I488" i="23"/>
  <c r="K487" i="23"/>
  <c r="I487" i="23"/>
  <c r="K486" i="23"/>
  <c r="I486" i="23"/>
  <c r="K485" i="23"/>
  <c r="I485" i="23"/>
  <c r="K484" i="23"/>
  <c r="I484" i="23"/>
  <c r="K483" i="23"/>
  <c r="I483" i="23"/>
  <c r="K482" i="23"/>
  <c r="I482" i="23"/>
  <c r="K481" i="23"/>
  <c r="I481" i="23"/>
  <c r="K480" i="23"/>
  <c r="I480" i="23"/>
  <c r="K479" i="23"/>
  <c r="I479" i="23"/>
  <c r="K478" i="23"/>
  <c r="I478" i="23"/>
  <c r="K477" i="23"/>
  <c r="I477" i="23"/>
  <c r="K476" i="23"/>
  <c r="I476" i="23"/>
  <c r="K475" i="23"/>
  <c r="I475" i="23"/>
  <c r="K474" i="23"/>
  <c r="I474" i="23"/>
  <c r="K473" i="23"/>
  <c r="I473" i="23"/>
  <c r="K472" i="23"/>
  <c r="I472" i="23"/>
  <c r="K471" i="23"/>
  <c r="I471" i="23"/>
  <c r="K470" i="23"/>
  <c r="I470" i="23"/>
  <c r="K469" i="23"/>
  <c r="I469" i="23"/>
  <c r="K468" i="23"/>
  <c r="I468" i="23"/>
  <c r="K467" i="23"/>
  <c r="I467" i="23"/>
  <c r="K466" i="23"/>
  <c r="I466" i="23"/>
  <c r="K465" i="23"/>
  <c r="I465" i="23"/>
  <c r="K464" i="23"/>
  <c r="I464" i="23"/>
  <c r="K463" i="23"/>
  <c r="I463" i="23"/>
  <c r="K462" i="23"/>
  <c r="I462" i="23"/>
  <c r="K461" i="23"/>
  <c r="I461" i="23"/>
  <c r="K460" i="23"/>
  <c r="I460" i="23"/>
  <c r="K459" i="23"/>
  <c r="I459" i="23"/>
  <c r="K458" i="23"/>
  <c r="I458" i="23"/>
  <c r="K457" i="23"/>
  <c r="I457" i="23"/>
  <c r="K456" i="23"/>
  <c r="I456" i="23"/>
  <c r="K455" i="23"/>
  <c r="I455" i="23"/>
  <c r="K454" i="23"/>
  <c r="I454" i="23"/>
  <c r="K453" i="23"/>
  <c r="I453" i="23"/>
  <c r="K452" i="23"/>
  <c r="I452" i="23"/>
  <c r="K451" i="23"/>
  <c r="I451" i="23"/>
  <c r="K450" i="23"/>
  <c r="I450" i="23"/>
  <c r="K449" i="23"/>
  <c r="I449" i="23"/>
  <c r="K448" i="23"/>
  <c r="I448" i="23"/>
  <c r="K447" i="23"/>
  <c r="I447" i="23"/>
  <c r="K446" i="23"/>
  <c r="I446" i="23"/>
  <c r="K445" i="23"/>
  <c r="I445" i="23"/>
  <c r="K444" i="23"/>
  <c r="I444" i="23"/>
  <c r="K443" i="23"/>
  <c r="I443" i="23"/>
  <c r="K442" i="23"/>
  <c r="I442" i="23"/>
  <c r="K441" i="23"/>
  <c r="I441" i="23"/>
  <c r="K440" i="23"/>
  <c r="I440" i="23"/>
  <c r="K439" i="23"/>
  <c r="I439" i="23"/>
  <c r="K438" i="23"/>
  <c r="I438" i="23"/>
  <c r="K437" i="23"/>
  <c r="I437" i="23"/>
  <c r="K436" i="23"/>
  <c r="I436" i="23"/>
  <c r="K435" i="23"/>
  <c r="I435" i="23"/>
  <c r="K434" i="23"/>
  <c r="I434" i="23"/>
  <c r="K433" i="23"/>
  <c r="I433" i="23"/>
  <c r="K432" i="23"/>
  <c r="I432" i="23"/>
  <c r="K431" i="23"/>
  <c r="I431" i="23"/>
  <c r="K430" i="23"/>
  <c r="I430" i="23"/>
  <c r="K429" i="23"/>
  <c r="I429" i="23"/>
  <c r="K428" i="23"/>
  <c r="I428" i="23"/>
  <c r="K427" i="23"/>
  <c r="I427" i="23"/>
  <c r="K426" i="23"/>
  <c r="I426" i="23"/>
  <c r="K425" i="23"/>
  <c r="I425" i="23"/>
  <c r="K424" i="23"/>
  <c r="I424" i="23"/>
  <c r="K423" i="23"/>
  <c r="I423" i="23"/>
  <c r="K422" i="23"/>
  <c r="I422" i="23"/>
  <c r="K421" i="23"/>
  <c r="I421" i="23"/>
  <c r="K420" i="23"/>
  <c r="I420" i="23"/>
  <c r="K419" i="23"/>
  <c r="I419" i="23"/>
  <c r="K418" i="23"/>
  <c r="I418" i="23"/>
  <c r="K417" i="23"/>
  <c r="I417" i="23"/>
  <c r="K416" i="23"/>
  <c r="I416" i="23"/>
  <c r="K415" i="23"/>
  <c r="I415" i="23"/>
  <c r="K414" i="23"/>
  <c r="I414" i="23"/>
  <c r="K413" i="23"/>
  <c r="I413" i="23"/>
  <c r="K412" i="23"/>
  <c r="I412" i="23"/>
  <c r="K411" i="23"/>
  <c r="I411" i="23"/>
  <c r="K410" i="23"/>
  <c r="I410" i="23"/>
  <c r="K409" i="23"/>
  <c r="I409" i="23"/>
  <c r="K408" i="23"/>
  <c r="I408" i="23"/>
  <c r="K407" i="23"/>
  <c r="I407" i="23"/>
  <c r="K406" i="23"/>
  <c r="I406" i="23"/>
  <c r="K405" i="23"/>
  <c r="I405" i="23"/>
  <c r="K404" i="23"/>
  <c r="I404" i="23"/>
  <c r="K403" i="23"/>
  <c r="I403" i="23"/>
  <c r="K402" i="23"/>
  <c r="I402" i="23"/>
  <c r="K401" i="23"/>
  <c r="I401" i="23"/>
  <c r="K400" i="23"/>
  <c r="I400" i="23"/>
  <c r="K399" i="23"/>
  <c r="I399" i="23"/>
  <c r="K398" i="23"/>
  <c r="I398" i="23"/>
  <c r="K397" i="23"/>
  <c r="I397" i="23"/>
  <c r="K396" i="23"/>
  <c r="I396" i="23"/>
  <c r="K395" i="23"/>
  <c r="I395" i="23"/>
  <c r="K394" i="23"/>
  <c r="I394" i="23"/>
  <c r="K393" i="23"/>
  <c r="I393" i="23"/>
  <c r="K392" i="23"/>
  <c r="I392" i="23"/>
  <c r="K391" i="23"/>
  <c r="I391" i="23"/>
  <c r="K390" i="23"/>
  <c r="I390" i="23"/>
  <c r="K389" i="23"/>
  <c r="I389" i="23"/>
  <c r="K388" i="23"/>
  <c r="I388" i="23"/>
  <c r="K387" i="23"/>
  <c r="I387" i="23"/>
  <c r="K386" i="23"/>
  <c r="I386" i="23"/>
  <c r="K385" i="23"/>
  <c r="I385" i="23"/>
  <c r="K384" i="23"/>
  <c r="I384" i="23"/>
  <c r="K383" i="23"/>
  <c r="I383" i="23"/>
  <c r="K382" i="23"/>
  <c r="I382" i="23"/>
  <c r="K381" i="23"/>
  <c r="I381" i="23"/>
  <c r="K380" i="23"/>
  <c r="I380" i="23"/>
  <c r="K379" i="23"/>
  <c r="I379" i="23"/>
  <c r="K378" i="23"/>
  <c r="I378" i="23"/>
  <c r="K377" i="23"/>
  <c r="I377" i="23"/>
  <c r="K376" i="23"/>
  <c r="I376" i="23"/>
  <c r="K375" i="23"/>
  <c r="I375" i="23"/>
  <c r="K374" i="23"/>
  <c r="I374" i="23"/>
  <c r="K373" i="23"/>
  <c r="I373" i="23"/>
  <c r="K372" i="23"/>
  <c r="I372" i="23"/>
  <c r="K371" i="23"/>
  <c r="I371" i="23"/>
  <c r="K370" i="23"/>
  <c r="I370" i="23"/>
  <c r="K369" i="23"/>
  <c r="I369" i="23"/>
  <c r="K368" i="23"/>
  <c r="I368" i="23"/>
  <c r="K367" i="23"/>
  <c r="I367" i="23"/>
  <c r="K366" i="23"/>
  <c r="I366" i="23"/>
  <c r="K365" i="23"/>
  <c r="I365" i="23"/>
  <c r="K364" i="23"/>
  <c r="I364" i="23"/>
  <c r="K363" i="23"/>
  <c r="I363" i="23"/>
  <c r="K362" i="23"/>
  <c r="I362" i="23"/>
  <c r="K361" i="23"/>
  <c r="I361" i="23"/>
  <c r="K360" i="23"/>
  <c r="I360" i="23"/>
  <c r="K359" i="23"/>
  <c r="I359" i="23"/>
  <c r="K358" i="23"/>
  <c r="I358" i="23"/>
  <c r="K357" i="23"/>
  <c r="I357" i="23"/>
  <c r="K356" i="23"/>
  <c r="I356" i="23"/>
  <c r="K355" i="23"/>
  <c r="I355" i="23"/>
  <c r="K354" i="23"/>
  <c r="I354" i="23"/>
  <c r="K353" i="23"/>
  <c r="I353" i="23"/>
  <c r="K352" i="23"/>
  <c r="I352" i="23"/>
  <c r="K351" i="23"/>
  <c r="I351" i="23"/>
  <c r="K350" i="23"/>
  <c r="I350" i="23"/>
  <c r="K349" i="23"/>
  <c r="I349" i="23"/>
  <c r="K348" i="23"/>
  <c r="I348" i="23"/>
  <c r="K347" i="23"/>
  <c r="I347" i="23"/>
  <c r="K346" i="23"/>
  <c r="I346" i="23"/>
  <c r="K345" i="23"/>
  <c r="I345" i="23"/>
  <c r="K344" i="23"/>
  <c r="I344" i="23"/>
  <c r="K343" i="23"/>
  <c r="I343" i="23"/>
  <c r="K342" i="23"/>
  <c r="I342" i="23"/>
  <c r="K341" i="23"/>
  <c r="I341" i="23"/>
  <c r="K340" i="23"/>
  <c r="I340" i="23"/>
  <c r="K339" i="23"/>
  <c r="I339" i="23"/>
  <c r="K338" i="23"/>
  <c r="I338" i="23"/>
  <c r="K337" i="23"/>
  <c r="I337" i="23"/>
  <c r="K336" i="23"/>
  <c r="I336" i="23"/>
  <c r="K335" i="23"/>
  <c r="I335" i="23"/>
  <c r="K334" i="23"/>
  <c r="I334" i="23"/>
  <c r="K333" i="23"/>
  <c r="I333" i="23"/>
  <c r="K332" i="23"/>
  <c r="I332" i="23"/>
  <c r="K331" i="23"/>
  <c r="I331" i="23"/>
  <c r="K330" i="23"/>
  <c r="I330" i="23"/>
  <c r="K329" i="23"/>
  <c r="I329" i="23"/>
  <c r="K328" i="23"/>
  <c r="I328" i="23"/>
  <c r="K327" i="23"/>
  <c r="I327" i="23"/>
  <c r="K326" i="23"/>
  <c r="I326" i="23"/>
  <c r="K325" i="23"/>
  <c r="I325" i="23"/>
  <c r="K324" i="23"/>
  <c r="I324" i="23"/>
  <c r="K323" i="23"/>
  <c r="I323" i="23"/>
  <c r="K322" i="23"/>
  <c r="I322" i="23"/>
  <c r="K321" i="23"/>
  <c r="I321" i="23"/>
  <c r="K320" i="23"/>
  <c r="I320" i="23"/>
  <c r="K319" i="23"/>
  <c r="I319" i="23"/>
  <c r="K318" i="23"/>
  <c r="I318" i="23"/>
  <c r="K317" i="23"/>
  <c r="I317" i="23"/>
  <c r="K316" i="23"/>
  <c r="I316" i="23"/>
  <c r="K315" i="23"/>
  <c r="I315" i="23"/>
  <c r="K314" i="23"/>
  <c r="I314" i="23"/>
  <c r="K313" i="23"/>
  <c r="I313" i="23"/>
  <c r="K312" i="23"/>
  <c r="I312" i="23"/>
  <c r="K311" i="23"/>
  <c r="I311" i="23"/>
  <c r="K310" i="23"/>
  <c r="I310" i="23"/>
  <c r="K309" i="23"/>
  <c r="I309" i="23"/>
  <c r="K308" i="23"/>
  <c r="I308" i="23"/>
  <c r="K307" i="23"/>
  <c r="I307" i="23"/>
  <c r="K306" i="23"/>
  <c r="I306" i="23"/>
  <c r="K305" i="23"/>
  <c r="I305" i="23"/>
  <c r="K304" i="23"/>
  <c r="I304" i="23"/>
  <c r="K303" i="23"/>
  <c r="I303" i="23"/>
  <c r="K302" i="23"/>
  <c r="I302" i="23"/>
  <c r="K301" i="23"/>
  <c r="I301" i="23"/>
  <c r="K300" i="23"/>
  <c r="I300" i="23"/>
  <c r="K299" i="23"/>
  <c r="I299" i="23"/>
  <c r="K298" i="23"/>
  <c r="I298" i="23"/>
  <c r="K297" i="23"/>
  <c r="I297" i="23"/>
  <c r="K296" i="23"/>
  <c r="I296" i="23"/>
  <c r="K295" i="23"/>
  <c r="I295" i="23"/>
  <c r="K294" i="23"/>
  <c r="I294" i="23"/>
  <c r="K293" i="23"/>
  <c r="I293" i="23"/>
  <c r="K292" i="23"/>
  <c r="I292" i="23"/>
  <c r="K291" i="23"/>
  <c r="I291" i="23"/>
  <c r="K290" i="23"/>
  <c r="I290" i="23"/>
  <c r="K289" i="23"/>
  <c r="I289" i="23"/>
  <c r="K288" i="23"/>
  <c r="I288" i="23"/>
  <c r="K287" i="23"/>
  <c r="I287" i="23"/>
  <c r="K286" i="23"/>
  <c r="I286" i="23"/>
  <c r="K285" i="23"/>
  <c r="I285" i="23"/>
  <c r="K284" i="23"/>
  <c r="I284" i="23"/>
  <c r="K283" i="23"/>
  <c r="I283" i="23"/>
  <c r="K282" i="23"/>
  <c r="I282" i="23"/>
  <c r="K269" i="23"/>
  <c r="I269" i="23"/>
  <c r="K268" i="23"/>
  <c r="I268" i="23"/>
  <c r="K267" i="23"/>
  <c r="I267" i="23"/>
  <c r="K266" i="23"/>
  <c r="I266" i="23"/>
  <c r="K265" i="23"/>
  <c r="I265" i="23"/>
  <c r="K264" i="23"/>
  <c r="I264" i="23"/>
  <c r="K263" i="23"/>
  <c r="I263" i="23"/>
  <c r="K262" i="23"/>
  <c r="I262" i="23"/>
  <c r="K261" i="23"/>
  <c r="I261" i="23"/>
  <c r="K260" i="23"/>
  <c r="I260" i="23"/>
  <c r="K259" i="23"/>
  <c r="I259" i="23"/>
  <c r="K258" i="23"/>
  <c r="I258" i="23"/>
  <c r="K257" i="23"/>
  <c r="I257" i="23"/>
  <c r="K243" i="23"/>
  <c r="I243" i="23"/>
  <c r="K242" i="23"/>
  <c r="I242" i="23"/>
  <c r="K241" i="23"/>
  <c r="I241" i="23"/>
  <c r="K240" i="23"/>
  <c r="I240" i="23"/>
  <c r="K234" i="23"/>
  <c r="I234" i="23"/>
  <c r="K233" i="23"/>
  <c r="I233" i="23"/>
  <c r="K232" i="23"/>
  <c r="I232" i="23"/>
  <c r="K231" i="23"/>
  <c r="I231" i="23"/>
  <c r="K228" i="23"/>
  <c r="I228" i="23"/>
  <c r="K227" i="23"/>
  <c r="I227" i="23"/>
  <c r="K226" i="23"/>
  <c r="I226" i="23"/>
  <c r="K225" i="23"/>
  <c r="I225" i="23"/>
  <c r="K224" i="23"/>
  <c r="I224" i="23"/>
  <c r="K223" i="23"/>
  <c r="I223" i="23"/>
  <c r="K222" i="23"/>
  <c r="I222" i="23"/>
  <c r="K221" i="23"/>
  <c r="I221" i="23"/>
  <c r="K220" i="23"/>
  <c r="I220" i="23"/>
  <c r="K219" i="23"/>
  <c r="I219" i="23"/>
  <c r="K218" i="23"/>
  <c r="I218" i="23"/>
  <c r="K217" i="23"/>
  <c r="I217" i="23"/>
  <c r="K216" i="23"/>
  <c r="I216" i="23"/>
  <c r="K215" i="23"/>
  <c r="I215" i="23"/>
  <c r="K214" i="23"/>
  <c r="I214" i="23"/>
  <c r="K213" i="23"/>
  <c r="I213" i="23"/>
  <c r="K212" i="23"/>
  <c r="I212" i="23"/>
  <c r="K211" i="23"/>
  <c r="I211" i="23"/>
  <c r="K210" i="23"/>
  <c r="I210" i="23"/>
  <c r="K209" i="23"/>
  <c r="I209" i="23"/>
  <c r="K208" i="23"/>
  <c r="I208" i="23"/>
  <c r="K207" i="23"/>
  <c r="I207" i="23"/>
  <c r="K206" i="23"/>
  <c r="I206" i="23"/>
  <c r="K205" i="23"/>
  <c r="I205" i="23"/>
  <c r="K204" i="23"/>
  <c r="I204" i="23"/>
  <c r="K203" i="23"/>
  <c r="I203" i="23"/>
  <c r="K202" i="23"/>
  <c r="I202" i="23"/>
  <c r="K201" i="23"/>
  <c r="I201" i="23"/>
  <c r="K200" i="23"/>
  <c r="I200" i="23"/>
  <c r="K199" i="23"/>
  <c r="I199" i="23"/>
  <c r="K198" i="23"/>
  <c r="I198" i="23"/>
  <c r="K197" i="23"/>
  <c r="I197" i="23"/>
  <c r="K196" i="23"/>
  <c r="I196" i="23"/>
  <c r="K195" i="23"/>
  <c r="I195" i="23"/>
  <c r="K194" i="23"/>
  <c r="I194" i="23"/>
  <c r="K193" i="23"/>
  <c r="I193" i="23"/>
  <c r="K192" i="23"/>
  <c r="I192" i="23"/>
  <c r="K189" i="23"/>
  <c r="I189" i="23"/>
  <c r="K188" i="23"/>
  <c r="I188" i="23"/>
  <c r="K187" i="23"/>
  <c r="I187" i="23"/>
  <c r="K186" i="23"/>
  <c r="I186" i="23"/>
  <c r="K185" i="23"/>
  <c r="I185" i="23"/>
  <c r="K184" i="23"/>
  <c r="I184" i="23"/>
  <c r="K183" i="23"/>
  <c r="I183" i="23"/>
  <c r="K182" i="23"/>
  <c r="I182" i="23"/>
  <c r="K181" i="23"/>
  <c r="I181" i="23"/>
  <c r="K180" i="23"/>
  <c r="I180" i="23"/>
  <c r="K179" i="23"/>
  <c r="I179" i="23"/>
  <c r="K178" i="23"/>
  <c r="I178" i="23"/>
  <c r="K177" i="23"/>
  <c r="I177" i="23"/>
  <c r="K176" i="23"/>
  <c r="I176" i="23"/>
  <c r="K175" i="23"/>
  <c r="I175" i="23"/>
  <c r="K174" i="23"/>
  <c r="I174" i="23"/>
  <c r="K173" i="23"/>
  <c r="I173" i="23"/>
  <c r="K172" i="23"/>
  <c r="I172" i="23"/>
  <c r="K171" i="23"/>
  <c r="I171" i="23"/>
  <c r="K170" i="23"/>
  <c r="I170" i="23"/>
  <c r="K169" i="23"/>
  <c r="I169" i="23"/>
  <c r="K168" i="23"/>
  <c r="I168" i="23"/>
  <c r="K167" i="23"/>
  <c r="I167" i="23"/>
  <c r="K166" i="23"/>
  <c r="I166" i="23"/>
  <c r="K165" i="23"/>
  <c r="I165" i="23"/>
  <c r="K164" i="23"/>
  <c r="I164" i="23"/>
  <c r="K163" i="23"/>
  <c r="I163" i="23"/>
  <c r="K162" i="23"/>
  <c r="I162" i="23"/>
  <c r="K161" i="23"/>
  <c r="I161" i="23"/>
  <c r="K160" i="23"/>
  <c r="I160" i="23"/>
  <c r="K159" i="23"/>
  <c r="I159" i="23"/>
  <c r="K158" i="23"/>
  <c r="I158" i="23"/>
  <c r="K157" i="23"/>
  <c r="I157" i="23"/>
  <c r="K156" i="23"/>
  <c r="I156" i="23"/>
  <c r="K155" i="23"/>
  <c r="I155" i="23"/>
  <c r="K154" i="23"/>
  <c r="I154" i="23"/>
  <c r="K153" i="23"/>
  <c r="I153" i="23"/>
  <c r="K152" i="23"/>
  <c r="I152" i="23"/>
  <c r="K151" i="23"/>
  <c r="I151" i="23"/>
  <c r="K150" i="23"/>
  <c r="I150" i="23"/>
  <c r="K149" i="23"/>
  <c r="I149" i="23"/>
  <c r="K148" i="23"/>
  <c r="I148" i="23"/>
  <c r="K147" i="23"/>
  <c r="I147" i="23"/>
  <c r="K146" i="23"/>
  <c r="I146" i="23"/>
  <c r="K145" i="23"/>
  <c r="I145" i="23"/>
  <c r="K144" i="23"/>
  <c r="I144" i="23"/>
  <c r="K143" i="23"/>
  <c r="I143" i="23"/>
  <c r="K142" i="23"/>
  <c r="I142" i="23"/>
  <c r="K141" i="23"/>
  <c r="I141" i="23"/>
  <c r="K140" i="23"/>
  <c r="I140" i="23"/>
  <c r="K139" i="23"/>
  <c r="I139" i="23"/>
  <c r="K138" i="23"/>
  <c r="I138" i="23"/>
  <c r="K137" i="23"/>
  <c r="I137" i="23"/>
  <c r="K136" i="23"/>
  <c r="I136" i="23"/>
  <c r="K135" i="23"/>
  <c r="I135" i="23"/>
  <c r="K134" i="23"/>
  <c r="I134" i="23"/>
  <c r="K133" i="23"/>
  <c r="I133" i="23"/>
  <c r="K132" i="23"/>
  <c r="I132" i="23"/>
  <c r="K131" i="23"/>
  <c r="I131" i="23"/>
  <c r="K130" i="23"/>
  <c r="I130" i="23"/>
  <c r="K129" i="23"/>
  <c r="I129" i="23"/>
  <c r="K128" i="23"/>
  <c r="I128" i="23"/>
  <c r="K127" i="23"/>
  <c r="I127" i="23"/>
  <c r="K126" i="23"/>
  <c r="I126" i="23"/>
  <c r="K125" i="23"/>
  <c r="I125" i="23"/>
  <c r="K124" i="23"/>
  <c r="I124" i="23"/>
  <c r="K123" i="23"/>
  <c r="I123" i="23"/>
  <c r="K122" i="23"/>
  <c r="I122" i="23"/>
  <c r="K121" i="23"/>
  <c r="I121" i="23"/>
  <c r="K120" i="23"/>
  <c r="I120" i="23"/>
  <c r="K119" i="23"/>
  <c r="I119" i="23"/>
  <c r="K118" i="23"/>
  <c r="I118" i="23"/>
  <c r="K117" i="23"/>
  <c r="I117" i="23"/>
  <c r="K116" i="23"/>
  <c r="I116" i="23"/>
  <c r="K115" i="23"/>
  <c r="I115" i="23"/>
  <c r="K114" i="23"/>
  <c r="I114" i="23"/>
  <c r="K113" i="23"/>
  <c r="I113" i="23"/>
  <c r="K112" i="23"/>
  <c r="I112" i="23"/>
  <c r="K111" i="23"/>
  <c r="I111" i="23"/>
  <c r="K110" i="23"/>
  <c r="I110" i="23"/>
  <c r="K109" i="23"/>
  <c r="I109" i="23"/>
  <c r="K108" i="23"/>
  <c r="I108" i="23"/>
  <c r="K107" i="23"/>
  <c r="I107" i="23"/>
  <c r="K106" i="23"/>
  <c r="I106" i="23"/>
  <c r="K105" i="23"/>
  <c r="I105" i="23"/>
  <c r="K104" i="23"/>
  <c r="I104" i="23"/>
  <c r="K103" i="23"/>
  <c r="I103" i="23"/>
  <c r="K102" i="23"/>
  <c r="I102" i="23"/>
  <c r="K101" i="23"/>
  <c r="I101" i="23"/>
  <c r="K100" i="23"/>
  <c r="I100" i="23"/>
  <c r="K99" i="23"/>
  <c r="I99" i="23"/>
  <c r="K98" i="23"/>
  <c r="I98" i="23"/>
  <c r="K97" i="23"/>
  <c r="I97" i="23"/>
  <c r="K96" i="23"/>
  <c r="I96" i="23"/>
  <c r="K95" i="23"/>
  <c r="I95" i="23"/>
  <c r="K94" i="23"/>
  <c r="I94" i="23"/>
  <c r="K93" i="23"/>
  <c r="I93" i="23"/>
  <c r="K92" i="23"/>
  <c r="I92" i="23"/>
  <c r="K91" i="23"/>
  <c r="I91" i="23"/>
  <c r="K90" i="23"/>
  <c r="I90" i="23"/>
  <c r="K89" i="23"/>
  <c r="I89" i="23"/>
  <c r="K88" i="23"/>
  <c r="I88" i="23"/>
  <c r="K87" i="23"/>
  <c r="I87" i="23"/>
  <c r="K86" i="23"/>
  <c r="I86" i="23"/>
  <c r="K85" i="23"/>
  <c r="I85" i="23"/>
  <c r="K84" i="23"/>
  <c r="I84" i="23"/>
  <c r="K83" i="23"/>
  <c r="I83" i="23"/>
  <c r="K82" i="23"/>
  <c r="I82" i="23"/>
  <c r="K81" i="23"/>
  <c r="I81" i="23"/>
  <c r="K80" i="23"/>
  <c r="I80" i="23"/>
  <c r="K79" i="23"/>
  <c r="I79" i="23"/>
  <c r="K78" i="23"/>
  <c r="I78" i="23"/>
  <c r="K77" i="23"/>
  <c r="I77" i="23"/>
  <c r="K76" i="23"/>
  <c r="I76" i="23"/>
  <c r="K75" i="23"/>
  <c r="I75" i="23"/>
  <c r="K74" i="23"/>
  <c r="I74" i="23"/>
  <c r="K73" i="23"/>
  <c r="I73" i="23"/>
  <c r="K72" i="23"/>
  <c r="I72" i="23"/>
  <c r="K71" i="23"/>
  <c r="I71" i="23"/>
  <c r="K70" i="23"/>
  <c r="I70" i="23"/>
  <c r="K69" i="23"/>
  <c r="I69" i="23"/>
  <c r="K68" i="23"/>
  <c r="I68" i="23"/>
  <c r="K67" i="23"/>
  <c r="I67" i="23"/>
  <c r="K66" i="23"/>
  <c r="I66" i="23"/>
  <c r="K65" i="23"/>
  <c r="I65" i="23"/>
  <c r="K64" i="23"/>
  <c r="I64" i="23"/>
  <c r="K63" i="23"/>
  <c r="I63" i="23"/>
  <c r="K62" i="23"/>
  <c r="I62" i="23"/>
  <c r="K61" i="23"/>
  <c r="I61" i="23"/>
  <c r="K60" i="23"/>
  <c r="I60" i="23"/>
  <c r="K59" i="23"/>
  <c r="I59" i="23"/>
  <c r="K58" i="23"/>
  <c r="I58" i="23"/>
  <c r="K57" i="23"/>
  <c r="I57" i="23"/>
  <c r="K56" i="23"/>
  <c r="I56" i="23"/>
  <c r="K55" i="23"/>
  <c r="I55" i="23"/>
  <c r="K54" i="23"/>
  <c r="I54" i="23"/>
  <c r="K53" i="23"/>
  <c r="I53" i="23"/>
  <c r="K52" i="23"/>
  <c r="I52" i="23"/>
  <c r="K51" i="23"/>
  <c r="I51" i="23"/>
  <c r="K50" i="23"/>
  <c r="I50" i="23"/>
  <c r="K49" i="23"/>
  <c r="I49" i="23"/>
  <c r="K48" i="23"/>
  <c r="I48" i="23"/>
  <c r="K47" i="23"/>
  <c r="I47" i="23"/>
  <c r="K46" i="23"/>
  <c r="I46" i="23"/>
  <c r="K45" i="23"/>
  <c r="I45" i="23"/>
  <c r="K44" i="23"/>
  <c r="I44" i="23"/>
  <c r="K43" i="23"/>
  <c r="I43" i="23"/>
  <c r="K42" i="23"/>
  <c r="I42" i="23"/>
  <c r="K41" i="23"/>
  <c r="I41" i="23"/>
  <c r="G622" i="23"/>
  <c r="F622" i="23"/>
  <c r="E622" i="23"/>
  <c r="D622" i="23"/>
  <c r="C622" i="23"/>
  <c r="B622" i="23"/>
  <c r="G621" i="23"/>
  <c r="F621" i="23"/>
  <c r="E621" i="23"/>
  <c r="D621" i="23"/>
  <c r="C621" i="23"/>
  <c r="B621" i="23"/>
  <c r="G620" i="23"/>
  <c r="F620" i="23"/>
  <c r="E620" i="23"/>
  <c r="D620" i="23"/>
  <c r="C620" i="23"/>
  <c r="B620" i="23"/>
  <c r="G619" i="23"/>
  <c r="F619" i="23"/>
  <c r="E619" i="23"/>
  <c r="D619" i="23"/>
  <c r="C619" i="23"/>
  <c r="B619" i="23"/>
  <c r="G618" i="23"/>
  <c r="F618" i="23"/>
  <c r="E618" i="23"/>
  <c r="D618" i="23"/>
  <c r="C618" i="23"/>
  <c r="B618" i="23"/>
  <c r="G617" i="23"/>
  <c r="F617" i="23"/>
  <c r="E617" i="23"/>
  <c r="D617" i="23"/>
  <c r="C617" i="23"/>
  <c r="B617" i="23"/>
  <c r="G616" i="23"/>
  <c r="F616" i="23"/>
  <c r="E616" i="23"/>
  <c r="D616" i="23"/>
  <c r="C616" i="23"/>
  <c r="B616" i="23"/>
  <c r="G615" i="23"/>
  <c r="F615" i="23"/>
  <c r="E615" i="23"/>
  <c r="D615" i="23"/>
  <c r="C615" i="23"/>
  <c r="B615" i="23"/>
  <c r="G614" i="23"/>
  <c r="F614" i="23"/>
  <c r="E614" i="23"/>
  <c r="D614" i="23"/>
  <c r="C614" i="23"/>
  <c r="B614" i="23"/>
  <c r="G613" i="23"/>
  <c r="F613" i="23"/>
  <c r="E613" i="23"/>
  <c r="D613" i="23"/>
  <c r="C613" i="23"/>
  <c r="B613" i="23"/>
  <c r="G612" i="23"/>
  <c r="F612" i="23"/>
  <c r="E612" i="23"/>
  <c r="D612" i="23"/>
  <c r="C612" i="23"/>
  <c r="B612" i="23"/>
  <c r="G611" i="23"/>
  <c r="F611" i="23"/>
  <c r="E611" i="23"/>
  <c r="D611" i="23"/>
  <c r="C611" i="23"/>
  <c r="B611" i="23"/>
  <c r="G610" i="23"/>
  <c r="F610" i="23"/>
  <c r="E610" i="23"/>
  <c r="D610" i="23"/>
  <c r="C610" i="23"/>
  <c r="B610" i="23"/>
  <c r="G609" i="23"/>
  <c r="F609" i="23"/>
  <c r="E609" i="23"/>
  <c r="D609" i="23"/>
  <c r="C609" i="23"/>
  <c r="B609" i="23"/>
  <c r="G608" i="23"/>
  <c r="F608" i="23"/>
  <c r="E608" i="23"/>
  <c r="D608" i="23"/>
  <c r="C608" i="23"/>
  <c r="B608" i="23"/>
  <c r="G607" i="23"/>
  <c r="F607" i="23"/>
  <c r="E607" i="23"/>
  <c r="D607" i="23"/>
  <c r="C607" i="23"/>
  <c r="B607" i="23"/>
  <c r="G606" i="23"/>
  <c r="F606" i="23"/>
  <c r="E606" i="23"/>
  <c r="D606" i="23"/>
  <c r="C606" i="23"/>
  <c r="B606" i="23"/>
  <c r="G605" i="23"/>
  <c r="F605" i="23"/>
  <c r="E605" i="23"/>
  <c r="D605" i="23"/>
  <c r="C605" i="23"/>
  <c r="B605" i="23"/>
  <c r="G604" i="23"/>
  <c r="F604" i="23"/>
  <c r="E604" i="23"/>
  <c r="D604" i="23"/>
  <c r="C604" i="23"/>
  <c r="B604" i="23"/>
  <c r="G603" i="23"/>
  <c r="F603" i="23"/>
  <c r="E603" i="23"/>
  <c r="D603" i="23"/>
  <c r="C603" i="23"/>
  <c r="B603" i="23"/>
  <c r="G602" i="23"/>
  <c r="F602" i="23"/>
  <c r="E602" i="23"/>
  <c r="D602" i="23"/>
  <c r="C602" i="23"/>
  <c r="B602" i="23"/>
  <c r="G601" i="23"/>
  <c r="F601" i="23"/>
  <c r="E601" i="23"/>
  <c r="D601" i="23"/>
  <c r="C601" i="23"/>
  <c r="B601" i="23"/>
  <c r="G600" i="23"/>
  <c r="F600" i="23"/>
  <c r="E600" i="23"/>
  <c r="D600" i="23"/>
  <c r="C600" i="23"/>
  <c r="B600" i="23"/>
  <c r="G599" i="23"/>
  <c r="F599" i="23"/>
  <c r="E599" i="23"/>
  <c r="D599" i="23"/>
  <c r="C599" i="23"/>
  <c r="B599" i="23"/>
  <c r="G598" i="23"/>
  <c r="F598" i="23"/>
  <c r="E598" i="23"/>
  <c r="D598" i="23"/>
  <c r="C598" i="23"/>
  <c r="B598" i="23"/>
  <c r="G597" i="23"/>
  <c r="F597" i="23"/>
  <c r="E597" i="23"/>
  <c r="D597" i="23"/>
  <c r="C597" i="23"/>
  <c r="B597" i="23"/>
  <c r="G596" i="23"/>
  <c r="F596" i="23"/>
  <c r="E596" i="23"/>
  <c r="D596" i="23"/>
  <c r="C596" i="23"/>
  <c r="B596" i="23"/>
  <c r="G595" i="23"/>
  <c r="F595" i="23"/>
  <c r="E595" i="23"/>
  <c r="D595" i="23"/>
  <c r="C595" i="23"/>
  <c r="B595" i="23"/>
  <c r="G594" i="23"/>
  <c r="F594" i="23"/>
  <c r="E594" i="23"/>
  <c r="D594" i="23"/>
  <c r="C594" i="23"/>
  <c r="B594" i="23"/>
  <c r="G593" i="23"/>
  <c r="F593" i="23"/>
  <c r="E593" i="23"/>
  <c r="D593" i="23"/>
  <c r="C593" i="23"/>
  <c r="B593" i="23"/>
  <c r="G592" i="23"/>
  <c r="F592" i="23"/>
  <c r="E592" i="23"/>
  <c r="D592" i="23"/>
  <c r="C592" i="23"/>
  <c r="B592" i="23"/>
  <c r="G591" i="23"/>
  <c r="F591" i="23"/>
  <c r="E591" i="23"/>
  <c r="D591" i="23"/>
  <c r="C591" i="23"/>
  <c r="B591" i="23"/>
  <c r="G590" i="23"/>
  <c r="F590" i="23"/>
  <c r="E590" i="23"/>
  <c r="D590" i="23"/>
  <c r="C590" i="23"/>
  <c r="B590" i="23"/>
  <c r="G589" i="23"/>
  <c r="F589" i="23"/>
  <c r="E589" i="23"/>
  <c r="D589" i="23"/>
  <c r="C589" i="23"/>
  <c r="B589" i="23"/>
  <c r="G588" i="23"/>
  <c r="F588" i="23"/>
  <c r="E588" i="23"/>
  <c r="D588" i="23"/>
  <c r="C588" i="23"/>
  <c r="B588" i="23"/>
  <c r="G587" i="23"/>
  <c r="F587" i="23"/>
  <c r="E587" i="23"/>
  <c r="D587" i="23"/>
  <c r="C587" i="23"/>
  <c r="B587" i="23"/>
  <c r="G586" i="23"/>
  <c r="F586" i="23"/>
  <c r="E586" i="23"/>
  <c r="D586" i="23"/>
  <c r="C586" i="23"/>
  <c r="B586" i="23"/>
  <c r="G585" i="23"/>
  <c r="F585" i="23"/>
  <c r="E585" i="23"/>
  <c r="D585" i="23"/>
  <c r="C585" i="23"/>
  <c r="B585" i="23"/>
  <c r="G584" i="23"/>
  <c r="F584" i="23"/>
  <c r="E584" i="23"/>
  <c r="D584" i="23"/>
  <c r="C584" i="23"/>
  <c r="B584" i="23"/>
  <c r="G583" i="23"/>
  <c r="F583" i="23"/>
  <c r="E583" i="23"/>
  <c r="D583" i="23"/>
  <c r="C583" i="23"/>
  <c r="B583" i="23"/>
  <c r="G582" i="23"/>
  <c r="F582" i="23"/>
  <c r="E582" i="23"/>
  <c r="D582" i="23"/>
  <c r="C582" i="23"/>
  <c r="B582" i="23"/>
  <c r="G581" i="23"/>
  <c r="F581" i="23"/>
  <c r="E581" i="23"/>
  <c r="D581" i="23"/>
  <c r="C581" i="23"/>
  <c r="B581" i="23"/>
  <c r="G580" i="23"/>
  <c r="F580" i="23"/>
  <c r="E580" i="23"/>
  <c r="D580" i="23"/>
  <c r="C580" i="23"/>
  <c r="B580" i="23"/>
  <c r="G579" i="23"/>
  <c r="F579" i="23"/>
  <c r="E579" i="23"/>
  <c r="D579" i="23"/>
  <c r="C579" i="23"/>
  <c r="B579" i="23"/>
  <c r="G578" i="23"/>
  <c r="F578" i="23"/>
  <c r="E578" i="23"/>
  <c r="D578" i="23"/>
  <c r="C578" i="23"/>
  <c r="B578" i="23"/>
  <c r="G577" i="23"/>
  <c r="F577" i="23"/>
  <c r="E577" i="23"/>
  <c r="D577" i="23"/>
  <c r="C577" i="23"/>
  <c r="B577" i="23"/>
  <c r="G576" i="23"/>
  <c r="F576" i="23"/>
  <c r="E576" i="23"/>
  <c r="D576" i="23"/>
  <c r="C576" i="23"/>
  <c r="B576" i="23"/>
  <c r="G575" i="23"/>
  <c r="F575" i="23"/>
  <c r="E575" i="23"/>
  <c r="D575" i="23"/>
  <c r="C575" i="23"/>
  <c r="B575" i="23"/>
  <c r="G574" i="23"/>
  <c r="F574" i="23"/>
  <c r="E574" i="23"/>
  <c r="D574" i="23"/>
  <c r="C574" i="23"/>
  <c r="B574" i="23"/>
  <c r="G573" i="23"/>
  <c r="F573" i="23"/>
  <c r="E573" i="23"/>
  <c r="D573" i="23"/>
  <c r="C573" i="23"/>
  <c r="B573" i="23"/>
  <c r="G572" i="23"/>
  <c r="F572" i="23"/>
  <c r="E572" i="23"/>
  <c r="D572" i="23"/>
  <c r="C572" i="23"/>
  <c r="B572" i="23"/>
  <c r="F571" i="23"/>
  <c r="E571" i="23"/>
  <c r="D571" i="23"/>
  <c r="C571" i="23"/>
  <c r="B571" i="23"/>
  <c r="F570" i="23"/>
  <c r="E570" i="23"/>
  <c r="D570" i="23"/>
  <c r="C570" i="23"/>
  <c r="B570" i="23"/>
  <c r="F569" i="23"/>
  <c r="E569" i="23"/>
  <c r="D569" i="23"/>
  <c r="C569" i="23"/>
  <c r="B569" i="23"/>
  <c r="G568" i="23"/>
  <c r="F568" i="23"/>
  <c r="E568" i="23"/>
  <c r="D568" i="23"/>
  <c r="C568" i="23"/>
  <c r="B568" i="23"/>
  <c r="G567" i="23"/>
  <c r="F567" i="23"/>
  <c r="E567" i="23"/>
  <c r="D567" i="23"/>
  <c r="C567" i="23"/>
  <c r="B567" i="23"/>
  <c r="G566" i="23"/>
  <c r="F566" i="23"/>
  <c r="E566" i="23"/>
  <c r="D566" i="23"/>
  <c r="C566" i="23"/>
  <c r="B566" i="23"/>
  <c r="G565" i="23"/>
  <c r="F565" i="23"/>
  <c r="E565" i="23"/>
  <c r="D565" i="23"/>
  <c r="C565" i="23"/>
  <c r="B565" i="23"/>
  <c r="G564" i="23"/>
  <c r="F564" i="23"/>
  <c r="E564" i="23"/>
  <c r="D564" i="23"/>
  <c r="C564" i="23"/>
  <c r="B564" i="23"/>
  <c r="F563" i="23"/>
  <c r="E563" i="23"/>
  <c r="D563" i="23"/>
  <c r="C563" i="23"/>
  <c r="B563" i="23"/>
  <c r="G562" i="23"/>
  <c r="F562" i="23"/>
  <c r="E562" i="23"/>
  <c r="D562" i="23"/>
  <c r="C562" i="23"/>
  <c r="B562" i="23"/>
  <c r="G561" i="23"/>
  <c r="F561" i="23"/>
  <c r="E561" i="23"/>
  <c r="D561" i="23"/>
  <c r="C561" i="23"/>
  <c r="B561" i="23"/>
  <c r="G560" i="23"/>
  <c r="F560" i="23"/>
  <c r="E560" i="23"/>
  <c r="D560" i="23"/>
  <c r="C560" i="23"/>
  <c r="B560" i="23"/>
  <c r="G559" i="23"/>
  <c r="F559" i="23"/>
  <c r="E559" i="23"/>
  <c r="D559" i="23"/>
  <c r="C559" i="23"/>
  <c r="B559" i="23"/>
  <c r="F558" i="23"/>
  <c r="E558" i="23"/>
  <c r="D558" i="23"/>
  <c r="C558" i="23"/>
  <c r="B558" i="23"/>
  <c r="G557" i="23"/>
  <c r="F557" i="23"/>
  <c r="E557" i="23"/>
  <c r="D557" i="23"/>
  <c r="C557" i="23"/>
  <c r="B557" i="23"/>
  <c r="G556" i="23"/>
  <c r="F556" i="23"/>
  <c r="E556" i="23"/>
  <c r="D556" i="23"/>
  <c r="C556" i="23"/>
  <c r="B556" i="23"/>
  <c r="G555" i="23"/>
  <c r="F555" i="23"/>
  <c r="E555" i="23"/>
  <c r="D555" i="23"/>
  <c r="C555" i="23"/>
  <c r="B555" i="23"/>
  <c r="G554" i="23"/>
  <c r="F554" i="23"/>
  <c r="E554" i="23"/>
  <c r="D554" i="23"/>
  <c r="C554" i="23"/>
  <c r="B554" i="23"/>
  <c r="G553" i="23"/>
  <c r="F553" i="23"/>
  <c r="E553" i="23"/>
  <c r="D553" i="23"/>
  <c r="C553" i="23"/>
  <c r="B553" i="23"/>
  <c r="G552" i="23"/>
  <c r="F552" i="23"/>
  <c r="E552" i="23"/>
  <c r="D552" i="23"/>
  <c r="C552" i="23"/>
  <c r="B552" i="23"/>
  <c r="G551" i="23"/>
  <c r="F551" i="23"/>
  <c r="E551" i="23"/>
  <c r="D551" i="23"/>
  <c r="C551" i="23"/>
  <c r="B551" i="23"/>
  <c r="G550" i="23"/>
  <c r="F550" i="23"/>
  <c r="E550" i="23"/>
  <c r="D550" i="23"/>
  <c r="C550" i="23"/>
  <c r="B550" i="23"/>
  <c r="G549" i="23"/>
  <c r="F549" i="23"/>
  <c r="E549" i="23"/>
  <c r="D549" i="23"/>
  <c r="C549" i="23"/>
  <c r="B549" i="23"/>
  <c r="G548" i="23"/>
  <c r="F548" i="23"/>
  <c r="E548" i="23"/>
  <c r="D548" i="23"/>
  <c r="C548" i="23"/>
  <c r="B548" i="23"/>
  <c r="G547" i="23"/>
  <c r="F547" i="23"/>
  <c r="E547" i="23"/>
  <c r="D547" i="23"/>
  <c r="C547" i="23"/>
  <c r="B547" i="23"/>
  <c r="G546" i="23"/>
  <c r="F546" i="23"/>
  <c r="E546" i="23"/>
  <c r="D546" i="23"/>
  <c r="C546" i="23"/>
  <c r="B546" i="23"/>
  <c r="G545" i="23"/>
  <c r="F545" i="23"/>
  <c r="E545" i="23"/>
  <c r="D545" i="23"/>
  <c r="C545" i="23"/>
  <c r="B545" i="23"/>
  <c r="G544" i="23"/>
  <c r="F544" i="23"/>
  <c r="E544" i="23"/>
  <c r="D544" i="23"/>
  <c r="C544" i="23"/>
  <c r="B544" i="23"/>
  <c r="G543" i="23"/>
  <c r="F543" i="23"/>
  <c r="E543" i="23"/>
  <c r="D543" i="23"/>
  <c r="C543" i="23"/>
  <c r="B543" i="23"/>
  <c r="G542" i="23"/>
  <c r="F542" i="23"/>
  <c r="E542" i="23"/>
  <c r="D542" i="23"/>
  <c r="C542" i="23"/>
  <c r="B542" i="23"/>
  <c r="G541" i="23"/>
  <c r="F541" i="23"/>
  <c r="E541" i="23"/>
  <c r="D541" i="23"/>
  <c r="C541" i="23"/>
  <c r="B541" i="23"/>
  <c r="G540" i="23"/>
  <c r="F540" i="23"/>
  <c r="E540" i="23"/>
  <c r="D540" i="23"/>
  <c r="C540" i="23"/>
  <c r="B540" i="23"/>
  <c r="G539" i="23"/>
  <c r="F539" i="23"/>
  <c r="E539" i="23"/>
  <c r="D539" i="23"/>
  <c r="C539" i="23"/>
  <c r="B539" i="23"/>
  <c r="G538" i="23"/>
  <c r="F538" i="23"/>
  <c r="E538" i="23"/>
  <c r="D538" i="23"/>
  <c r="C538" i="23"/>
  <c r="B538" i="23"/>
  <c r="G537" i="23"/>
  <c r="F537" i="23"/>
  <c r="E537" i="23"/>
  <c r="D537" i="23"/>
  <c r="C537" i="23"/>
  <c r="B537" i="23"/>
  <c r="G536" i="23"/>
  <c r="F536" i="23"/>
  <c r="E536" i="23"/>
  <c r="D536" i="23"/>
  <c r="C536" i="23"/>
  <c r="B536" i="23"/>
  <c r="G535" i="23"/>
  <c r="F535" i="23"/>
  <c r="E535" i="23"/>
  <c r="D535" i="23"/>
  <c r="C535" i="23"/>
  <c r="B535" i="23"/>
  <c r="F534" i="23"/>
  <c r="E534" i="23"/>
  <c r="D534" i="23"/>
  <c r="C534" i="23"/>
  <c r="B534" i="23"/>
  <c r="F533" i="23"/>
  <c r="E533" i="23"/>
  <c r="D533" i="23"/>
  <c r="C533" i="23"/>
  <c r="B533" i="23"/>
  <c r="F532" i="23"/>
  <c r="E532" i="23"/>
  <c r="D532" i="23"/>
  <c r="C532" i="23"/>
  <c r="B532" i="23"/>
  <c r="F531" i="23"/>
  <c r="E531" i="23"/>
  <c r="D531" i="23"/>
  <c r="C531" i="23"/>
  <c r="B531" i="23"/>
  <c r="F530" i="23"/>
  <c r="E530" i="23"/>
  <c r="D530" i="23"/>
  <c r="C530" i="23"/>
  <c r="B530" i="23"/>
  <c r="G529" i="23"/>
  <c r="F529" i="23"/>
  <c r="E529" i="23"/>
  <c r="D529" i="23"/>
  <c r="C529" i="23"/>
  <c r="B529" i="23"/>
  <c r="G528" i="23"/>
  <c r="F528" i="23"/>
  <c r="E528" i="23"/>
  <c r="D528" i="23"/>
  <c r="C528" i="23"/>
  <c r="B528" i="23"/>
  <c r="G527" i="23"/>
  <c r="F527" i="23"/>
  <c r="E527" i="23"/>
  <c r="D527" i="23"/>
  <c r="C527" i="23"/>
  <c r="B527" i="23"/>
  <c r="G526" i="23"/>
  <c r="F526" i="23"/>
  <c r="E526" i="23"/>
  <c r="D526" i="23"/>
  <c r="C526" i="23"/>
  <c r="B526" i="23"/>
  <c r="G525" i="23"/>
  <c r="F525" i="23"/>
  <c r="E525" i="23"/>
  <c r="D525" i="23"/>
  <c r="C525" i="23"/>
  <c r="B525" i="23"/>
  <c r="G524" i="23"/>
  <c r="F524" i="23"/>
  <c r="E524" i="23"/>
  <c r="D524" i="23"/>
  <c r="C524" i="23"/>
  <c r="B524" i="23"/>
  <c r="G523" i="23"/>
  <c r="F523" i="23"/>
  <c r="E523" i="23"/>
  <c r="D523" i="23"/>
  <c r="C523" i="23"/>
  <c r="B523" i="23"/>
  <c r="G522" i="23"/>
  <c r="F522" i="23"/>
  <c r="E522" i="23"/>
  <c r="D522" i="23"/>
  <c r="C522" i="23"/>
  <c r="B522" i="23"/>
  <c r="G521" i="23"/>
  <c r="F521" i="23"/>
  <c r="E521" i="23"/>
  <c r="D521" i="23"/>
  <c r="C521" i="23"/>
  <c r="B521" i="23"/>
  <c r="F520" i="23"/>
  <c r="E520" i="23"/>
  <c r="D520" i="23"/>
  <c r="C520" i="23"/>
  <c r="B520" i="23"/>
  <c r="F519" i="23"/>
  <c r="E519" i="23"/>
  <c r="D519" i="23"/>
  <c r="C519" i="23"/>
  <c r="B519" i="23"/>
  <c r="G518" i="23"/>
  <c r="F518" i="23"/>
  <c r="E518" i="23"/>
  <c r="D518" i="23"/>
  <c r="C518" i="23"/>
  <c r="B518" i="23"/>
  <c r="G517" i="23"/>
  <c r="F517" i="23"/>
  <c r="E517" i="23"/>
  <c r="D517" i="23"/>
  <c r="C517" i="23"/>
  <c r="B517" i="23"/>
  <c r="G516" i="23"/>
  <c r="F516" i="23"/>
  <c r="E516" i="23"/>
  <c r="D516" i="23"/>
  <c r="C516" i="23"/>
  <c r="B516" i="23"/>
  <c r="G515" i="23"/>
  <c r="F515" i="23"/>
  <c r="E515" i="23"/>
  <c r="D515" i="23"/>
  <c r="C515" i="23"/>
  <c r="B515" i="23"/>
  <c r="G514" i="23"/>
  <c r="F514" i="23"/>
  <c r="E514" i="23"/>
  <c r="D514" i="23"/>
  <c r="C514" i="23"/>
  <c r="B514" i="23"/>
  <c r="G513" i="23"/>
  <c r="F513" i="23"/>
  <c r="E513" i="23"/>
  <c r="D513" i="23"/>
  <c r="C513" i="23"/>
  <c r="B513" i="23"/>
  <c r="G512" i="23"/>
  <c r="F512" i="23"/>
  <c r="E512" i="23"/>
  <c r="D512" i="23"/>
  <c r="C512" i="23"/>
  <c r="B512" i="23"/>
  <c r="G511" i="23"/>
  <c r="F511" i="23"/>
  <c r="E511" i="23"/>
  <c r="D511" i="23"/>
  <c r="C511" i="23"/>
  <c r="B511" i="23"/>
  <c r="G510" i="23"/>
  <c r="F510" i="23"/>
  <c r="E510" i="23"/>
  <c r="D510" i="23"/>
  <c r="C510" i="23"/>
  <c r="B510" i="23"/>
  <c r="G509" i="23"/>
  <c r="F509" i="23"/>
  <c r="E509" i="23"/>
  <c r="D509" i="23"/>
  <c r="C509" i="23"/>
  <c r="B509" i="23"/>
  <c r="G508" i="23"/>
  <c r="F508" i="23"/>
  <c r="E508" i="23"/>
  <c r="D508" i="23"/>
  <c r="C508" i="23"/>
  <c r="B508" i="23"/>
  <c r="G507" i="23"/>
  <c r="F507" i="23"/>
  <c r="E507" i="23"/>
  <c r="D507" i="23"/>
  <c r="C507" i="23"/>
  <c r="B507" i="23"/>
  <c r="G506" i="23"/>
  <c r="F506" i="23"/>
  <c r="E506" i="23"/>
  <c r="D506" i="23"/>
  <c r="C506" i="23"/>
  <c r="B506" i="23"/>
  <c r="G505" i="23"/>
  <c r="F505" i="23"/>
  <c r="E505" i="23"/>
  <c r="D505" i="23"/>
  <c r="C505" i="23"/>
  <c r="B505" i="23"/>
  <c r="G504" i="23"/>
  <c r="F504" i="23"/>
  <c r="E504" i="23"/>
  <c r="D504" i="23"/>
  <c r="C504" i="23"/>
  <c r="B504" i="23"/>
  <c r="G503" i="23"/>
  <c r="F503" i="23"/>
  <c r="E503" i="23"/>
  <c r="D503" i="23"/>
  <c r="C503" i="23"/>
  <c r="B503" i="23"/>
  <c r="G502" i="23"/>
  <c r="F502" i="23"/>
  <c r="E502" i="23"/>
  <c r="D502" i="23"/>
  <c r="C502" i="23"/>
  <c r="B502" i="23"/>
  <c r="G501" i="23"/>
  <c r="F501" i="23"/>
  <c r="E501" i="23"/>
  <c r="D501" i="23"/>
  <c r="C501" i="23"/>
  <c r="B501" i="23"/>
  <c r="G500" i="23"/>
  <c r="F500" i="23"/>
  <c r="E500" i="23"/>
  <c r="D500" i="23"/>
  <c r="C500" i="23"/>
  <c r="B500" i="23"/>
  <c r="G499" i="23"/>
  <c r="F499" i="23"/>
  <c r="E499" i="23"/>
  <c r="D499" i="23"/>
  <c r="C499" i="23"/>
  <c r="B499" i="23"/>
  <c r="F498" i="23"/>
  <c r="E498" i="23"/>
  <c r="D498" i="23"/>
  <c r="C498" i="23"/>
  <c r="B498" i="23"/>
  <c r="G497" i="23"/>
  <c r="F497" i="23"/>
  <c r="E497" i="23"/>
  <c r="D497" i="23"/>
  <c r="C497" i="23"/>
  <c r="B497" i="23"/>
  <c r="G496" i="23"/>
  <c r="F496" i="23"/>
  <c r="E496" i="23"/>
  <c r="D496" i="23"/>
  <c r="C496" i="23"/>
  <c r="B496" i="23"/>
  <c r="G495" i="23"/>
  <c r="F495" i="23"/>
  <c r="E495" i="23"/>
  <c r="D495" i="23"/>
  <c r="C495" i="23"/>
  <c r="B495" i="23"/>
  <c r="G494" i="23"/>
  <c r="F494" i="23"/>
  <c r="E494" i="23"/>
  <c r="D494" i="23"/>
  <c r="C494" i="23"/>
  <c r="B494" i="23"/>
  <c r="G493" i="23"/>
  <c r="F493" i="23"/>
  <c r="E493" i="23"/>
  <c r="D493" i="23"/>
  <c r="C493" i="23"/>
  <c r="B493" i="23"/>
  <c r="G492" i="23"/>
  <c r="F492" i="23"/>
  <c r="E492" i="23"/>
  <c r="D492" i="23"/>
  <c r="C492" i="23"/>
  <c r="B492" i="23"/>
  <c r="F491" i="23"/>
  <c r="E491" i="23"/>
  <c r="D491" i="23"/>
  <c r="C491" i="23"/>
  <c r="B491" i="23"/>
  <c r="G490" i="23"/>
  <c r="F490" i="23"/>
  <c r="E490" i="23"/>
  <c r="D490" i="23"/>
  <c r="C490" i="23"/>
  <c r="B490" i="23"/>
  <c r="G489" i="23"/>
  <c r="F489" i="23"/>
  <c r="E489" i="23"/>
  <c r="D489" i="23"/>
  <c r="C489" i="23"/>
  <c r="B489" i="23"/>
  <c r="G488" i="23"/>
  <c r="F488" i="23"/>
  <c r="E488" i="23"/>
  <c r="D488" i="23"/>
  <c r="C488" i="23"/>
  <c r="B488" i="23"/>
  <c r="G487" i="23"/>
  <c r="F487" i="23"/>
  <c r="E487" i="23"/>
  <c r="D487" i="23"/>
  <c r="C487" i="23"/>
  <c r="B487" i="23"/>
  <c r="G486" i="23"/>
  <c r="F486" i="23"/>
  <c r="E486" i="23"/>
  <c r="D486" i="23"/>
  <c r="C486" i="23"/>
  <c r="B486" i="23"/>
  <c r="F485" i="23"/>
  <c r="E485" i="23"/>
  <c r="D485" i="23"/>
  <c r="C485" i="23"/>
  <c r="B485" i="23"/>
  <c r="G484" i="23"/>
  <c r="J484" i="23" s="1"/>
  <c r="F484" i="23"/>
  <c r="E484" i="23"/>
  <c r="D484" i="23"/>
  <c r="C484" i="23"/>
  <c r="B484" i="23"/>
  <c r="G483" i="23"/>
  <c r="F483" i="23"/>
  <c r="E483" i="23"/>
  <c r="D483" i="23"/>
  <c r="C483" i="23"/>
  <c r="B483" i="23"/>
  <c r="F482" i="23"/>
  <c r="E482" i="23"/>
  <c r="D482" i="23"/>
  <c r="C482" i="23"/>
  <c r="B482" i="23"/>
  <c r="F481" i="23"/>
  <c r="E481" i="23"/>
  <c r="D481" i="23"/>
  <c r="C481" i="23"/>
  <c r="B481" i="23"/>
  <c r="F480" i="23"/>
  <c r="E480" i="23"/>
  <c r="D480" i="23"/>
  <c r="C480" i="23"/>
  <c r="B480" i="23"/>
  <c r="G479" i="23"/>
  <c r="F479" i="23"/>
  <c r="E479" i="23"/>
  <c r="D479" i="23"/>
  <c r="C479" i="23"/>
  <c r="B479" i="23"/>
  <c r="G478" i="23"/>
  <c r="F478" i="23"/>
  <c r="E478" i="23"/>
  <c r="D478" i="23"/>
  <c r="C478" i="23"/>
  <c r="B478" i="23"/>
  <c r="G477" i="23"/>
  <c r="F477" i="23"/>
  <c r="E477" i="23"/>
  <c r="D477" i="23"/>
  <c r="C477" i="23"/>
  <c r="B477" i="23"/>
  <c r="F476" i="23"/>
  <c r="E476" i="23"/>
  <c r="D476" i="23"/>
  <c r="C476" i="23"/>
  <c r="B476" i="23"/>
  <c r="G475" i="23"/>
  <c r="F475" i="23"/>
  <c r="E475" i="23"/>
  <c r="D475" i="23"/>
  <c r="C475" i="23"/>
  <c r="B475" i="23"/>
  <c r="G474" i="23"/>
  <c r="F474" i="23"/>
  <c r="E474" i="23"/>
  <c r="D474" i="23"/>
  <c r="C474" i="23"/>
  <c r="B474" i="23"/>
  <c r="G473" i="23"/>
  <c r="F473" i="23"/>
  <c r="E473" i="23"/>
  <c r="D473" i="23"/>
  <c r="C473" i="23"/>
  <c r="B473" i="23"/>
  <c r="G472" i="23"/>
  <c r="F472" i="23"/>
  <c r="E472" i="23"/>
  <c r="D472" i="23"/>
  <c r="C472" i="23"/>
  <c r="B472" i="23"/>
  <c r="G471" i="23"/>
  <c r="F471" i="23"/>
  <c r="E471" i="23"/>
  <c r="D471" i="23"/>
  <c r="C471" i="23"/>
  <c r="B471" i="23"/>
  <c r="F470" i="23"/>
  <c r="E470" i="23"/>
  <c r="D470" i="23"/>
  <c r="C470" i="23"/>
  <c r="B470" i="23"/>
  <c r="G469" i="23"/>
  <c r="F469" i="23"/>
  <c r="E469" i="23"/>
  <c r="D469" i="23"/>
  <c r="C469" i="23"/>
  <c r="B469" i="23"/>
  <c r="G468" i="23"/>
  <c r="F468" i="23"/>
  <c r="E468" i="23"/>
  <c r="D468" i="23"/>
  <c r="C468" i="23"/>
  <c r="B468" i="23"/>
  <c r="G467" i="23"/>
  <c r="F467" i="23"/>
  <c r="E467" i="23"/>
  <c r="D467" i="23"/>
  <c r="C467" i="23"/>
  <c r="B467" i="23"/>
  <c r="G466" i="23"/>
  <c r="F466" i="23"/>
  <c r="E466" i="23"/>
  <c r="D466" i="23"/>
  <c r="C466" i="23"/>
  <c r="B466" i="23"/>
  <c r="F465" i="23"/>
  <c r="E465" i="23"/>
  <c r="D465" i="23"/>
  <c r="C465" i="23"/>
  <c r="B465" i="23"/>
  <c r="F464" i="23"/>
  <c r="E464" i="23"/>
  <c r="D464" i="23"/>
  <c r="C464" i="23"/>
  <c r="B464" i="23"/>
  <c r="G463" i="23"/>
  <c r="F463" i="23"/>
  <c r="E463" i="23"/>
  <c r="D463" i="23"/>
  <c r="C463" i="23"/>
  <c r="B463" i="23"/>
  <c r="G462" i="23"/>
  <c r="F462" i="23"/>
  <c r="E462" i="23"/>
  <c r="D462" i="23"/>
  <c r="C462" i="23"/>
  <c r="B462" i="23"/>
  <c r="G461" i="23"/>
  <c r="F461" i="23"/>
  <c r="E461" i="23"/>
  <c r="D461" i="23"/>
  <c r="C461" i="23"/>
  <c r="B461" i="23"/>
  <c r="G460" i="23"/>
  <c r="F460" i="23"/>
  <c r="E460" i="23"/>
  <c r="D460" i="23"/>
  <c r="C460" i="23"/>
  <c r="B460" i="23"/>
  <c r="G459" i="23"/>
  <c r="F459" i="23"/>
  <c r="E459" i="23"/>
  <c r="D459" i="23"/>
  <c r="C459" i="23"/>
  <c r="B459" i="23"/>
  <c r="G458" i="23"/>
  <c r="F458" i="23"/>
  <c r="E458" i="23"/>
  <c r="D458" i="23"/>
  <c r="C458" i="23"/>
  <c r="B458" i="23"/>
  <c r="G457" i="23"/>
  <c r="F457" i="23"/>
  <c r="E457" i="23"/>
  <c r="D457" i="23"/>
  <c r="C457" i="23"/>
  <c r="B457" i="23"/>
  <c r="G456" i="23"/>
  <c r="F456" i="23"/>
  <c r="E456" i="23"/>
  <c r="D456" i="23"/>
  <c r="C456" i="23"/>
  <c r="B456" i="23"/>
  <c r="G455" i="23"/>
  <c r="F455" i="23"/>
  <c r="E455" i="23"/>
  <c r="D455" i="23"/>
  <c r="C455" i="23"/>
  <c r="B455" i="23"/>
  <c r="G454" i="23"/>
  <c r="F454" i="23"/>
  <c r="E454" i="23"/>
  <c r="D454" i="23"/>
  <c r="C454" i="23"/>
  <c r="B454" i="23"/>
  <c r="G453" i="23"/>
  <c r="F453" i="23"/>
  <c r="E453" i="23"/>
  <c r="D453" i="23"/>
  <c r="C453" i="23"/>
  <c r="B453" i="23"/>
  <c r="G452" i="23"/>
  <c r="F452" i="23"/>
  <c r="E452" i="23"/>
  <c r="D452" i="23"/>
  <c r="C452" i="23"/>
  <c r="B452" i="23"/>
  <c r="G451" i="23"/>
  <c r="F451" i="23"/>
  <c r="E451" i="23"/>
  <c r="D451" i="23"/>
  <c r="C451" i="23"/>
  <c r="B451" i="23"/>
  <c r="G450" i="23"/>
  <c r="F450" i="23"/>
  <c r="E450" i="23"/>
  <c r="D450" i="23"/>
  <c r="C450" i="23"/>
  <c r="B450" i="23"/>
  <c r="G449" i="23"/>
  <c r="F449" i="23"/>
  <c r="E449" i="23"/>
  <c r="D449" i="23"/>
  <c r="C449" i="23"/>
  <c r="B449" i="23"/>
  <c r="G448" i="23"/>
  <c r="F448" i="23"/>
  <c r="E448" i="23"/>
  <c r="D448" i="23"/>
  <c r="C448" i="23"/>
  <c r="B448" i="23"/>
  <c r="G447" i="23"/>
  <c r="F447" i="23"/>
  <c r="E447" i="23"/>
  <c r="D447" i="23"/>
  <c r="C447" i="23"/>
  <c r="B447" i="23"/>
  <c r="G446" i="23"/>
  <c r="F446" i="23"/>
  <c r="E446" i="23"/>
  <c r="D446" i="23"/>
  <c r="C446" i="23"/>
  <c r="B446" i="23"/>
  <c r="G445" i="23"/>
  <c r="F445" i="23"/>
  <c r="E445" i="23"/>
  <c r="D445" i="23"/>
  <c r="C445" i="23"/>
  <c r="B445" i="23"/>
  <c r="F444" i="23"/>
  <c r="E444" i="23"/>
  <c r="D444" i="23"/>
  <c r="C444" i="23"/>
  <c r="B444" i="23"/>
  <c r="F443" i="23"/>
  <c r="E443" i="23"/>
  <c r="D443" i="23"/>
  <c r="C443" i="23"/>
  <c r="B443" i="23"/>
  <c r="G442" i="23"/>
  <c r="F442" i="23"/>
  <c r="E442" i="23"/>
  <c r="D442" i="23"/>
  <c r="C442" i="23"/>
  <c r="B442" i="23"/>
  <c r="G441" i="23"/>
  <c r="F441" i="23"/>
  <c r="E441" i="23"/>
  <c r="D441" i="23"/>
  <c r="C441" i="23"/>
  <c r="B441" i="23"/>
  <c r="G440" i="23"/>
  <c r="F440" i="23"/>
  <c r="E440" i="23"/>
  <c r="D440" i="23"/>
  <c r="C440" i="23"/>
  <c r="B440" i="23"/>
  <c r="G439" i="23"/>
  <c r="F439" i="23"/>
  <c r="E439" i="23"/>
  <c r="D439" i="23"/>
  <c r="C439" i="23"/>
  <c r="B439" i="23"/>
  <c r="G438" i="23"/>
  <c r="F438" i="23"/>
  <c r="E438" i="23"/>
  <c r="D438" i="23"/>
  <c r="C438" i="23"/>
  <c r="B438" i="23"/>
  <c r="G437" i="23"/>
  <c r="F437" i="23"/>
  <c r="E437" i="23"/>
  <c r="D437" i="23"/>
  <c r="C437" i="23"/>
  <c r="B437" i="23"/>
  <c r="G436" i="23"/>
  <c r="F436" i="23"/>
  <c r="E436" i="23"/>
  <c r="D436" i="23"/>
  <c r="C436" i="23"/>
  <c r="B436" i="23"/>
  <c r="F435" i="23"/>
  <c r="E435" i="23"/>
  <c r="D435" i="23"/>
  <c r="C435" i="23"/>
  <c r="B435" i="23"/>
  <c r="G434" i="23"/>
  <c r="F434" i="23"/>
  <c r="E434" i="23"/>
  <c r="D434" i="23"/>
  <c r="C434" i="23"/>
  <c r="B434" i="23"/>
  <c r="G433" i="23"/>
  <c r="F433" i="23"/>
  <c r="E433" i="23"/>
  <c r="D433" i="23"/>
  <c r="C433" i="23"/>
  <c r="B433" i="23"/>
  <c r="G432" i="23"/>
  <c r="F432" i="23"/>
  <c r="E432" i="23"/>
  <c r="D432" i="23"/>
  <c r="C432" i="23"/>
  <c r="B432" i="23"/>
  <c r="G431" i="23"/>
  <c r="F431" i="23"/>
  <c r="E431" i="23"/>
  <c r="D431" i="23"/>
  <c r="C431" i="23"/>
  <c r="B431" i="23"/>
  <c r="G430" i="23"/>
  <c r="F430" i="23"/>
  <c r="E430" i="23"/>
  <c r="D430" i="23"/>
  <c r="C430" i="23"/>
  <c r="B430" i="23"/>
  <c r="G429" i="23"/>
  <c r="F429" i="23"/>
  <c r="E429" i="23"/>
  <c r="D429" i="23"/>
  <c r="C429" i="23"/>
  <c r="B429" i="23"/>
  <c r="G428" i="23"/>
  <c r="F428" i="23"/>
  <c r="E428" i="23"/>
  <c r="D428" i="23"/>
  <c r="C428" i="23"/>
  <c r="B428" i="23"/>
  <c r="G427" i="23"/>
  <c r="F427" i="23"/>
  <c r="E427" i="23"/>
  <c r="D427" i="23"/>
  <c r="C427" i="23"/>
  <c r="B427" i="23"/>
  <c r="G426" i="23"/>
  <c r="F426" i="23"/>
  <c r="E426" i="23"/>
  <c r="D426" i="23"/>
  <c r="C426" i="23"/>
  <c r="B426" i="23"/>
  <c r="G425" i="23"/>
  <c r="F425" i="23"/>
  <c r="E425" i="23"/>
  <c r="D425" i="23"/>
  <c r="C425" i="23"/>
  <c r="B425" i="23"/>
  <c r="G424" i="23"/>
  <c r="F424" i="23"/>
  <c r="E424" i="23"/>
  <c r="D424" i="23"/>
  <c r="C424" i="23"/>
  <c r="B424" i="23"/>
  <c r="G423" i="23"/>
  <c r="F423" i="23"/>
  <c r="E423" i="23"/>
  <c r="D423" i="23"/>
  <c r="C423" i="23"/>
  <c r="B423" i="23"/>
  <c r="G422" i="23"/>
  <c r="F422" i="23"/>
  <c r="E422" i="23"/>
  <c r="D422" i="23"/>
  <c r="C422" i="23"/>
  <c r="B422" i="23"/>
  <c r="G421" i="23"/>
  <c r="F421" i="23"/>
  <c r="E421" i="23"/>
  <c r="D421" i="23"/>
  <c r="C421" i="23"/>
  <c r="B421" i="23"/>
  <c r="G420" i="23"/>
  <c r="F420" i="23"/>
  <c r="E420" i="23"/>
  <c r="D420" i="23"/>
  <c r="C420" i="23"/>
  <c r="B420" i="23"/>
  <c r="G419" i="23"/>
  <c r="F419" i="23"/>
  <c r="E419" i="23"/>
  <c r="D419" i="23"/>
  <c r="C419" i="23"/>
  <c r="B419" i="23"/>
  <c r="G418" i="23"/>
  <c r="F418" i="23"/>
  <c r="E418" i="23"/>
  <c r="D418" i="23"/>
  <c r="C418" i="23"/>
  <c r="B418" i="23"/>
  <c r="G417" i="23"/>
  <c r="F417" i="23"/>
  <c r="E417" i="23"/>
  <c r="D417" i="23"/>
  <c r="C417" i="23"/>
  <c r="B417" i="23"/>
  <c r="G416" i="23"/>
  <c r="F416" i="23"/>
  <c r="E416" i="23"/>
  <c r="D416" i="23"/>
  <c r="C416" i="23"/>
  <c r="B416" i="23"/>
  <c r="G415" i="23"/>
  <c r="F415" i="23"/>
  <c r="E415" i="23"/>
  <c r="D415" i="23"/>
  <c r="C415" i="23"/>
  <c r="B415" i="23"/>
  <c r="G414" i="23"/>
  <c r="F414" i="23"/>
  <c r="E414" i="23"/>
  <c r="D414" i="23"/>
  <c r="C414" i="23"/>
  <c r="B414" i="23"/>
  <c r="G413" i="23"/>
  <c r="F413" i="23"/>
  <c r="E413" i="23"/>
  <c r="D413" i="23"/>
  <c r="C413" i="23"/>
  <c r="B413" i="23"/>
  <c r="G412" i="23"/>
  <c r="F412" i="23"/>
  <c r="E412" i="23"/>
  <c r="D412" i="23"/>
  <c r="C412" i="23"/>
  <c r="B412" i="23"/>
  <c r="G411" i="23"/>
  <c r="F411" i="23"/>
  <c r="E411" i="23"/>
  <c r="D411" i="23"/>
  <c r="C411" i="23"/>
  <c r="B411" i="23"/>
  <c r="G410" i="23"/>
  <c r="F410" i="23"/>
  <c r="E410" i="23"/>
  <c r="D410" i="23"/>
  <c r="C410" i="23"/>
  <c r="B410" i="23"/>
  <c r="G409" i="23"/>
  <c r="F409" i="23"/>
  <c r="E409" i="23"/>
  <c r="D409" i="23"/>
  <c r="C409" i="23"/>
  <c r="B409" i="23"/>
  <c r="G408" i="23"/>
  <c r="F408" i="23"/>
  <c r="E408" i="23"/>
  <c r="D408" i="23"/>
  <c r="C408" i="23"/>
  <c r="B408" i="23"/>
  <c r="G407" i="23"/>
  <c r="F407" i="23"/>
  <c r="E407" i="23"/>
  <c r="D407" i="23"/>
  <c r="C407" i="23"/>
  <c r="B407" i="23"/>
  <c r="G406" i="23"/>
  <c r="F406" i="23"/>
  <c r="E406" i="23"/>
  <c r="D406" i="23"/>
  <c r="C406" i="23"/>
  <c r="B406" i="23"/>
  <c r="G405" i="23"/>
  <c r="F405" i="23"/>
  <c r="E405" i="23"/>
  <c r="D405" i="23"/>
  <c r="C405" i="23"/>
  <c r="B405" i="23"/>
  <c r="G404" i="23"/>
  <c r="F404" i="23"/>
  <c r="E404" i="23"/>
  <c r="D404" i="23"/>
  <c r="C404" i="23"/>
  <c r="B404" i="23"/>
  <c r="G403" i="23"/>
  <c r="F403" i="23"/>
  <c r="E403" i="23"/>
  <c r="D403" i="23"/>
  <c r="C403" i="23"/>
  <c r="B403" i="23"/>
  <c r="G402" i="23"/>
  <c r="F402" i="23"/>
  <c r="E402" i="23"/>
  <c r="D402" i="23"/>
  <c r="C402" i="23"/>
  <c r="B402" i="23"/>
  <c r="G401" i="23"/>
  <c r="F401" i="23"/>
  <c r="E401" i="23"/>
  <c r="D401" i="23"/>
  <c r="C401" i="23"/>
  <c r="B401" i="23"/>
  <c r="F400" i="23"/>
  <c r="E400" i="23"/>
  <c r="D400" i="23"/>
  <c r="C400" i="23"/>
  <c r="B400" i="23"/>
  <c r="G399" i="23"/>
  <c r="F399" i="23"/>
  <c r="E399" i="23"/>
  <c r="D399" i="23"/>
  <c r="C399" i="23"/>
  <c r="B399" i="23"/>
  <c r="G398" i="23"/>
  <c r="F398" i="23"/>
  <c r="E398" i="23"/>
  <c r="D398" i="23"/>
  <c r="C398" i="23"/>
  <c r="B398" i="23"/>
  <c r="G397" i="23"/>
  <c r="F397" i="23"/>
  <c r="E397" i="23"/>
  <c r="D397" i="23"/>
  <c r="C397" i="23"/>
  <c r="B397" i="23"/>
  <c r="G396" i="23"/>
  <c r="F396" i="23"/>
  <c r="E396" i="23"/>
  <c r="D396" i="23"/>
  <c r="C396" i="23"/>
  <c r="B396" i="23"/>
  <c r="G395" i="23"/>
  <c r="F395" i="23"/>
  <c r="E395" i="23"/>
  <c r="D395" i="23"/>
  <c r="C395" i="23"/>
  <c r="B395" i="23"/>
  <c r="G394" i="23"/>
  <c r="F394" i="23"/>
  <c r="E394" i="23"/>
  <c r="D394" i="23"/>
  <c r="C394" i="23"/>
  <c r="B394" i="23"/>
  <c r="G393" i="23"/>
  <c r="F393" i="23"/>
  <c r="E393" i="23"/>
  <c r="D393" i="23"/>
  <c r="C393" i="23"/>
  <c r="B393" i="23"/>
  <c r="G392" i="23"/>
  <c r="F392" i="23"/>
  <c r="E392" i="23"/>
  <c r="D392" i="23"/>
  <c r="C392" i="23"/>
  <c r="B392" i="23"/>
  <c r="G391" i="23"/>
  <c r="F391" i="23"/>
  <c r="E391" i="23"/>
  <c r="D391" i="23"/>
  <c r="C391" i="23"/>
  <c r="B391" i="23"/>
  <c r="G390" i="23"/>
  <c r="F390" i="23"/>
  <c r="E390" i="23"/>
  <c r="D390" i="23"/>
  <c r="C390" i="23"/>
  <c r="B390" i="23"/>
  <c r="F389" i="23"/>
  <c r="E389" i="23"/>
  <c r="D389" i="23"/>
  <c r="C389" i="23"/>
  <c r="B389" i="23"/>
  <c r="G388" i="23"/>
  <c r="F388" i="23"/>
  <c r="E388" i="23"/>
  <c r="D388" i="23"/>
  <c r="C388" i="23"/>
  <c r="B388" i="23"/>
  <c r="G387" i="23"/>
  <c r="F387" i="23"/>
  <c r="E387" i="23"/>
  <c r="D387" i="23"/>
  <c r="C387" i="23"/>
  <c r="B387" i="23"/>
  <c r="F386" i="23"/>
  <c r="E386" i="23"/>
  <c r="D386" i="23"/>
  <c r="C386" i="23"/>
  <c r="B386" i="23"/>
  <c r="F385" i="23"/>
  <c r="E385" i="23"/>
  <c r="D385" i="23"/>
  <c r="C385" i="23"/>
  <c r="B385" i="23"/>
  <c r="G384" i="23"/>
  <c r="F384" i="23"/>
  <c r="E384" i="23"/>
  <c r="D384" i="23"/>
  <c r="C384" i="23"/>
  <c r="B384" i="23"/>
  <c r="G383" i="23"/>
  <c r="F383" i="23"/>
  <c r="E383" i="23"/>
  <c r="D383" i="23"/>
  <c r="C383" i="23"/>
  <c r="B383" i="23"/>
  <c r="F382" i="23"/>
  <c r="E382" i="23"/>
  <c r="D382" i="23"/>
  <c r="C382" i="23"/>
  <c r="B382" i="23"/>
  <c r="F381" i="23"/>
  <c r="E381" i="23"/>
  <c r="D381" i="23"/>
  <c r="C381" i="23"/>
  <c r="B381" i="23"/>
  <c r="G380" i="23"/>
  <c r="F380" i="23"/>
  <c r="E380" i="23"/>
  <c r="D380" i="23"/>
  <c r="C380" i="23"/>
  <c r="B380" i="23"/>
  <c r="G379" i="23"/>
  <c r="F379" i="23"/>
  <c r="E379" i="23"/>
  <c r="D379" i="23"/>
  <c r="C379" i="23"/>
  <c r="B379" i="23"/>
  <c r="G378" i="23"/>
  <c r="F378" i="23"/>
  <c r="E378" i="23"/>
  <c r="D378" i="23"/>
  <c r="C378" i="23"/>
  <c r="B378" i="23"/>
  <c r="G377" i="23"/>
  <c r="F377" i="23"/>
  <c r="E377" i="23"/>
  <c r="D377" i="23"/>
  <c r="C377" i="23"/>
  <c r="B377" i="23"/>
  <c r="G376" i="23"/>
  <c r="F376" i="23"/>
  <c r="E376" i="23"/>
  <c r="D376" i="23"/>
  <c r="C376" i="23"/>
  <c r="B376" i="23"/>
  <c r="G375" i="23"/>
  <c r="F375" i="23"/>
  <c r="E375" i="23"/>
  <c r="D375" i="23"/>
  <c r="C375" i="23"/>
  <c r="B375" i="23"/>
  <c r="G374" i="23"/>
  <c r="F374" i="23"/>
  <c r="E374" i="23"/>
  <c r="D374" i="23"/>
  <c r="C374" i="23"/>
  <c r="B374" i="23"/>
  <c r="G373" i="23"/>
  <c r="F373" i="23"/>
  <c r="E373" i="23"/>
  <c r="D373" i="23"/>
  <c r="C373" i="23"/>
  <c r="B373" i="23"/>
  <c r="F372" i="23"/>
  <c r="E372" i="23"/>
  <c r="D372" i="23"/>
  <c r="C372" i="23"/>
  <c r="B372" i="23"/>
  <c r="F371" i="23"/>
  <c r="E371" i="23"/>
  <c r="D371" i="23"/>
  <c r="C371" i="23"/>
  <c r="B371" i="23"/>
  <c r="F370" i="23"/>
  <c r="E370" i="23"/>
  <c r="D370" i="23"/>
  <c r="C370" i="23"/>
  <c r="B370" i="23"/>
  <c r="G369" i="23"/>
  <c r="F369" i="23"/>
  <c r="E369" i="23"/>
  <c r="D369" i="23"/>
  <c r="C369" i="23"/>
  <c r="B369" i="23"/>
  <c r="G368" i="23"/>
  <c r="F368" i="23"/>
  <c r="E368" i="23"/>
  <c r="D368" i="23"/>
  <c r="C368" i="23"/>
  <c r="B368" i="23"/>
  <c r="G367" i="23"/>
  <c r="F367" i="23"/>
  <c r="E367" i="23"/>
  <c r="D367" i="23"/>
  <c r="C367" i="23"/>
  <c r="B367" i="23"/>
  <c r="G366" i="23"/>
  <c r="F366" i="23"/>
  <c r="E366" i="23"/>
  <c r="D366" i="23"/>
  <c r="C366" i="23"/>
  <c r="B366" i="23"/>
  <c r="G365" i="23"/>
  <c r="F365" i="23"/>
  <c r="E365" i="23"/>
  <c r="D365" i="23"/>
  <c r="C365" i="23"/>
  <c r="B365" i="23"/>
  <c r="G364" i="23"/>
  <c r="F364" i="23"/>
  <c r="E364" i="23"/>
  <c r="D364" i="23"/>
  <c r="C364" i="23"/>
  <c r="B364" i="23"/>
  <c r="G363" i="23"/>
  <c r="F363" i="23"/>
  <c r="E363" i="23"/>
  <c r="D363" i="23"/>
  <c r="C363" i="23"/>
  <c r="B363" i="23"/>
  <c r="G362" i="23"/>
  <c r="F362" i="23"/>
  <c r="E362" i="23"/>
  <c r="D362" i="23"/>
  <c r="C362" i="23"/>
  <c r="B362" i="23"/>
  <c r="G361" i="23"/>
  <c r="F361" i="23"/>
  <c r="E361" i="23"/>
  <c r="D361" i="23"/>
  <c r="C361" i="23"/>
  <c r="B361" i="23"/>
  <c r="G360" i="23"/>
  <c r="F360" i="23"/>
  <c r="E360" i="23"/>
  <c r="D360" i="23"/>
  <c r="C360" i="23"/>
  <c r="B360" i="23"/>
  <c r="G359" i="23"/>
  <c r="F359" i="23"/>
  <c r="E359" i="23"/>
  <c r="D359" i="23"/>
  <c r="C359" i="23"/>
  <c r="B359" i="23"/>
  <c r="F358" i="23"/>
  <c r="E358" i="23"/>
  <c r="D358" i="23"/>
  <c r="C358" i="23"/>
  <c r="B358" i="23"/>
  <c r="G357" i="23"/>
  <c r="F357" i="23"/>
  <c r="E357" i="23"/>
  <c r="D357" i="23"/>
  <c r="C357" i="23"/>
  <c r="B357" i="23"/>
  <c r="G356" i="23"/>
  <c r="F356" i="23"/>
  <c r="E356" i="23"/>
  <c r="D356" i="23"/>
  <c r="C356" i="23"/>
  <c r="B356" i="23"/>
  <c r="F355" i="23"/>
  <c r="E355" i="23"/>
  <c r="D355" i="23"/>
  <c r="C355" i="23"/>
  <c r="B355" i="23"/>
  <c r="G354" i="23"/>
  <c r="F354" i="23"/>
  <c r="E354" i="23"/>
  <c r="D354" i="23"/>
  <c r="C354" i="23"/>
  <c r="B354" i="23"/>
  <c r="G353" i="23"/>
  <c r="F353" i="23"/>
  <c r="E353" i="23"/>
  <c r="D353" i="23"/>
  <c r="C353" i="23"/>
  <c r="B353" i="23"/>
  <c r="G352" i="23"/>
  <c r="F352" i="23"/>
  <c r="E352" i="23"/>
  <c r="D352" i="23"/>
  <c r="C352" i="23"/>
  <c r="B352" i="23"/>
  <c r="G351" i="23"/>
  <c r="F351" i="23"/>
  <c r="E351" i="23"/>
  <c r="D351" i="23"/>
  <c r="C351" i="23"/>
  <c r="B351" i="23"/>
  <c r="G350" i="23"/>
  <c r="F350" i="23"/>
  <c r="E350" i="23"/>
  <c r="D350" i="23"/>
  <c r="C350" i="23"/>
  <c r="B350" i="23"/>
  <c r="G349" i="23"/>
  <c r="F349" i="23"/>
  <c r="E349" i="23"/>
  <c r="D349" i="23"/>
  <c r="C349" i="23"/>
  <c r="B349" i="23"/>
  <c r="G348" i="23"/>
  <c r="F348" i="23"/>
  <c r="E348" i="23"/>
  <c r="D348" i="23"/>
  <c r="C348" i="23"/>
  <c r="B348" i="23"/>
  <c r="G347" i="23"/>
  <c r="F347" i="23"/>
  <c r="E347" i="23"/>
  <c r="D347" i="23"/>
  <c r="C347" i="23"/>
  <c r="B347" i="23"/>
  <c r="G346" i="23"/>
  <c r="F346" i="23"/>
  <c r="E346" i="23"/>
  <c r="D346" i="23"/>
  <c r="C346" i="23"/>
  <c r="B346" i="23"/>
  <c r="G345" i="23"/>
  <c r="F345" i="23"/>
  <c r="E345" i="23"/>
  <c r="D345" i="23"/>
  <c r="C345" i="23"/>
  <c r="B345" i="23"/>
  <c r="G344" i="23"/>
  <c r="F344" i="23"/>
  <c r="E344" i="23"/>
  <c r="D344" i="23"/>
  <c r="C344" i="23"/>
  <c r="B344" i="23"/>
  <c r="F343" i="23"/>
  <c r="E343" i="23"/>
  <c r="D343" i="23"/>
  <c r="C343" i="23"/>
  <c r="B343" i="23"/>
  <c r="G342" i="23"/>
  <c r="F342" i="23"/>
  <c r="E342" i="23"/>
  <c r="D342" i="23"/>
  <c r="C342" i="23"/>
  <c r="B342" i="23"/>
  <c r="G341" i="23"/>
  <c r="F341" i="23"/>
  <c r="E341" i="23"/>
  <c r="D341" i="23"/>
  <c r="C341" i="23"/>
  <c r="B341" i="23"/>
  <c r="F340" i="23"/>
  <c r="E340" i="23"/>
  <c r="D340" i="23"/>
  <c r="C340" i="23"/>
  <c r="B340" i="23"/>
  <c r="F339" i="23"/>
  <c r="E339" i="23"/>
  <c r="D339" i="23"/>
  <c r="C339" i="23"/>
  <c r="B339" i="23"/>
  <c r="G338" i="23"/>
  <c r="F338" i="23"/>
  <c r="E338" i="23"/>
  <c r="D338" i="23"/>
  <c r="C338" i="23"/>
  <c r="B338" i="23"/>
  <c r="F337" i="23"/>
  <c r="E337" i="23"/>
  <c r="D337" i="23"/>
  <c r="C337" i="23"/>
  <c r="B337" i="23"/>
  <c r="G336" i="23"/>
  <c r="F336" i="23"/>
  <c r="E336" i="23"/>
  <c r="D336" i="23"/>
  <c r="C336" i="23"/>
  <c r="B336" i="23"/>
  <c r="G335" i="23"/>
  <c r="F335" i="23"/>
  <c r="E335" i="23"/>
  <c r="D335" i="23"/>
  <c r="C335" i="23"/>
  <c r="B335" i="23"/>
  <c r="G334" i="23"/>
  <c r="F334" i="23"/>
  <c r="E334" i="23"/>
  <c r="D334" i="23"/>
  <c r="C334" i="23"/>
  <c r="B334" i="23"/>
  <c r="G333" i="23"/>
  <c r="F333" i="23"/>
  <c r="E333" i="23"/>
  <c r="D333" i="23"/>
  <c r="C333" i="23"/>
  <c r="B333" i="23"/>
  <c r="G332" i="23"/>
  <c r="F332" i="23"/>
  <c r="E332" i="23"/>
  <c r="D332" i="23"/>
  <c r="C332" i="23"/>
  <c r="B332" i="23"/>
  <c r="G331" i="23"/>
  <c r="F331" i="23"/>
  <c r="E331" i="23"/>
  <c r="D331" i="23"/>
  <c r="C331" i="23"/>
  <c r="B331" i="23"/>
  <c r="G330" i="23"/>
  <c r="F330" i="23"/>
  <c r="E330" i="23"/>
  <c r="D330" i="23"/>
  <c r="C330" i="23"/>
  <c r="B330" i="23"/>
  <c r="G329" i="23"/>
  <c r="F329" i="23"/>
  <c r="E329" i="23"/>
  <c r="D329" i="23"/>
  <c r="C329" i="23"/>
  <c r="B329" i="23"/>
  <c r="G328" i="23"/>
  <c r="F328" i="23"/>
  <c r="E328" i="23"/>
  <c r="D328" i="23"/>
  <c r="C328" i="23"/>
  <c r="B328" i="23"/>
  <c r="G327" i="23"/>
  <c r="F327" i="23"/>
  <c r="E327" i="23"/>
  <c r="D327" i="23"/>
  <c r="C327" i="23"/>
  <c r="B327" i="23"/>
  <c r="G326" i="23"/>
  <c r="F326" i="23"/>
  <c r="E326" i="23"/>
  <c r="D326" i="23"/>
  <c r="C326" i="23"/>
  <c r="B326" i="23"/>
  <c r="G325" i="23"/>
  <c r="F325" i="23"/>
  <c r="E325" i="23"/>
  <c r="D325" i="23"/>
  <c r="C325" i="23"/>
  <c r="B325" i="23"/>
  <c r="G324" i="23"/>
  <c r="F324" i="23"/>
  <c r="E324" i="23"/>
  <c r="D324" i="23"/>
  <c r="C324" i="23"/>
  <c r="B324" i="23"/>
  <c r="G323" i="23"/>
  <c r="F323" i="23"/>
  <c r="E323" i="23"/>
  <c r="D323" i="23"/>
  <c r="C323" i="23"/>
  <c r="B323" i="23"/>
  <c r="G322" i="23"/>
  <c r="F322" i="23"/>
  <c r="E322" i="23"/>
  <c r="D322" i="23"/>
  <c r="C322" i="23"/>
  <c r="B322" i="23"/>
  <c r="G321" i="23"/>
  <c r="F321" i="23"/>
  <c r="E321" i="23"/>
  <c r="D321" i="23"/>
  <c r="C321" i="23"/>
  <c r="B321" i="23"/>
  <c r="F320" i="23"/>
  <c r="E320" i="23"/>
  <c r="D320" i="23"/>
  <c r="C320" i="23"/>
  <c r="B320" i="23"/>
  <c r="G319" i="23"/>
  <c r="F319" i="23"/>
  <c r="E319" i="23"/>
  <c r="D319" i="23"/>
  <c r="C319" i="23"/>
  <c r="B319" i="23"/>
  <c r="G318" i="23"/>
  <c r="F318" i="23"/>
  <c r="E318" i="23"/>
  <c r="D318" i="23"/>
  <c r="C318" i="23"/>
  <c r="B318" i="23"/>
  <c r="G317" i="23"/>
  <c r="F317" i="23"/>
  <c r="E317" i="23"/>
  <c r="D317" i="23"/>
  <c r="C317" i="23"/>
  <c r="B317" i="23"/>
  <c r="F316" i="23"/>
  <c r="E316" i="23"/>
  <c r="D316" i="23"/>
  <c r="C316" i="23"/>
  <c r="B316" i="23"/>
  <c r="F315" i="23"/>
  <c r="E315" i="23"/>
  <c r="D315" i="23"/>
  <c r="C315" i="23"/>
  <c r="B315" i="23"/>
  <c r="F314" i="23"/>
  <c r="E314" i="23"/>
  <c r="D314" i="23"/>
  <c r="C314" i="23"/>
  <c r="B314" i="23"/>
  <c r="F313" i="23"/>
  <c r="E313" i="23"/>
  <c r="D313" i="23"/>
  <c r="C313" i="23"/>
  <c r="B313" i="23"/>
  <c r="G312" i="23"/>
  <c r="F312" i="23"/>
  <c r="E312" i="23"/>
  <c r="D312" i="23"/>
  <c r="C312" i="23"/>
  <c r="B312" i="23"/>
  <c r="G311" i="23"/>
  <c r="F311" i="23"/>
  <c r="E311" i="23"/>
  <c r="D311" i="23"/>
  <c r="C311" i="23"/>
  <c r="B311" i="23"/>
  <c r="G310" i="23"/>
  <c r="F310" i="23"/>
  <c r="E310" i="23"/>
  <c r="D310" i="23"/>
  <c r="C310" i="23"/>
  <c r="B310" i="23"/>
  <c r="G309" i="23"/>
  <c r="F309" i="23"/>
  <c r="E309" i="23"/>
  <c r="D309" i="23"/>
  <c r="C309" i="23"/>
  <c r="B309" i="23"/>
  <c r="G308" i="23"/>
  <c r="F308" i="23"/>
  <c r="E308" i="23"/>
  <c r="D308" i="23"/>
  <c r="C308" i="23"/>
  <c r="B308" i="23"/>
  <c r="G307" i="23"/>
  <c r="F307" i="23"/>
  <c r="E307" i="23"/>
  <c r="D307" i="23"/>
  <c r="C307" i="23"/>
  <c r="B307" i="23"/>
  <c r="G306" i="23"/>
  <c r="F306" i="23"/>
  <c r="E306" i="23"/>
  <c r="D306" i="23"/>
  <c r="C306" i="23"/>
  <c r="B306" i="23"/>
  <c r="G305" i="23"/>
  <c r="F305" i="23"/>
  <c r="E305" i="23"/>
  <c r="D305" i="23"/>
  <c r="C305" i="23"/>
  <c r="B305" i="23"/>
  <c r="G304" i="23"/>
  <c r="F304" i="23"/>
  <c r="E304" i="23"/>
  <c r="D304" i="23"/>
  <c r="C304" i="23"/>
  <c r="B304" i="23"/>
  <c r="G303" i="23"/>
  <c r="F303" i="23"/>
  <c r="E303" i="23"/>
  <c r="D303" i="23"/>
  <c r="C303" i="23"/>
  <c r="B303" i="23"/>
  <c r="F302" i="23"/>
  <c r="E302" i="23"/>
  <c r="D302" i="23"/>
  <c r="C302" i="23"/>
  <c r="B302" i="23"/>
  <c r="G301" i="23"/>
  <c r="F301" i="23"/>
  <c r="E301" i="23"/>
  <c r="D301" i="23"/>
  <c r="C301" i="23"/>
  <c r="B301" i="23"/>
  <c r="F300" i="23"/>
  <c r="E300" i="23"/>
  <c r="D300" i="23"/>
  <c r="C300" i="23"/>
  <c r="B300" i="23"/>
  <c r="G299" i="23"/>
  <c r="J299" i="23" s="1"/>
  <c r="F299" i="23"/>
  <c r="E299" i="23"/>
  <c r="D299" i="23"/>
  <c r="C299" i="23"/>
  <c r="B299" i="23"/>
  <c r="G298" i="23"/>
  <c r="F298" i="23"/>
  <c r="E298" i="23"/>
  <c r="D298" i="23"/>
  <c r="C298" i="23"/>
  <c r="B298" i="23"/>
  <c r="G297" i="23"/>
  <c r="F297" i="23"/>
  <c r="E297" i="23"/>
  <c r="D297" i="23"/>
  <c r="C297" i="23"/>
  <c r="B297" i="23"/>
  <c r="G296" i="23"/>
  <c r="F296" i="23"/>
  <c r="E296" i="23"/>
  <c r="D296" i="23"/>
  <c r="C296" i="23"/>
  <c r="B296" i="23"/>
  <c r="G295" i="23"/>
  <c r="F295" i="23"/>
  <c r="E295" i="23"/>
  <c r="D295" i="23"/>
  <c r="C295" i="23"/>
  <c r="B295" i="23"/>
  <c r="G294" i="23"/>
  <c r="F294" i="23"/>
  <c r="E294" i="23"/>
  <c r="D294" i="23"/>
  <c r="C294" i="23"/>
  <c r="B294" i="23"/>
  <c r="G293" i="23"/>
  <c r="F293" i="23"/>
  <c r="E293" i="23"/>
  <c r="D293" i="23"/>
  <c r="C293" i="23"/>
  <c r="B293" i="23"/>
  <c r="G292" i="23"/>
  <c r="F292" i="23"/>
  <c r="E292" i="23"/>
  <c r="D292" i="23"/>
  <c r="C292" i="23"/>
  <c r="B292" i="23"/>
  <c r="G291" i="23"/>
  <c r="J291" i="23" s="1"/>
  <c r="F291" i="23"/>
  <c r="E291" i="23"/>
  <c r="D291" i="23"/>
  <c r="C291" i="23"/>
  <c r="B291" i="23"/>
  <c r="G290" i="23"/>
  <c r="F290" i="23"/>
  <c r="E290" i="23"/>
  <c r="D290" i="23"/>
  <c r="C290" i="23"/>
  <c r="B290" i="23"/>
  <c r="G289" i="23"/>
  <c r="F289" i="23"/>
  <c r="E289" i="23"/>
  <c r="D289" i="23"/>
  <c r="C289" i="23"/>
  <c r="B289" i="23"/>
  <c r="G288" i="23"/>
  <c r="F288" i="23"/>
  <c r="E288" i="23"/>
  <c r="D288" i="23"/>
  <c r="C288" i="23"/>
  <c r="B288" i="23"/>
  <c r="G287" i="23"/>
  <c r="F287" i="23"/>
  <c r="E287" i="23"/>
  <c r="D287" i="23"/>
  <c r="C287" i="23"/>
  <c r="B287" i="23"/>
  <c r="G286" i="23"/>
  <c r="F286" i="23"/>
  <c r="E286" i="23"/>
  <c r="D286" i="23"/>
  <c r="C286" i="23"/>
  <c r="B286" i="23"/>
  <c r="G285" i="23"/>
  <c r="F285" i="23"/>
  <c r="E285" i="23"/>
  <c r="D285" i="23"/>
  <c r="C285" i="23"/>
  <c r="B285" i="23"/>
  <c r="G284" i="23"/>
  <c r="F284" i="23"/>
  <c r="E284" i="23"/>
  <c r="D284" i="23"/>
  <c r="C284" i="23"/>
  <c r="B284" i="23"/>
  <c r="G283" i="23"/>
  <c r="J283" i="23" s="1"/>
  <c r="F283" i="23"/>
  <c r="E283" i="23"/>
  <c r="D283" i="23"/>
  <c r="C283" i="23"/>
  <c r="B283" i="23"/>
  <c r="G282" i="23"/>
  <c r="F282" i="23"/>
  <c r="E282" i="23"/>
  <c r="D282" i="23"/>
  <c r="C282" i="23"/>
  <c r="B282" i="23"/>
  <c r="G269" i="23"/>
  <c r="F269" i="23"/>
  <c r="E269" i="23"/>
  <c r="D269" i="23"/>
  <c r="C269" i="23"/>
  <c r="B269" i="23"/>
  <c r="G268" i="23"/>
  <c r="F268" i="23"/>
  <c r="E268" i="23"/>
  <c r="D268" i="23"/>
  <c r="C268" i="23"/>
  <c r="B268" i="23"/>
  <c r="G267" i="23"/>
  <c r="J267" i="23" s="1"/>
  <c r="F267" i="23"/>
  <c r="E267" i="23"/>
  <c r="D267" i="23"/>
  <c r="C267" i="23"/>
  <c r="B267" i="23"/>
  <c r="G266" i="23"/>
  <c r="F266" i="23"/>
  <c r="E266" i="23"/>
  <c r="D266" i="23"/>
  <c r="C266" i="23"/>
  <c r="B266" i="23"/>
  <c r="G265" i="23"/>
  <c r="F265" i="23"/>
  <c r="E265" i="23"/>
  <c r="D265" i="23"/>
  <c r="C265" i="23"/>
  <c r="B265" i="23"/>
  <c r="G264" i="23"/>
  <c r="F264" i="23"/>
  <c r="E264" i="23"/>
  <c r="D264" i="23"/>
  <c r="C264" i="23"/>
  <c r="B264" i="23"/>
  <c r="G263" i="23"/>
  <c r="F263" i="23"/>
  <c r="E263" i="23"/>
  <c r="D263" i="23"/>
  <c r="C263" i="23"/>
  <c r="B263" i="23"/>
  <c r="G262" i="23"/>
  <c r="F262" i="23"/>
  <c r="E262" i="23"/>
  <c r="D262" i="23"/>
  <c r="C262" i="23"/>
  <c r="B262" i="23"/>
  <c r="G261" i="23"/>
  <c r="F261" i="23"/>
  <c r="E261" i="23"/>
  <c r="D261" i="23"/>
  <c r="C261" i="23"/>
  <c r="B261" i="23"/>
  <c r="G260" i="23"/>
  <c r="F260" i="23"/>
  <c r="E260" i="23"/>
  <c r="D260" i="23"/>
  <c r="C260" i="23"/>
  <c r="B260" i="23"/>
  <c r="G259" i="23"/>
  <c r="J259" i="23" s="1"/>
  <c r="F259" i="23"/>
  <c r="E259" i="23"/>
  <c r="D259" i="23"/>
  <c r="C259" i="23"/>
  <c r="B259" i="23"/>
  <c r="G258" i="23"/>
  <c r="F258" i="23"/>
  <c r="E258" i="23"/>
  <c r="D258" i="23"/>
  <c r="C258" i="23"/>
  <c r="B258" i="23"/>
  <c r="G257" i="23"/>
  <c r="F257" i="23"/>
  <c r="E257" i="23"/>
  <c r="D257" i="23"/>
  <c r="C257" i="23"/>
  <c r="B257" i="23"/>
  <c r="G243" i="23"/>
  <c r="F243" i="23"/>
  <c r="E243" i="23"/>
  <c r="D243" i="23"/>
  <c r="C243" i="23"/>
  <c r="B243" i="23"/>
  <c r="G242" i="23"/>
  <c r="J242" i="23" s="1"/>
  <c r="F242" i="23"/>
  <c r="E242" i="23"/>
  <c r="D242" i="23"/>
  <c r="C242" i="23"/>
  <c r="B242" i="23"/>
  <c r="G241" i="23"/>
  <c r="F241" i="23"/>
  <c r="E241" i="23"/>
  <c r="D241" i="23"/>
  <c r="C241" i="23"/>
  <c r="B241" i="23"/>
  <c r="G240" i="23"/>
  <c r="F240" i="23"/>
  <c r="E240" i="23"/>
  <c r="D240" i="23"/>
  <c r="C240" i="23"/>
  <c r="B240" i="23"/>
  <c r="G234" i="23"/>
  <c r="F234" i="23"/>
  <c r="E234" i="23"/>
  <c r="D234" i="23"/>
  <c r="C234" i="23"/>
  <c r="B234" i="23"/>
  <c r="G233" i="23"/>
  <c r="F233" i="23"/>
  <c r="E233" i="23"/>
  <c r="D233" i="23"/>
  <c r="C233" i="23"/>
  <c r="B233" i="23"/>
  <c r="G232" i="23"/>
  <c r="F232" i="23"/>
  <c r="E232" i="23"/>
  <c r="D232" i="23"/>
  <c r="C232" i="23"/>
  <c r="B232" i="23"/>
  <c r="G231" i="23"/>
  <c r="F231" i="23"/>
  <c r="E231" i="23"/>
  <c r="D231" i="23"/>
  <c r="C231" i="23"/>
  <c r="B231" i="23"/>
  <c r="G228" i="23"/>
  <c r="F228" i="23"/>
  <c r="E228" i="23"/>
  <c r="D228" i="23"/>
  <c r="C228" i="23"/>
  <c r="B228" i="23"/>
  <c r="G227" i="23"/>
  <c r="J227" i="23" s="1"/>
  <c r="F227" i="23"/>
  <c r="E227" i="23"/>
  <c r="D227" i="23"/>
  <c r="C227" i="23"/>
  <c r="B227" i="23"/>
  <c r="G226" i="23"/>
  <c r="F226" i="23"/>
  <c r="E226" i="23"/>
  <c r="D226" i="23"/>
  <c r="C226" i="23"/>
  <c r="B226" i="23"/>
  <c r="G225" i="23"/>
  <c r="F225" i="23"/>
  <c r="E225" i="23"/>
  <c r="D225" i="23"/>
  <c r="C225" i="23"/>
  <c r="B225" i="23"/>
  <c r="G224" i="23"/>
  <c r="F224" i="23"/>
  <c r="E224" i="23"/>
  <c r="D224" i="23"/>
  <c r="C224" i="23"/>
  <c r="B224" i="23"/>
  <c r="G223" i="23"/>
  <c r="F223" i="23"/>
  <c r="E223" i="23"/>
  <c r="D223" i="23"/>
  <c r="C223" i="23"/>
  <c r="B223" i="23"/>
  <c r="G222" i="23"/>
  <c r="F222" i="23"/>
  <c r="E222" i="23"/>
  <c r="D222" i="23"/>
  <c r="C222" i="23"/>
  <c r="B222" i="23"/>
  <c r="F221" i="23"/>
  <c r="E221" i="23"/>
  <c r="D221" i="23"/>
  <c r="C221" i="23"/>
  <c r="B221" i="23"/>
  <c r="G220" i="23"/>
  <c r="F220" i="23"/>
  <c r="E220" i="23"/>
  <c r="D220" i="23"/>
  <c r="C220" i="23"/>
  <c r="B220" i="23"/>
  <c r="G219" i="23"/>
  <c r="J219" i="23" s="1"/>
  <c r="F219" i="23"/>
  <c r="E219" i="23"/>
  <c r="D219" i="23"/>
  <c r="C219" i="23"/>
  <c r="B219" i="23"/>
  <c r="G218" i="23"/>
  <c r="F218" i="23"/>
  <c r="E218" i="23"/>
  <c r="D218" i="23"/>
  <c r="C218" i="23"/>
  <c r="B218" i="23"/>
  <c r="G217" i="23"/>
  <c r="F217" i="23"/>
  <c r="E217" i="23"/>
  <c r="D217" i="23"/>
  <c r="C217" i="23"/>
  <c r="B217" i="23"/>
  <c r="G216" i="23"/>
  <c r="F216" i="23"/>
  <c r="E216" i="23"/>
  <c r="D216" i="23"/>
  <c r="C216" i="23"/>
  <c r="B216" i="23"/>
  <c r="F215" i="23"/>
  <c r="E215" i="23"/>
  <c r="D215" i="23"/>
  <c r="C215" i="23"/>
  <c r="B215" i="23"/>
  <c r="G214" i="23"/>
  <c r="F214" i="23"/>
  <c r="E214" i="23"/>
  <c r="D214" i="23"/>
  <c r="C214" i="23"/>
  <c r="B214" i="23"/>
  <c r="F213" i="23"/>
  <c r="E213" i="23"/>
  <c r="D213" i="23"/>
  <c r="C213" i="23"/>
  <c r="B213" i="23"/>
  <c r="G212" i="23"/>
  <c r="F212" i="23"/>
  <c r="E212" i="23"/>
  <c r="D212" i="23"/>
  <c r="C212" i="23"/>
  <c r="B212" i="23"/>
  <c r="G211" i="23"/>
  <c r="J211" i="23" s="1"/>
  <c r="F211" i="23"/>
  <c r="E211" i="23"/>
  <c r="D211" i="23"/>
  <c r="C211" i="23"/>
  <c r="B211" i="23"/>
  <c r="G210" i="23"/>
  <c r="F210" i="23"/>
  <c r="E210" i="23"/>
  <c r="D210" i="23"/>
  <c r="C210" i="23"/>
  <c r="B210" i="23"/>
  <c r="G209" i="23"/>
  <c r="F209" i="23"/>
  <c r="E209" i="23"/>
  <c r="D209" i="23"/>
  <c r="C209" i="23"/>
  <c r="B209" i="23"/>
  <c r="F208" i="23"/>
  <c r="E208" i="23"/>
  <c r="D208" i="23"/>
  <c r="C208" i="23"/>
  <c r="B208" i="23"/>
  <c r="F207" i="23"/>
  <c r="E207" i="23"/>
  <c r="D207" i="23"/>
  <c r="C207" i="23"/>
  <c r="B207" i="23"/>
  <c r="F206" i="23"/>
  <c r="E206" i="23"/>
  <c r="D206" i="23"/>
  <c r="C206" i="23"/>
  <c r="B206" i="23"/>
  <c r="G205" i="23"/>
  <c r="F205" i="23"/>
  <c r="E205" i="23"/>
  <c r="D205" i="23"/>
  <c r="C205" i="23"/>
  <c r="B205" i="23"/>
  <c r="G204" i="23"/>
  <c r="F204" i="23"/>
  <c r="E204" i="23"/>
  <c r="D204" i="23"/>
  <c r="C204" i="23"/>
  <c r="B204" i="23"/>
  <c r="G203" i="23"/>
  <c r="F203" i="23"/>
  <c r="E203" i="23"/>
  <c r="D203" i="23"/>
  <c r="C203" i="23"/>
  <c r="B203" i="23"/>
  <c r="G202" i="23"/>
  <c r="F202" i="23"/>
  <c r="E202" i="23"/>
  <c r="D202" i="23"/>
  <c r="C202" i="23"/>
  <c r="B202" i="23"/>
  <c r="G201" i="23"/>
  <c r="F201" i="23"/>
  <c r="E201" i="23"/>
  <c r="D201" i="23"/>
  <c r="C201" i="23"/>
  <c r="B201" i="23"/>
  <c r="G200" i="23"/>
  <c r="F200" i="23"/>
  <c r="E200" i="23"/>
  <c r="D200" i="23"/>
  <c r="C200" i="23"/>
  <c r="B200" i="23"/>
  <c r="F199" i="23"/>
  <c r="E199" i="23"/>
  <c r="D199" i="23"/>
  <c r="C199" i="23"/>
  <c r="B199" i="23"/>
  <c r="G198" i="23"/>
  <c r="F198" i="23"/>
  <c r="E198" i="23"/>
  <c r="D198" i="23"/>
  <c r="C198" i="23"/>
  <c r="B198" i="23"/>
  <c r="G197" i="23"/>
  <c r="F197" i="23"/>
  <c r="E197" i="23"/>
  <c r="D197" i="23"/>
  <c r="C197" i="23"/>
  <c r="B197" i="23"/>
  <c r="G196" i="23"/>
  <c r="F196" i="23"/>
  <c r="E196" i="23"/>
  <c r="D196" i="23"/>
  <c r="C196" i="23"/>
  <c r="B196" i="23"/>
  <c r="F195" i="23"/>
  <c r="E195" i="23"/>
  <c r="D195" i="23"/>
  <c r="C195" i="23"/>
  <c r="B195" i="23"/>
  <c r="G194" i="23"/>
  <c r="F194" i="23"/>
  <c r="E194" i="23"/>
  <c r="D194" i="23"/>
  <c r="C194" i="23"/>
  <c r="B194" i="23"/>
  <c r="G193" i="23"/>
  <c r="F193" i="23"/>
  <c r="E193" i="23"/>
  <c r="D193" i="23"/>
  <c r="C193" i="23"/>
  <c r="B193" i="23"/>
  <c r="F192" i="23"/>
  <c r="E192" i="23"/>
  <c r="D192" i="23"/>
  <c r="C192" i="23"/>
  <c r="B192" i="23"/>
  <c r="G189" i="23"/>
  <c r="J189" i="23" s="1"/>
  <c r="F189" i="23"/>
  <c r="E189" i="23"/>
  <c r="D189" i="23"/>
  <c r="C189" i="23"/>
  <c r="B189" i="23"/>
  <c r="G188" i="23"/>
  <c r="F188" i="23"/>
  <c r="E188" i="23"/>
  <c r="D188" i="23"/>
  <c r="C188" i="23"/>
  <c r="B188" i="23"/>
  <c r="G187" i="23"/>
  <c r="F187" i="23"/>
  <c r="E187" i="23"/>
  <c r="D187" i="23"/>
  <c r="C187" i="23"/>
  <c r="B187" i="23"/>
  <c r="G186" i="23"/>
  <c r="F186" i="23"/>
  <c r="E186" i="23"/>
  <c r="D186" i="23"/>
  <c r="C186" i="23"/>
  <c r="B186" i="23"/>
  <c r="G185" i="23"/>
  <c r="F185" i="23"/>
  <c r="E185" i="23"/>
  <c r="D185" i="23"/>
  <c r="C185" i="23"/>
  <c r="B185" i="23"/>
  <c r="G184" i="23"/>
  <c r="F184" i="23"/>
  <c r="E184" i="23"/>
  <c r="D184" i="23"/>
  <c r="C184" i="23"/>
  <c r="B184" i="23"/>
  <c r="G183" i="23"/>
  <c r="F183" i="23"/>
  <c r="E183" i="23"/>
  <c r="D183" i="23"/>
  <c r="C183" i="23"/>
  <c r="B183" i="23"/>
  <c r="G182" i="23"/>
  <c r="F182" i="23"/>
  <c r="E182" i="23"/>
  <c r="D182" i="23"/>
  <c r="C182" i="23"/>
  <c r="B182" i="23"/>
  <c r="G181" i="23"/>
  <c r="F181" i="23"/>
  <c r="E181" i="23"/>
  <c r="D181" i="23"/>
  <c r="C181" i="23"/>
  <c r="B181" i="23"/>
  <c r="F180" i="23"/>
  <c r="E180" i="23"/>
  <c r="D180" i="23"/>
  <c r="C180" i="23"/>
  <c r="B180" i="23"/>
  <c r="G179" i="23"/>
  <c r="F179" i="23"/>
  <c r="E179" i="23"/>
  <c r="D179" i="23"/>
  <c r="C179" i="23"/>
  <c r="B179" i="23"/>
  <c r="G178" i="23"/>
  <c r="F178" i="23"/>
  <c r="E178" i="23"/>
  <c r="D178" i="23"/>
  <c r="C178" i="23"/>
  <c r="B178" i="23"/>
  <c r="G177" i="23"/>
  <c r="J177" i="23" s="1"/>
  <c r="F177" i="23"/>
  <c r="E177" i="23"/>
  <c r="D177" i="23"/>
  <c r="C177" i="23"/>
  <c r="B177" i="23"/>
  <c r="G176" i="23"/>
  <c r="F176" i="23"/>
  <c r="E176" i="23"/>
  <c r="D176" i="23"/>
  <c r="C176" i="23"/>
  <c r="B176" i="23"/>
  <c r="G175" i="23"/>
  <c r="F175" i="23"/>
  <c r="E175" i="23"/>
  <c r="D175" i="23"/>
  <c r="C175" i="23"/>
  <c r="B175" i="23"/>
  <c r="G174" i="23"/>
  <c r="F174" i="23"/>
  <c r="E174" i="23"/>
  <c r="D174" i="23"/>
  <c r="C174" i="23"/>
  <c r="B174" i="23"/>
  <c r="G173" i="23"/>
  <c r="J173" i="23" s="1"/>
  <c r="F173" i="23"/>
  <c r="E173" i="23"/>
  <c r="D173" i="23"/>
  <c r="C173" i="23"/>
  <c r="B173" i="23"/>
  <c r="G172" i="23"/>
  <c r="F172" i="23"/>
  <c r="E172" i="23"/>
  <c r="D172" i="23"/>
  <c r="C172" i="23"/>
  <c r="B172" i="23"/>
  <c r="G171" i="23"/>
  <c r="F171" i="23"/>
  <c r="E171" i="23"/>
  <c r="D171" i="23"/>
  <c r="C171" i="23"/>
  <c r="B171" i="23"/>
  <c r="F170" i="23"/>
  <c r="E170" i="23"/>
  <c r="D170" i="23"/>
  <c r="C170" i="23"/>
  <c r="B170" i="23"/>
  <c r="G169" i="23"/>
  <c r="J169" i="23" s="1"/>
  <c r="F169" i="23"/>
  <c r="E169" i="23"/>
  <c r="D169" i="23"/>
  <c r="C169" i="23"/>
  <c r="B169" i="23"/>
  <c r="G168" i="23"/>
  <c r="F168" i="23"/>
  <c r="E168" i="23"/>
  <c r="D168" i="23"/>
  <c r="C168" i="23"/>
  <c r="B168" i="23"/>
  <c r="G167" i="23"/>
  <c r="F167" i="23"/>
  <c r="E167" i="23"/>
  <c r="D167" i="23"/>
  <c r="C167" i="23"/>
  <c r="B167" i="23"/>
  <c r="G166" i="23"/>
  <c r="F166" i="23"/>
  <c r="E166" i="23"/>
  <c r="D166" i="23"/>
  <c r="C166" i="23"/>
  <c r="B166" i="23"/>
  <c r="G165" i="23"/>
  <c r="J165" i="23" s="1"/>
  <c r="F165" i="23"/>
  <c r="E165" i="23"/>
  <c r="D165" i="23"/>
  <c r="C165" i="23"/>
  <c r="B165" i="23"/>
  <c r="G164" i="23"/>
  <c r="F164" i="23"/>
  <c r="E164" i="23"/>
  <c r="D164" i="23"/>
  <c r="C164" i="23"/>
  <c r="B164" i="23"/>
  <c r="G163" i="23"/>
  <c r="F163" i="23"/>
  <c r="E163" i="23"/>
  <c r="D163" i="23"/>
  <c r="C163" i="23"/>
  <c r="B163" i="23"/>
  <c r="G162" i="23"/>
  <c r="F162" i="23"/>
  <c r="E162" i="23"/>
  <c r="D162" i="23"/>
  <c r="C162" i="23"/>
  <c r="B162" i="23"/>
  <c r="G161" i="23"/>
  <c r="J161" i="23" s="1"/>
  <c r="F161" i="23"/>
  <c r="E161" i="23"/>
  <c r="D161" i="23"/>
  <c r="C161" i="23"/>
  <c r="B161" i="23"/>
  <c r="G160" i="23"/>
  <c r="F160" i="23"/>
  <c r="E160" i="23"/>
  <c r="D160" i="23"/>
  <c r="C160" i="23"/>
  <c r="B160" i="23"/>
  <c r="G159" i="23"/>
  <c r="F159" i="23"/>
  <c r="E159" i="23"/>
  <c r="D159" i="23"/>
  <c r="C159" i="23"/>
  <c r="B159" i="23"/>
  <c r="G158" i="23"/>
  <c r="F158" i="23"/>
  <c r="E158" i="23"/>
  <c r="D158" i="23"/>
  <c r="C158" i="23"/>
  <c r="B158" i="23"/>
  <c r="F157" i="23"/>
  <c r="E157" i="23"/>
  <c r="D157" i="23"/>
  <c r="C157" i="23"/>
  <c r="B157" i="23"/>
  <c r="G156" i="23"/>
  <c r="F156" i="23"/>
  <c r="E156" i="23"/>
  <c r="D156" i="23"/>
  <c r="C156" i="23"/>
  <c r="B156" i="23"/>
  <c r="G155" i="23"/>
  <c r="J155" i="23" s="1"/>
  <c r="F155" i="23"/>
  <c r="E155" i="23"/>
  <c r="D155" i="23"/>
  <c r="C155" i="23"/>
  <c r="B155" i="23"/>
  <c r="G154" i="23"/>
  <c r="F154" i="23"/>
  <c r="E154" i="23"/>
  <c r="D154" i="23"/>
  <c r="C154" i="23"/>
  <c r="B154" i="23"/>
  <c r="G153" i="23"/>
  <c r="J153" i="23" s="1"/>
  <c r="F153" i="23"/>
  <c r="E153" i="23"/>
  <c r="D153" i="23"/>
  <c r="C153" i="23"/>
  <c r="B153" i="23"/>
  <c r="F152" i="23"/>
  <c r="E152" i="23"/>
  <c r="D152" i="23"/>
  <c r="C152" i="23"/>
  <c r="B152" i="23"/>
  <c r="G151" i="23"/>
  <c r="F151" i="23"/>
  <c r="E151" i="23"/>
  <c r="D151" i="23"/>
  <c r="C151" i="23"/>
  <c r="B151" i="23"/>
  <c r="G150" i="23"/>
  <c r="F150" i="23"/>
  <c r="E150" i="23"/>
  <c r="D150" i="23"/>
  <c r="C150" i="23"/>
  <c r="B150" i="23"/>
  <c r="G149" i="23"/>
  <c r="F149" i="23"/>
  <c r="E149" i="23"/>
  <c r="D149" i="23"/>
  <c r="C149" i="23"/>
  <c r="B149" i="23"/>
  <c r="G148" i="23"/>
  <c r="F148" i="23"/>
  <c r="E148" i="23"/>
  <c r="D148" i="23"/>
  <c r="C148" i="23"/>
  <c r="B148" i="23"/>
  <c r="G147" i="23"/>
  <c r="F147" i="23"/>
  <c r="E147" i="23"/>
  <c r="D147" i="23"/>
  <c r="C147" i="23"/>
  <c r="B147" i="23"/>
  <c r="F146" i="23"/>
  <c r="E146" i="23"/>
  <c r="D146" i="23"/>
  <c r="C146" i="23"/>
  <c r="B146" i="23"/>
  <c r="G145" i="23"/>
  <c r="F145" i="23"/>
  <c r="E145" i="23"/>
  <c r="D145" i="23"/>
  <c r="C145" i="23"/>
  <c r="B145" i="23"/>
  <c r="F144" i="23"/>
  <c r="E144" i="23"/>
  <c r="D144" i="23"/>
  <c r="C144" i="23"/>
  <c r="B144" i="23"/>
  <c r="F143" i="23"/>
  <c r="E143" i="23"/>
  <c r="D143" i="23"/>
  <c r="C143" i="23"/>
  <c r="B143" i="23"/>
  <c r="F142" i="23"/>
  <c r="E142" i="23"/>
  <c r="D142" i="23"/>
  <c r="C142" i="23"/>
  <c r="B142" i="23"/>
  <c r="G141" i="23"/>
  <c r="F141" i="23"/>
  <c r="E141" i="23"/>
  <c r="D141" i="23"/>
  <c r="C141" i="23"/>
  <c r="B141" i="23"/>
  <c r="G140" i="23"/>
  <c r="F140" i="23"/>
  <c r="E140" i="23"/>
  <c r="D140" i="23"/>
  <c r="C140" i="23"/>
  <c r="B140" i="23"/>
  <c r="G139" i="23"/>
  <c r="F139" i="23"/>
  <c r="E139" i="23"/>
  <c r="D139" i="23"/>
  <c r="C139" i="23"/>
  <c r="B139" i="23"/>
  <c r="G138" i="23"/>
  <c r="F138" i="23"/>
  <c r="E138" i="23"/>
  <c r="D138" i="23"/>
  <c r="C138" i="23"/>
  <c r="B138" i="23"/>
  <c r="G137" i="23"/>
  <c r="F137" i="23"/>
  <c r="E137" i="23"/>
  <c r="D137" i="23"/>
  <c r="C137" i="23"/>
  <c r="B137" i="23"/>
  <c r="G136" i="23"/>
  <c r="F136" i="23"/>
  <c r="E136" i="23"/>
  <c r="D136" i="23"/>
  <c r="C136" i="23"/>
  <c r="B136" i="23"/>
  <c r="G135" i="23"/>
  <c r="F135" i="23"/>
  <c r="E135" i="23"/>
  <c r="D135" i="23"/>
  <c r="C135" i="23"/>
  <c r="B135" i="23"/>
  <c r="G134" i="23"/>
  <c r="F134" i="23"/>
  <c r="E134" i="23"/>
  <c r="D134" i="23"/>
  <c r="C134" i="23"/>
  <c r="B134" i="23"/>
  <c r="F133" i="23"/>
  <c r="E133" i="23"/>
  <c r="D133" i="23"/>
  <c r="C133" i="23"/>
  <c r="B133" i="23"/>
  <c r="G132" i="23"/>
  <c r="F132" i="23"/>
  <c r="E132" i="23"/>
  <c r="D132" i="23"/>
  <c r="C132" i="23"/>
  <c r="B132" i="23"/>
  <c r="G131" i="23"/>
  <c r="F131" i="23"/>
  <c r="E131" i="23"/>
  <c r="D131" i="23"/>
  <c r="C131" i="23"/>
  <c r="B131" i="23"/>
  <c r="G130" i="23"/>
  <c r="F130" i="23"/>
  <c r="E130" i="23"/>
  <c r="D130" i="23"/>
  <c r="C130" i="23"/>
  <c r="B130" i="23"/>
  <c r="G129" i="23"/>
  <c r="J129" i="23" s="1"/>
  <c r="F129" i="23"/>
  <c r="E129" i="23"/>
  <c r="D129" i="23"/>
  <c r="C129" i="23"/>
  <c r="B129" i="23"/>
  <c r="G128" i="23"/>
  <c r="F128" i="23"/>
  <c r="E128" i="23"/>
  <c r="D128" i="23"/>
  <c r="C128" i="23"/>
  <c r="B128" i="23"/>
  <c r="F127" i="23"/>
  <c r="E127" i="23"/>
  <c r="D127" i="23"/>
  <c r="C127" i="23"/>
  <c r="B127" i="23"/>
  <c r="G126" i="23"/>
  <c r="F126" i="23"/>
  <c r="E126" i="23"/>
  <c r="D126" i="23"/>
  <c r="C126" i="23"/>
  <c r="B126" i="23"/>
  <c r="F125" i="23"/>
  <c r="E125" i="23"/>
  <c r="D125" i="23"/>
  <c r="C125" i="23"/>
  <c r="B125" i="23"/>
  <c r="G124" i="23"/>
  <c r="F124" i="23"/>
  <c r="E124" i="23"/>
  <c r="D124" i="23"/>
  <c r="C124" i="23"/>
  <c r="B124" i="23"/>
  <c r="F123" i="23"/>
  <c r="E123" i="23"/>
  <c r="D123" i="23"/>
  <c r="C123" i="23"/>
  <c r="B123" i="23"/>
  <c r="G122" i="23"/>
  <c r="F122" i="23"/>
  <c r="E122" i="23"/>
  <c r="D122" i="23"/>
  <c r="C122" i="23"/>
  <c r="B122" i="23"/>
  <c r="G121" i="23"/>
  <c r="J121" i="23" s="1"/>
  <c r="F121" i="23"/>
  <c r="E121" i="23"/>
  <c r="D121" i="23"/>
  <c r="C121" i="23"/>
  <c r="B121" i="23"/>
  <c r="F120" i="23"/>
  <c r="E120" i="23"/>
  <c r="D120" i="23"/>
  <c r="C120" i="23"/>
  <c r="B120" i="23"/>
  <c r="G119" i="23"/>
  <c r="F119" i="23"/>
  <c r="E119" i="23"/>
  <c r="D119" i="23"/>
  <c r="C119" i="23"/>
  <c r="B119" i="23"/>
  <c r="F118" i="23"/>
  <c r="E118" i="23"/>
  <c r="D118" i="23"/>
  <c r="C118" i="23"/>
  <c r="B118" i="23"/>
  <c r="G117" i="23"/>
  <c r="J117" i="23" s="1"/>
  <c r="F117" i="23"/>
  <c r="E117" i="23"/>
  <c r="D117" i="23"/>
  <c r="C117" i="23"/>
  <c r="B117" i="23"/>
  <c r="F116" i="23"/>
  <c r="E116" i="23"/>
  <c r="D116" i="23"/>
  <c r="C116" i="23"/>
  <c r="B116" i="23"/>
  <c r="F115" i="23"/>
  <c r="E115" i="23"/>
  <c r="D115" i="23"/>
  <c r="C115" i="23"/>
  <c r="B115" i="23"/>
  <c r="G114" i="23"/>
  <c r="F114" i="23"/>
  <c r="E114" i="23"/>
  <c r="D114" i="23"/>
  <c r="C114" i="23"/>
  <c r="B114" i="23"/>
  <c r="G113" i="23"/>
  <c r="J113" i="23" s="1"/>
  <c r="F113" i="23"/>
  <c r="E113" i="23"/>
  <c r="D113" i="23"/>
  <c r="C113" i="23"/>
  <c r="B113" i="23"/>
  <c r="G112" i="23"/>
  <c r="F112" i="23"/>
  <c r="E112" i="23"/>
  <c r="D112" i="23"/>
  <c r="C112" i="23"/>
  <c r="B112" i="23"/>
  <c r="G111" i="23"/>
  <c r="F111" i="23"/>
  <c r="E111" i="23"/>
  <c r="D111" i="23"/>
  <c r="C111" i="23"/>
  <c r="B111" i="23"/>
  <c r="G110" i="23"/>
  <c r="F110" i="23"/>
  <c r="E110" i="23"/>
  <c r="D110" i="23"/>
  <c r="C110" i="23"/>
  <c r="B110" i="23"/>
  <c r="G109" i="23"/>
  <c r="J109" i="23" s="1"/>
  <c r="F109" i="23"/>
  <c r="E109" i="23"/>
  <c r="D109" i="23"/>
  <c r="C109" i="23"/>
  <c r="B109" i="23"/>
  <c r="G108" i="23"/>
  <c r="F108" i="23"/>
  <c r="E108" i="23"/>
  <c r="D108" i="23"/>
  <c r="C108" i="23"/>
  <c r="B108" i="23"/>
  <c r="G107" i="23"/>
  <c r="F107" i="23"/>
  <c r="E107" i="23"/>
  <c r="D107" i="23"/>
  <c r="C107" i="23"/>
  <c r="B107" i="23"/>
  <c r="F106" i="23"/>
  <c r="E106" i="23"/>
  <c r="D106" i="23"/>
  <c r="C106" i="23"/>
  <c r="B106" i="23"/>
  <c r="G105" i="23"/>
  <c r="J105" i="23" s="1"/>
  <c r="F105" i="23"/>
  <c r="E105" i="23"/>
  <c r="D105" i="23"/>
  <c r="C105" i="23"/>
  <c r="B105" i="23"/>
  <c r="G104" i="23"/>
  <c r="F104" i="23"/>
  <c r="E104" i="23"/>
  <c r="D104" i="23"/>
  <c r="C104" i="23"/>
  <c r="B104" i="23"/>
  <c r="G103" i="23"/>
  <c r="F103" i="23"/>
  <c r="E103" i="23"/>
  <c r="D103" i="23"/>
  <c r="C103" i="23"/>
  <c r="B103" i="23"/>
  <c r="F102" i="23"/>
  <c r="E102" i="23"/>
  <c r="D102" i="23"/>
  <c r="C102" i="23"/>
  <c r="B102" i="23"/>
  <c r="F101" i="23"/>
  <c r="E101" i="23"/>
  <c r="D101" i="23"/>
  <c r="C101" i="23"/>
  <c r="B101" i="23"/>
  <c r="G100" i="23"/>
  <c r="F100" i="23"/>
  <c r="E100" i="23"/>
  <c r="D100" i="23"/>
  <c r="C100" i="23"/>
  <c r="B100" i="23"/>
  <c r="G99" i="23"/>
  <c r="F99" i="23"/>
  <c r="E99" i="23"/>
  <c r="D99" i="23"/>
  <c r="C99" i="23"/>
  <c r="B99" i="23"/>
  <c r="G98" i="23"/>
  <c r="F98" i="23"/>
  <c r="E98" i="23"/>
  <c r="D98" i="23"/>
  <c r="C98" i="23"/>
  <c r="B98" i="23"/>
  <c r="G97" i="23"/>
  <c r="J97" i="23" s="1"/>
  <c r="F97" i="23"/>
  <c r="E97" i="23"/>
  <c r="D97" i="23"/>
  <c r="C97" i="23"/>
  <c r="B97" i="23"/>
  <c r="G96" i="23"/>
  <c r="F96" i="23"/>
  <c r="E96" i="23"/>
  <c r="D96" i="23"/>
  <c r="C96" i="23"/>
  <c r="B96" i="23"/>
  <c r="G95" i="23"/>
  <c r="F95" i="23"/>
  <c r="E95" i="23"/>
  <c r="D95" i="23"/>
  <c r="C95" i="23"/>
  <c r="B95" i="23"/>
  <c r="F94" i="23"/>
  <c r="E94" i="23"/>
  <c r="D94" i="23"/>
  <c r="C94" i="23"/>
  <c r="B94" i="23"/>
  <c r="G93" i="23"/>
  <c r="J93" i="23" s="1"/>
  <c r="F93" i="23"/>
  <c r="E93" i="23"/>
  <c r="D93" i="23"/>
  <c r="C93" i="23"/>
  <c r="B93" i="23"/>
  <c r="F92" i="23"/>
  <c r="E92" i="23"/>
  <c r="D92" i="23"/>
  <c r="C92" i="23"/>
  <c r="B92" i="23"/>
  <c r="G91" i="23"/>
  <c r="F91" i="23"/>
  <c r="E91" i="23"/>
  <c r="D91" i="23"/>
  <c r="C91" i="23"/>
  <c r="B91" i="23"/>
  <c r="G90" i="23"/>
  <c r="F90" i="23"/>
  <c r="E90" i="23"/>
  <c r="D90" i="23"/>
  <c r="C90" i="23"/>
  <c r="B90" i="23"/>
  <c r="G89" i="23"/>
  <c r="J89" i="23" s="1"/>
  <c r="F89" i="23"/>
  <c r="E89" i="23"/>
  <c r="D89" i="23"/>
  <c r="C89" i="23"/>
  <c r="B89" i="23"/>
  <c r="G88" i="23"/>
  <c r="F88" i="23"/>
  <c r="E88" i="23"/>
  <c r="D88" i="23"/>
  <c r="C88" i="23"/>
  <c r="B88" i="23"/>
  <c r="G87" i="23"/>
  <c r="F87" i="23"/>
  <c r="E87" i="23"/>
  <c r="D87" i="23"/>
  <c r="C87" i="23"/>
  <c r="B87" i="23"/>
  <c r="F86" i="23"/>
  <c r="E86" i="23"/>
  <c r="D86" i="23"/>
  <c r="C86" i="23"/>
  <c r="B86" i="23"/>
  <c r="G85" i="23"/>
  <c r="J85" i="23" s="1"/>
  <c r="F85" i="23"/>
  <c r="E85" i="23"/>
  <c r="D85" i="23"/>
  <c r="C85" i="23"/>
  <c r="B85" i="23"/>
  <c r="G84" i="23"/>
  <c r="F84" i="23"/>
  <c r="E84" i="23"/>
  <c r="D84" i="23"/>
  <c r="C84" i="23"/>
  <c r="B84" i="23"/>
  <c r="G83" i="23"/>
  <c r="F83" i="23"/>
  <c r="E83" i="23"/>
  <c r="D83" i="23"/>
  <c r="C83" i="23"/>
  <c r="B83" i="23"/>
  <c r="G82" i="23"/>
  <c r="F82" i="23"/>
  <c r="E82" i="23"/>
  <c r="D82" i="23"/>
  <c r="C82" i="23"/>
  <c r="B82" i="23"/>
  <c r="G81" i="23"/>
  <c r="J81" i="23" s="1"/>
  <c r="F81" i="23"/>
  <c r="E81" i="23"/>
  <c r="D81" i="23"/>
  <c r="C81" i="23"/>
  <c r="B81" i="23"/>
  <c r="G80" i="23"/>
  <c r="F80" i="23"/>
  <c r="E80" i="23"/>
  <c r="D80" i="23"/>
  <c r="C80" i="23"/>
  <c r="B80" i="23"/>
  <c r="F79" i="23"/>
  <c r="E79" i="23"/>
  <c r="D79" i="23"/>
  <c r="C79" i="23"/>
  <c r="B79" i="23"/>
  <c r="G78" i="23"/>
  <c r="F78" i="23"/>
  <c r="E78" i="23"/>
  <c r="D78" i="23"/>
  <c r="C78" i="23"/>
  <c r="B78" i="23"/>
  <c r="G77" i="23"/>
  <c r="J77" i="23" s="1"/>
  <c r="F77" i="23"/>
  <c r="E77" i="23"/>
  <c r="D77" i="23"/>
  <c r="C77" i="23"/>
  <c r="B77" i="23"/>
  <c r="G76" i="23"/>
  <c r="F76" i="23"/>
  <c r="E76" i="23"/>
  <c r="D76" i="23"/>
  <c r="C76" i="23"/>
  <c r="B76" i="23"/>
  <c r="G75" i="23"/>
  <c r="F75" i="23"/>
  <c r="E75" i="23"/>
  <c r="D75" i="23"/>
  <c r="C75" i="23"/>
  <c r="B75" i="23"/>
  <c r="F74" i="23"/>
  <c r="E74" i="23"/>
  <c r="D74" i="23"/>
  <c r="C74" i="23"/>
  <c r="B74" i="23"/>
  <c r="G73" i="23"/>
  <c r="J73" i="23" s="1"/>
  <c r="F73" i="23"/>
  <c r="E73" i="23"/>
  <c r="D73" i="23"/>
  <c r="C73" i="23"/>
  <c r="B73" i="23"/>
  <c r="G72" i="23"/>
  <c r="F72" i="23"/>
  <c r="E72" i="23"/>
  <c r="D72" i="23"/>
  <c r="C72" i="23"/>
  <c r="B72" i="23"/>
  <c r="G71" i="23"/>
  <c r="F71" i="23"/>
  <c r="E71" i="23"/>
  <c r="D71" i="23"/>
  <c r="C71" i="23"/>
  <c r="B71" i="23"/>
  <c r="G70" i="23"/>
  <c r="F70" i="23"/>
  <c r="E70" i="23"/>
  <c r="D70" i="23"/>
  <c r="C70" i="23"/>
  <c r="B70" i="23"/>
  <c r="G69" i="23"/>
  <c r="J69" i="23" s="1"/>
  <c r="F69" i="23"/>
  <c r="E69" i="23"/>
  <c r="D69" i="23"/>
  <c r="C69" i="23"/>
  <c r="B69" i="23"/>
  <c r="G68" i="23"/>
  <c r="F68" i="23"/>
  <c r="E68" i="23"/>
  <c r="D68" i="23"/>
  <c r="C68" i="23"/>
  <c r="B68" i="23"/>
  <c r="F67" i="23"/>
  <c r="E67" i="23"/>
  <c r="D67" i="23"/>
  <c r="C67" i="23"/>
  <c r="B67" i="23"/>
  <c r="G66" i="23"/>
  <c r="F66" i="23"/>
  <c r="E66" i="23"/>
  <c r="D66" i="23"/>
  <c r="C66" i="23"/>
  <c r="B66" i="23"/>
  <c r="G65" i="23"/>
  <c r="J65" i="23" s="1"/>
  <c r="F65" i="23"/>
  <c r="E65" i="23"/>
  <c r="D65" i="23"/>
  <c r="C65" i="23"/>
  <c r="B65" i="23"/>
  <c r="G64" i="23"/>
  <c r="F64" i="23"/>
  <c r="E64" i="23"/>
  <c r="D64" i="23"/>
  <c r="C64" i="23"/>
  <c r="B64" i="23"/>
  <c r="G63" i="23"/>
  <c r="F63" i="23"/>
  <c r="E63" i="23"/>
  <c r="D63" i="23"/>
  <c r="C63" i="23"/>
  <c r="B63" i="23"/>
  <c r="G62" i="23"/>
  <c r="F62" i="23"/>
  <c r="E62" i="23"/>
  <c r="D62" i="23"/>
  <c r="C62" i="23"/>
  <c r="B62" i="23"/>
  <c r="F61" i="23"/>
  <c r="E61" i="23"/>
  <c r="D61" i="23"/>
  <c r="C61" i="23"/>
  <c r="B61" i="23"/>
  <c r="F60" i="23"/>
  <c r="E60" i="23"/>
  <c r="D60" i="23"/>
  <c r="C60" i="23"/>
  <c r="B60" i="23"/>
  <c r="F59" i="23"/>
  <c r="E59" i="23"/>
  <c r="D59" i="23"/>
  <c r="C59" i="23"/>
  <c r="B59" i="23"/>
  <c r="F58" i="23"/>
  <c r="E58" i="23"/>
  <c r="D58" i="23"/>
  <c r="C58" i="23"/>
  <c r="B58" i="23"/>
  <c r="G57" i="23"/>
  <c r="J57" i="23" s="1"/>
  <c r="F57" i="23"/>
  <c r="E57" i="23"/>
  <c r="D57" i="23"/>
  <c r="C57" i="23"/>
  <c r="B57" i="23"/>
  <c r="G56" i="23"/>
  <c r="F56" i="23"/>
  <c r="E56" i="23"/>
  <c r="D56" i="23"/>
  <c r="C56" i="23"/>
  <c r="B56" i="23"/>
  <c r="G55" i="23"/>
  <c r="F55" i="23"/>
  <c r="E55" i="23"/>
  <c r="D55" i="23"/>
  <c r="C55" i="23"/>
  <c r="B55" i="23"/>
  <c r="G54" i="23"/>
  <c r="F54" i="23"/>
  <c r="E54" i="23"/>
  <c r="D54" i="23"/>
  <c r="C54" i="23"/>
  <c r="B54" i="23"/>
  <c r="G53" i="23"/>
  <c r="F53" i="23"/>
  <c r="E53" i="23"/>
  <c r="D53" i="23"/>
  <c r="C53" i="23"/>
  <c r="B53" i="23"/>
  <c r="G52" i="23"/>
  <c r="F52" i="23"/>
  <c r="E52" i="23"/>
  <c r="D52" i="23"/>
  <c r="C52" i="23"/>
  <c r="B52" i="23"/>
  <c r="G51" i="23"/>
  <c r="F51" i="23"/>
  <c r="E51" i="23"/>
  <c r="D51" i="23"/>
  <c r="C51" i="23"/>
  <c r="B51" i="23"/>
  <c r="G50" i="23"/>
  <c r="F50" i="23"/>
  <c r="E50" i="23"/>
  <c r="D50" i="23"/>
  <c r="C50" i="23"/>
  <c r="B50" i="23"/>
  <c r="G49" i="23"/>
  <c r="F49" i="23"/>
  <c r="E49" i="23"/>
  <c r="D49" i="23"/>
  <c r="C49" i="23"/>
  <c r="B49" i="23"/>
  <c r="G48" i="23"/>
  <c r="F48" i="23"/>
  <c r="E48" i="23"/>
  <c r="D48" i="23"/>
  <c r="C48" i="23"/>
  <c r="B48" i="23"/>
  <c r="G47" i="23"/>
  <c r="F47" i="23"/>
  <c r="E47" i="23"/>
  <c r="D47" i="23"/>
  <c r="C47" i="23"/>
  <c r="B47" i="23"/>
  <c r="G46" i="23"/>
  <c r="F46" i="23"/>
  <c r="E46" i="23"/>
  <c r="D46" i="23"/>
  <c r="C46" i="23"/>
  <c r="B46" i="23"/>
  <c r="G45" i="23"/>
  <c r="F45" i="23"/>
  <c r="E45" i="23"/>
  <c r="D45" i="23"/>
  <c r="C45" i="23"/>
  <c r="B45" i="23"/>
  <c r="G44" i="23"/>
  <c r="F44" i="23"/>
  <c r="E44" i="23"/>
  <c r="D44" i="23"/>
  <c r="C44" i="23"/>
  <c r="B44" i="23"/>
  <c r="G43" i="23"/>
  <c r="F43" i="23"/>
  <c r="E43" i="23"/>
  <c r="D43" i="23"/>
  <c r="C43" i="23"/>
  <c r="B43" i="23"/>
  <c r="G42" i="23"/>
  <c r="F42" i="23"/>
  <c r="E42" i="23"/>
  <c r="D42" i="23"/>
  <c r="C42" i="23"/>
  <c r="B42" i="23"/>
  <c r="G41" i="23"/>
  <c r="F41" i="23"/>
  <c r="E41" i="23"/>
  <c r="D41" i="23"/>
  <c r="C41" i="23"/>
  <c r="B41" i="23"/>
  <c r="M281" i="23"/>
  <c r="K281" i="23"/>
  <c r="I281" i="23"/>
  <c r="G281" i="23"/>
  <c r="F281" i="23"/>
  <c r="E281" i="23"/>
  <c r="D281" i="23"/>
  <c r="C281" i="23"/>
  <c r="B281" i="23"/>
  <c r="M256" i="23"/>
  <c r="M251" i="23"/>
  <c r="K256" i="23"/>
  <c r="I256" i="23"/>
  <c r="K251" i="23"/>
  <c r="I251" i="23"/>
  <c r="G256" i="23"/>
  <c r="F256" i="23"/>
  <c r="E256" i="23"/>
  <c r="D256" i="23"/>
  <c r="C256" i="23"/>
  <c r="B256" i="23"/>
  <c r="G251" i="23"/>
  <c r="F251" i="23"/>
  <c r="E251" i="23"/>
  <c r="D251" i="23"/>
  <c r="C251" i="23"/>
  <c r="B251" i="23"/>
  <c r="M239" i="23"/>
  <c r="K239" i="23"/>
  <c r="I239" i="23"/>
  <c r="G239" i="23"/>
  <c r="F239" i="23"/>
  <c r="E239" i="23"/>
  <c r="D239" i="23"/>
  <c r="C239" i="23"/>
  <c r="B239" i="23"/>
  <c r="M230" i="23"/>
  <c r="K230" i="23"/>
  <c r="I230" i="23"/>
  <c r="G230" i="23"/>
  <c r="F230" i="23"/>
  <c r="E230" i="23"/>
  <c r="D230" i="23"/>
  <c r="C230" i="23"/>
  <c r="B230" i="23"/>
  <c r="F13" i="53"/>
  <c r="H12" i="53"/>
  <c r="I12" i="53"/>
  <c r="F14" i="53"/>
  <c r="G12" i="53"/>
  <c r="F11" i="53"/>
  <c r="G17" i="53"/>
  <c r="G18" i="53"/>
  <c r="G16" i="53"/>
  <c r="G15" i="53"/>
  <c r="F12" i="53"/>
  <c r="G13" i="53"/>
  <c r="F15" i="53"/>
  <c r="F16" i="53"/>
  <c r="F17" i="53"/>
  <c r="G14" i="53"/>
  <c r="J12" i="53"/>
  <c r="J147" i="23" l="1"/>
  <c r="J151" i="23"/>
  <c r="P21" i="55"/>
  <c r="J220" i="23"/>
  <c r="J159" i="23"/>
  <c r="J163" i="23"/>
  <c r="J167" i="23"/>
  <c r="J539" i="23"/>
  <c r="J547" i="23"/>
  <c r="J555" i="23"/>
  <c r="J579" i="23"/>
  <c r="J587" i="23"/>
  <c r="J595" i="23"/>
  <c r="J603" i="23"/>
  <c r="J619" i="23"/>
  <c r="J403" i="23"/>
  <c r="J411" i="23"/>
  <c r="J419" i="23"/>
  <c r="J427" i="23"/>
  <c r="J47" i="23"/>
  <c r="J193" i="23"/>
  <c r="J43" i="23"/>
  <c r="J51" i="23"/>
  <c r="J103" i="23"/>
  <c r="J203" i="23"/>
  <c r="G343" i="23"/>
  <c r="J343" i="23" s="1"/>
  <c r="J621" i="23"/>
  <c r="J212" i="23"/>
  <c r="J572" i="23"/>
  <c r="J596" i="23"/>
  <c r="J604" i="23"/>
  <c r="J396" i="23"/>
  <c r="J524" i="23"/>
  <c r="J580" i="23"/>
  <c r="J612" i="23"/>
  <c r="J620" i="23"/>
  <c r="J564" i="23"/>
  <c r="J468" i="23"/>
  <c r="J500" i="23"/>
  <c r="J508" i="23"/>
  <c r="J516" i="23"/>
  <c r="J196" i="23"/>
  <c r="J492" i="23"/>
  <c r="J540" i="23"/>
  <c r="J548" i="23"/>
  <c r="J556" i="23"/>
  <c r="J204" i="23"/>
  <c r="J228" i="23"/>
  <c r="J243" i="23"/>
  <c r="J264" i="23"/>
  <c r="J284" i="23"/>
  <c r="J452" i="23"/>
  <c r="J460" i="23"/>
  <c r="G58" i="23"/>
  <c r="G118" i="23"/>
  <c r="J118" i="23" s="1"/>
  <c r="G570" i="23"/>
  <c r="J570" i="23" s="1"/>
  <c r="G86" i="23"/>
  <c r="J86" i="23" s="1"/>
  <c r="G115" i="23"/>
  <c r="J115" i="23" s="1"/>
  <c r="G313" i="23"/>
  <c r="J313" i="23" s="1"/>
  <c r="G382" i="23"/>
  <c r="G142" i="23"/>
  <c r="J142" i="23" s="1"/>
  <c r="G337" i="23"/>
  <c r="J337" i="23" s="1"/>
  <c r="G386" i="23"/>
  <c r="J386" i="23" s="1"/>
  <c r="G125" i="23"/>
  <c r="J125" i="23" s="1"/>
  <c r="G532" i="23"/>
  <c r="J532" i="23" s="1"/>
  <c r="G381" i="23"/>
  <c r="J381" i="23" s="1"/>
  <c r="G102" i="23"/>
  <c r="J102" i="23" s="1"/>
  <c r="G316" i="23"/>
  <c r="G207" i="23"/>
  <c r="J207" i="23" s="1"/>
  <c r="G485" i="23"/>
  <c r="J485" i="23" s="1"/>
  <c r="G67" i="23"/>
  <c r="J67" i="23" s="1"/>
  <c r="G152" i="23"/>
  <c r="J152" i="23" s="1"/>
  <c r="G221" i="23"/>
  <c r="J221" i="23" s="1"/>
  <c r="G571" i="23"/>
  <c r="J571" i="23" s="1"/>
  <c r="J87" i="23"/>
  <c r="J135" i="23"/>
  <c r="J139" i="23"/>
  <c r="J201" i="23"/>
  <c r="G385" i="23"/>
  <c r="J385" i="23" s="1"/>
  <c r="G491" i="23"/>
  <c r="J491" i="23" s="1"/>
  <c r="J83" i="23"/>
  <c r="J91" i="23"/>
  <c r="J71" i="23"/>
  <c r="J75" i="23"/>
  <c r="G127" i="23"/>
  <c r="J127" i="23" s="1"/>
  <c r="J131" i="23"/>
  <c r="G157" i="23"/>
  <c r="J157" i="23" s="1"/>
  <c r="G74" i="23"/>
  <c r="J74" i="23" s="1"/>
  <c r="J119" i="23"/>
  <c r="J187" i="23"/>
  <c r="J55" i="23"/>
  <c r="J107" i="23"/>
  <c r="J111" i="23"/>
  <c r="J171" i="23"/>
  <c r="J175" i="23"/>
  <c r="J179" i="23"/>
  <c r="J217" i="23"/>
  <c r="J225" i="23"/>
  <c r="J261" i="23"/>
  <c r="J269" i="23"/>
  <c r="J95" i="23"/>
  <c r="J99" i="23"/>
  <c r="J209" i="23"/>
  <c r="E369" i="6"/>
  <c r="G400" i="23" s="1"/>
  <c r="J400" i="23" s="1"/>
  <c r="G534" i="23"/>
  <c r="J534" i="23" s="1"/>
  <c r="G372" i="23"/>
  <c r="J372" i="23" s="1"/>
  <c r="G206" i="23"/>
  <c r="J206" i="23" s="1"/>
  <c r="G315" i="23"/>
  <c r="J315" i="23" s="1"/>
  <c r="J342" i="23"/>
  <c r="J346" i="23"/>
  <c r="J350" i="23"/>
  <c r="J354" i="23"/>
  <c r="G60" i="23"/>
  <c r="J60" i="23" s="1"/>
  <c r="M24" i="6"/>
  <c r="G120" i="23"/>
  <c r="J120" i="23" s="1"/>
  <c r="M84" i="6"/>
  <c r="G199" i="23"/>
  <c r="J199" i="23" s="1"/>
  <c r="M168" i="6"/>
  <c r="G314" i="23"/>
  <c r="J314" i="23" s="1"/>
  <c r="M283" i="6"/>
  <c r="G444" i="23"/>
  <c r="J444" i="23" s="1"/>
  <c r="M413" i="6"/>
  <c r="G569" i="23"/>
  <c r="J569" i="23" s="1"/>
  <c r="M538" i="6"/>
  <c r="G213" i="23"/>
  <c r="J213" i="23" s="1"/>
  <c r="M182" i="6"/>
  <c r="G101" i="23"/>
  <c r="J101" i="23" s="1"/>
  <c r="M65" i="6"/>
  <c r="G146" i="23"/>
  <c r="J146" i="23" s="1"/>
  <c r="M110" i="6"/>
  <c r="G59" i="23"/>
  <c r="J59" i="23" s="1"/>
  <c r="M23" i="6"/>
  <c r="G92" i="23"/>
  <c r="J92" i="23" s="1"/>
  <c r="M56" i="6"/>
  <c r="G116" i="23"/>
  <c r="J116" i="23" s="1"/>
  <c r="M80" i="6"/>
  <c r="G143" i="23"/>
  <c r="J143" i="23" s="1"/>
  <c r="M107" i="6"/>
  <c r="G195" i="23"/>
  <c r="J195" i="23" s="1"/>
  <c r="M164" i="6"/>
  <c r="G302" i="23"/>
  <c r="J302" i="23" s="1"/>
  <c r="M271" i="6"/>
  <c r="G370" i="23"/>
  <c r="J370" i="23" s="1"/>
  <c r="M339" i="6"/>
  <c r="G443" i="23"/>
  <c r="J443" i="23" s="1"/>
  <c r="M412" i="6"/>
  <c r="G481" i="23"/>
  <c r="J481" i="23" s="1"/>
  <c r="M450" i="6"/>
  <c r="G520" i="23"/>
  <c r="J520" i="23" s="1"/>
  <c r="M489" i="6"/>
  <c r="G563" i="23"/>
  <c r="J563" i="23" s="1"/>
  <c r="M532" i="6"/>
  <c r="G180" i="23"/>
  <c r="J180" i="23" s="1"/>
  <c r="M145" i="6"/>
  <c r="G339" i="23"/>
  <c r="J339" i="23" s="1"/>
  <c r="M308" i="6"/>
  <c r="G94" i="23"/>
  <c r="J94" i="23" s="1"/>
  <c r="M58" i="6"/>
  <c r="G144" i="23"/>
  <c r="J144" i="23" s="1"/>
  <c r="M108" i="6"/>
  <c r="G371" i="23"/>
  <c r="J371" i="23" s="1"/>
  <c r="M340" i="6"/>
  <c r="G482" i="23"/>
  <c r="J482" i="23" s="1"/>
  <c r="M451" i="6"/>
  <c r="G530" i="23"/>
  <c r="J530" i="23" s="1"/>
  <c r="M499" i="6"/>
  <c r="G340" i="23"/>
  <c r="J340" i="23" s="1"/>
  <c r="M309" i="6"/>
  <c r="G61" i="23"/>
  <c r="J61" i="23" s="1"/>
  <c r="M25" i="6"/>
  <c r="G123" i="23"/>
  <c r="J123" i="23" s="1"/>
  <c r="M87" i="6"/>
  <c r="G465" i="23"/>
  <c r="J465" i="23" s="1"/>
  <c r="M434" i="6"/>
  <c r="G208" i="23"/>
  <c r="J208" i="23" s="1"/>
  <c r="M177" i="6"/>
  <c r="G320" i="23"/>
  <c r="J320" i="23" s="1"/>
  <c r="M289" i="6"/>
  <c r="G389" i="23"/>
  <c r="J389" i="23" s="1"/>
  <c r="M358" i="6"/>
  <c r="G470" i="23"/>
  <c r="J470" i="23" s="1"/>
  <c r="M439" i="6"/>
  <c r="G533" i="23"/>
  <c r="J533" i="23" s="1"/>
  <c r="M502" i="6"/>
  <c r="G215" i="23"/>
  <c r="J215" i="23" s="1"/>
  <c r="G464" i="23"/>
  <c r="J464" i="23" s="1"/>
  <c r="G531" i="23"/>
  <c r="J531" i="23" s="1"/>
  <c r="G79" i="23"/>
  <c r="J79" i="23" s="1"/>
  <c r="M43" i="6"/>
  <c r="G106" i="23"/>
  <c r="J106" i="23" s="1"/>
  <c r="M70" i="6"/>
  <c r="G133" i="23"/>
  <c r="J133" i="23" s="1"/>
  <c r="M97" i="6"/>
  <c r="G170" i="23"/>
  <c r="J170" i="23" s="1"/>
  <c r="M135" i="6"/>
  <c r="G476" i="23"/>
  <c r="J476" i="23" s="1"/>
  <c r="M445" i="6"/>
  <c r="G498" i="23"/>
  <c r="J498" i="23" s="1"/>
  <c r="M467" i="6"/>
  <c r="G355" i="23"/>
  <c r="J355" i="23" s="1"/>
  <c r="G192" i="23"/>
  <c r="J192" i="23" s="1"/>
  <c r="M161" i="6"/>
  <c r="G300" i="23"/>
  <c r="J300" i="23" s="1"/>
  <c r="M269" i="6"/>
  <c r="G358" i="23"/>
  <c r="J358" i="23" s="1"/>
  <c r="M327" i="6"/>
  <c r="G435" i="23"/>
  <c r="J435" i="23" s="1"/>
  <c r="M404" i="6"/>
  <c r="G480" i="23"/>
  <c r="J480" i="23" s="1"/>
  <c r="M449" i="6"/>
  <c r="G519" i="23"/>
  <c r="J519" i="23" s="1"/>
  <c r="M488" i="6"/>
  <c r="G558" i="23"/>
  <c r="J558" i="23" s="1"/>
  <c r="M527" i="6"/>
  <c r="J239" i="23"/>
  <c r="J582" i="23"/>
  <c r="J586" i="23"/>
  <c r="J590" i="23"/>
  <c r="J594" i="23"/>
  <c r="J598" i="23"/>
  <c r="J602" i="23"/>
  <c r="J606" i="23"/>
  <c r="J610" i="23"/>
  <c r="J614" i="23"/>
  <c r="J562" i="23"/>
  <c r="J478" i="23"/>
  <c r="J218" i="23"/>
  <c r="J226" i="23"/>
  <c r="J232" i="23"/>
  <c r="J241" i="23"/>
  <c r="J282" i="23"/>
  <c r="J622" i="23"/>
  <c r="J566" i="23"/>
  <c r="J230" i="23"/>
  <c r="J307" i="23"/>
  <c r="J395" i="23"/>
  <c r="J379" i="23"/>
  <c r="J387" i="23"/>
  <c r="J363" i="23"/>
  <c r="J347" i="23"/>
  <c r="J451" i="23"/>
  <c r="J459" i="23"/>
  <c r="J467" i="23"/>
  <c r="J523" i="23"/>
  <c r="J323" i="23"/>
  <c r="J331" i="23"/>
  <c r="J499" i="23"/>
  <c r="J507" i="23"/>
  <c r="J515" i="23"/>
  <c r="J41" i="23"/>
  <c r="J45" i="23"/>
  <c r="J49" i="23"/>
  <c r="J53" i="23"/>
  <c r="J374" i="23"/>
  <c r="J378" i="23"/>
  <c r="J382" i="23"/>
  <c r="J486" i="23"/>
  <c r="J490" i="23"/>
  <c r="J494" i="23"/>
  <c r="J362" i="23"/>
  <c r="J366" i="23"/>
  <c r="J574" i="23"/>
  <c r="J578" i="23"/>
  <c r="J184" i="23"/>
  <c r="J322" i="23"/>
  <c r="J326" i="23"/>
  <c r="J330" i="23"/>
  <c r="J334" i="23"/>
  <c r="J338" i="23"/>
  <c r="J474" i="23"/>
  <c r="J538" i="23"/>
  <c r="J542" i="23"/>
  <c r="J546" i="23"/>
  <c r="J550" i="23"/>
  <c r="J554" i="23"/>
  <c r="J318" i="23"/>
  <c r="J446" i="23"/>
  <c r="J450" i="23"/>
  <c r="J454" i="23"/>
  <c r="J458" i="23"/>
  <c r="J462" i="23"/>
  <c r="J466" i="23"/>
  <c r="J306" i="23"/>
  <c r="J310" i="23"/>
  <c r="J438" i="23"/>
  <c r="J442" i="23"/>
  <c r="J402" i="23"/>
  <c r="J406" i="23"/>
  <c r="J410" i="23"/>
  <c r="J414" i="23"/>
  <c r="J418" i="23"/>
  <c r="J422" i="23"/>
  <c r="J426" i="23"/>
  <c r="J434" i="23"/>
  <c r="J522" i="23"/>
  <c r="J526" i="23"/>
  <c r="J286" i="23"/>
  <c r="J290" i="23"/>
  <c r="J294" i="23"/>
  <c r="J298" i="23"/>
  <c r="J390" i="23"/>
  <c r="J394" i="23"/>
  <c r="J398" i="23"/>
  <c r="J518" i="23"/>
  <c r="K9" i="52"/>
  <c r="K11" i="52"/>
  <c r="J63" i="23"/>
  <c r="J404" i="23"/>
  <c r="J412" i="23"/>
  <c r="J420" i="23"/>
  <c r="J428" i="23"/>
  <c r="J475" i="23"/>
  <c r="J164" i="23"/>
  <c r="J251" i="23"/>
  <c r="J210" i="23"/>
  <c r="J364" i="23"/>
  <c r="J380" i="23"/>
  <c r="J388" i="23"/>
  <c r="J52" i="23"/>
  <c r="J616" i="23"/>
  <c r="J202" i="23"/>
  <c r="J324" i="23"/>
  <c r="J332" i="23"/>
  <c r="J348" i="23"/>
  <c r="J356" i="23"/>
  <c r="J353" i="23"/>
  <c r="J369" i="23"/>
  <c r="J401" i="23"/>
  <c r="J417" i="23"/>
  <c r="J256" i="23"/>
  <c r="J145" i="23"/>
  <c r="J149" i="23"/>
  <c r="J194" i="23"/>
  <c r="J231" i="23"/>
  <c r="J304" i="23"/>
  <c r="J308" i="23"/>
  <c r="J312" i="23"/>
  <c r="J316" i="23"/>
  <c r="J84" i="23"/>
  <c r="J188" i="23"/>
  <c r="J100" i="23"/>
  <c r="J137" i="23"/>
  <c r="J141" i="23"/>
  <c r="J288" i="23"/>
  <c r="J292" i="23"/>
  <c r="J296" i="23"/>
  <c r="J483" i="23"/>
  <c r="J132" i="23"/>
  <c r="J263" i="23"/>
  <c r="J436" i="23"/>
  <c r="J502" i="23"/>
  <c r="J506" i="23"/>
  <c r="J510" i="23"/>
  <c r="J514" i="23"/>
  <c r="J588" i="23"/>
  <c r="J148" i="23"/>
  <c r="J327" i="23"/>
  <c r="J359" i="23"/>
  <c r="J375" i="23"/>
  <c r="J391" i="23"/>
  <c r="J407" i="23"/>
  <c r="J423" i="23"/>
  <c r="K15" i="52"/>
  <c r="K8" i="52"/>
  <c r="K10" i="52"/>
  <c r="K12" i="52"/>
  <c r="K16" i="52"/>
  <c r="K13" i="52"/>
  <c r="K4" i="52"/>
  <c r="K14" i="52"/>
  <c r="K1" i="52"/>
  <c r="J68" i="23"/>
  <c r="J321" i="23"/>
  <c r="J42" i="23"/>
  <c r="J58" i="23"/>
  <c r="J90" i="23"/>
  <c r="J122" i="23"/>
  <c r="J138" i="23"/>
  <c r="J154" i="23"/>
  <c r="J198" i="23"/>
  <c r="J214" i="23"/>
  <c r="J224" i="23"/>
  <c r="J240" i="23"/>
  <c r="J266" i="23"/>
  <c r="J287" i="23"/>
  <c r="J293" i="23"/>
  <c r="J333" i="23"/>
  <c r="J349" i="23"/>
  <c r="J365" i="23"/>
  <c r="J397" i="23"/>
  <c r="J413" i="23"/>
  <c r="J429" i="23"/>
  <c r="J433" i="23"/>
  <c r="J439" i="23"/>
  <c r="J449" i="23"/>
  <c r="J455" i="23"/>
  <c r="J471" i="23"/>
  <c r="J487" i="23"/>
  <c r="J497" i="23"/>
  <c r="J503" i="23"/>
  <c r="J513" i="23"/>
  <c r="J529" i="23"/>
  <c r="J535" i="23"/>
  <c r="J545" i="23"/>
  <c r="J551" i="23"/>
  <c r="J561" i="23"/>
  <c r="J567" i="23"/>
  <c r="J577" i="23"/>
  <c r="J583" i="23"/>
  <c r="J593" i="23"/>
  <c r="J599" i="23"/>
  <c r="J609" i="23"/>
  <c r="J46" i="23"/>
  <c r="J62" i="23"/>
  <c r="J78" i="23"/>
  <c r="J110" i="23"/>
  <c r="J126" i="23"/>
  <c r="J158" i="23"/>
  <c r="J174" i="23"/>
  <c r="J205" i="23"/>
  <c r="J260" i="23"/>
  <c r="J297" i="23"/>
  <c r="J303" i="23"/>
  <c r="J309" i="23"/>
  <c r="J430" i="23"/>
  <c r="J440" i="23"/>
  <c r="J456" i="23"/>
  <c r="J472" i="23"/>
  <c r="J488" i="23"/>
  <c r="J504" i="23"/>
  <c r="J536" i="23"/>
  <c r="J552" i="23"/>
  <c r="J568" i="23"/>
  <c r="J584" i="23"/>
  <c r="J600" i="23"/>
  <c r="J613" i="23"/>
  <c r="J281" i="23"/>
  <c r="J56" i="23"/>
  <c r="J72" i="23"/>
  <c r="J88" i="23"/>
  <c r="J104" i="23"/>
  <c r="J136" i="23"/>
  <c r="J168" i="23"/>
  <c r="J181" i="23"/>
  <c r="J185" i="23"/>
  <c r="J257" i="23"/>
  <c r="J285" i="23"/>
  <c r="J328" i="23"/>
  <c r="J344" i="23"/>
  <c r="J360" i="23"/>
  <c r="J376" i="23"/>
  <c r="J392" i="23"/>
  <c r="J408" i="23"/>
  <c r="J424" i="23"/>
  <c r="J437" i="23"/>
  <c r="J453" i="23"/>
  <c r="J469" i="23"/>
  <c r="J501" i="23"/>
  <c r="J517" i="23"/>
  <c r="J549" i="23"/>
  <c r="J565" i="23"/>
  <c r="J581" i="23"/>
  <c r="J597" i="23"/>
  <c r="J617" i="23"/>
  <c r="J50" i="23"/>
  <c r="J66" i="23"/>
  <c r="J82" i="23"/>
  <c r="J98" i="23"/>
  <c r="J114" i="23"/>
  <c r="J130" i="23"/>
  <c r="J162" i="23"/>
  <c r="J178" i="23"/>
  <c r="J200" i="23"/>
  <c r="J216" i="23"/>
  <c r="J222" i="23"/>
  <c r="J233" i="23"/>
  <c r="J319" i="23"/>
  <c r="J325" i="23"/>
  <c r="J341" i="23"/>
  <c r="J357" i="23"/>
  <c r="J373" i="23"/>
  <c r="J405" i="23"/>
  <c r="J421" i="23"/>
  <c r="J431" i="23"/>
  <c r="J441" i="23"/>
  <c r="J447" i="23"/>
  <c r="J457" i="23"/>
  <c r="J463" i="23"/>
  <c r="J473" i="23"/>
  <c r="J479" i="23"/>
  <c r="J489" i="23"/>
  <c r="J495" i="23"/>
  <c r="J505" i="23"/>
  <c r="J511" i="23"/>
  <c r="J521" i="23"/>
  <c r="J527" i="23"/>
  <c r="J537" i="23"/>
  <c r="J543" i="23"/>
  <c r="J553" i="23"/>
  <c r="J559" i="23"/>
  <c r="J575" i="23"/>
  <c r="J585" i="23"/>
  <c r="J591" i="23"/>
  <c r="J601" i="23"/>
  <c r="J607" i="23"/>
  <c r="J44" i="23"/>
  <c r="J76" i="23"/>
  <c r="J108" i="23"/>
  <c r="J124" i="23"/>
  <c r="J140" i="23"/>
  <c r="J156" i="23"/>
  <c r="J172" i="23"/>
  <c r="J182" i="23"/>
  <c r="J186" i="23"/>
  <c r="J258" i="23"/>
  <c r="J268" i="23"/>
  <c r="J289" i="23"/>
  <c r="J295" i="23"/>
  <c r="J301" i="23"/>
  <c r="J329" i="23"/>
  <c r="J335" i="23"/>
  <c r="J345" i="23"/>
  <c r="J351" i="23"/>
  <c r="J361" i="23"/>
  <c r="J367" i="23"/>
  <c r="J377" i="23"/>
  <c r="J383" i="23"/>
  <c r="J393" i="23"/>
  <c r="J399" i="23"/>
  <c r="J409" i="23"/>
  <c r="J415" i="23"/>
  <c r="J425" i="23"/>
  <c r="J611" i="23"/>
  <c r="J618" i="23"/>
  <c r="J54" i="23"/>
  <c r="J70" i="23"/>
  <c r="J134" i="23"/>
  <c r="J150" i="23"/>
  <c r="J166" i="23"/>
  <c r="J197" i="23"/>
  <c r="J223" i="23"/>
  <c r="J234" i="23"/>
  <c r="J265" i="23"/>
  <c r="J432" i="23"/>
  <c r="J448" i="23"/>
  <c r="J496" i="23"/>
  <c r="J512" i="23"/>
  <c r="J528" i="23"/>
  <c r="J544" i="23"/>
  <c r="J560" i="23"/>
  <c r="J576" i="23"/>
  <c r="J592" i="23"/>
  <c r="J608" i="23"/>
  <c r="J48" i="23"/>
  <c r="J64" i="23"/>
  <c r="J80" i="23"/>
  <c r="J96" i="23"/>
  <c r="J112" i="23"/>
  <c r="J128" i="23"/>
  <c r="J160" i="23"/>
  <c r="J176" i="23"/>
  <c r="J183" i="23"/>
  <c r="J262" i="23"/>
  <c r="J305" i="23"/>
  <c r="J311" i="23"/>
  <c r="J317" i="23"/>
  <c r="J336" i="23"/>
  <c r="J352" i="23"/>
  <c r="J368" i="23"/>
  <c r="J384" i="23"/>
  <c r="J416" i="23"/>
  <c r="J445" i="23"/>
  <c r="J461" i="23"/>
  <c r="J477" i="23"/>
  <c r="J493" i="23"/>
  <c r="J509" i="23"/>
  <c r="J525" i="23"/>
  <c r="J541" i="23"/>
  <c r="J557" i="23"/>
  <c r="J573" i="23"/>
  <c r="J589" i="23"/>
  <c r="J605" i="23"/>
  <c r="J615" i="23"/>
  <c r="P22" i="55" l="1"/>
  <c r="M369" i="6"/>
  <c r="H317" i="23"/>
  <c r="H293" i="23"/>
  <c r="H285" i="23"/>
  <c r="H264" i="23"/>
  <c r="H227" i="23"/>
  <c r="H219" i="23"/>
  <c r="H498" i="23"/>
  <c r="H315" i="23"/>
  <c r="H299" i="23"/>
  <c r="H189" i="23"/>
  <c r="H144" i="23"/>
  <c r="H146" i="23"/>
  <c r="H101" i="23"/>
  <c r="H618" i="23"/>
  <c r="H616" i="23"/>
  <c r="H614" i="23"/>
  <c r="H612" i="23"/>
  <c r="H610" i="23"/>
  <c r="H598" i="23"/>
  <c r="H597" i="23"/>
  <c r="H594" i="23"/>
  <c r="H590" i="23"/>
  <c r="H589" i="23"/>
  <c r="H586" i="23"/>
  <c r="H584" i="23"/>
  <c r="H582" i="23"/>
  <c r="H581" i="23"/>
  <c r="H578" i="23"/>
  <c r="H574" i="23"/>
  <c r="H573" i="23"/>
  <c r="H570" i="23"/>
  <c r="H566" i="23"/>
  <c r="H565" i="23"/>
  <c r="H563" i="23"/>
  <c r="H562" i="23"/>
  <c r="H560" i="23"/>
  <c r="H558" i="23"/>
  <c r="H557" i="23"/>
  <c r="H556" i="23"/>
  <c r="H554" i="23"/>
  <c r="H550" i="23"/>
  <c r="H549" i="23"/>
  <c r="H541" i="23"/>
  <c r="H538" i="23"/>
  <c r="H534" i="23"/>
  <c r="H533" i="23"/>
  <c r="H526" i="23"/>
  <c r="H525" i="23"/>
  <c r="H522" i="23"/>
  <c r="H520" i="23"/>
  <c r="H518" i="23"/>
  <c r="H517" i="23"/>
  <c r="H514" i="23"/>
  <c r="H509" i="23"/>
  <c r="H506" i="23"/>
  <c r="H501" i="23"/>
  <c r="H494" i="23"/>
  <c r="H493" i="23"/>
  <c r="H488" i="23"/>
  <c r="H486" i="23"/>
  <c r="H485" i="23"/>
  <c r="H482" i="23"/>
  <c r="H478" i="23"/>
  <c r="H477" i="23"/>
  <c r="H474" i="23"/>
  <c r="H470" i="23"/>
  <c r="H469" i="23"/>
  <c r="H466" i="23"/>
  <c r="H464" i="23"/>
  <c r="H462" i="23"/>
  <c r="H461" i="23"/>
  <c r="H458" i="23"/>
  <c r="H456" i="23"/>
  <c r="H454" i="23"/>
  <c r="H453" i="23"/>
  <c r="H445" i="23"/>
  <c r="H442" i="23"/>
  <c r="H437" i="23"/>
  <c r="H434" i="23"/>
  <c r="H432" i="23"/>
  <c r="H429" i="23"/>
  <c r="H427" i="23"/>
  <c r="H426" i="23"/>
  <c r="H424" i="23"/>
  <c r="H421" i="23"/>
  <c r="H420" i="23"/>
  <c r="H416" i="23"/>
  <c r="H415" i="23"/>
  <c r="H413" i="23"/>
  <c r="H410" i="23"/>
  <c r="H408" i="23"/>
  <c r="H405" i="23"/>
  <c r="H404" i="23"/>
  <c r="H402" i="23"/>
  <c r="H397" i="23"/>
  <c r="H396" i="23"/>
  <c r="H392" i="23"/>
  <c r="H389" i="23"/>
  <c r="H388" i="23"/>
  <c r="H384" i="23"/>
  <c r="H383" i="23"/>
  <c r="H381" i="23"/>
  <c r="H377" i="23"/>
  <c r="H373" i="23"/>
  <c r="H368" i="23"/>
  <c r="H367" i="23"/>
  <c r="H365" i="23"/>
  <c r="H360" i="23"/>
  <c r="H359" i="23"/>
  <c r="H358" i="23"/>
  <c r="H352" i="23"/>
  <c r="H350" i="23"/>
  <c r="H346" i="23"/>
  <c r="H345" i="23"/>
  <c r="H344" i="23"/>
  <c r="H343" i="23"/>
  <c r="H341" i="23"/>
  <c r="H338" i="23"/>
  <c r="H336" i="23"/>
  <c r="H335" i="23"/>
  <c r="H334" i="23"/>
  <c r="H333" i="23"/>
  <c r="H328" i="23"/>
  <c r="H327" i="23"/>
  <c r="H325" i="23"/>
  <c r="H322" i="23"/>
  <c r="H320" i="23"/>
  <c r="H319" i="23"/>
  <c r="H313" i="23"/>
  <c r="H312" i="23"/>
  <c r="H311" i="23"/>
  <c r="H309" i="23"/>
  <c r="H306" i="23"/>
  <c r="H304" i="23"/>
  <c r="H303" i="23"/>
  <c r="H302" i="23"/>
  <c r="H298" i="23"/>
  <c r="H297" i="23"/>
  <c r="H296" i="23"/>
  <c r="H295" i="23"/>
  <c r="H294" i="23"/>
  <c r="H291" i="23"/>
  <c r="H288" i="23"/>
  <c r="H287" i="23"/>
  <c r="H286" i="23"/>
  <c r="H283" i="23"/>
  <c r="H265" i="23"/>
  <c r="H262" i="23"/>
  <c r="H259" i="23"/>
  <c r="H257" i="23"/>
  <c r="H256" i="23"/>
  <c r="H243" i="23"/>
  <c r="H242" i="23"/>
  <c r="H240" i="23"/>
  <c r="H239" i="23"/>
  <c r="H231" i="23"/>
  <c r="H230" i="23"/>
  <c r="H226" i="23"/>
  <c r="H225" i="23"/>
  <c r="H224" i="23"/>
  <c r="H222" i="23"/>
  <c r="H216" i="23"/>
  <c r="H214" i="23"/>
  <c r="H211" i="23"/>
  <c r="H210" i="23"/>
  <c r="H209" i="23"/>
  <c r="H208" i="23"/>
  <c r="H202" i="23"/>
  <c r="H201" i="23"/>
  <c r="H200" i="23"/>
  <c r="H199" i="23"/>
  <c r="H186" i="23"/>
  <c r="H185" i="23"/>
  <c r="H184" i="23"/>
  <c r="H183" i="23"/>
  <c r="H181" i="23"/>
  <c r="H175" i="23"/>
  <c r="H174" i="23"/>
  <c r="H170" i="23"/>
  <c r="H168" i="23"/>
  <c r="H167" i="23"/>
  <c r="H166" i="23"/>
  <c r="H162" i="23"/>
  <c r="H161" i="23"/>
  <c r="H160" i="23"/>
  <c r="H159" i="23"/>
  <c r="H152" i="23"/>
  <c r="H151" i="23"/>
  <c r="H150" i="23"/>
  <c r="H149" i="23"/>
  <c r="H142" i="23"/>
  <c r="H137" i="23"/>
  <c r="H136" i="23"/>
  <c r="H135" i="23"/>
  <c r="H134" i="23"/>
  <c r="H133" i="23"/>
  <c r="H130" i="23"/>
  <c r="H129" i="23"/>
  <c r="H128" i="23"/>
  <c r="H127" i="23"/>
  <c r="H126" i="23"/>
  <c r="H125" i="23"/>
  <c r="H120" i="23"/>
  <c r="H117" i="23"/>
  <c r="H114" i="23"/>
  <c r="H112" i="23"/>
  <c r="H110" i="23"/>
  <c r="H109" i="23"/>
  <c r="H106" i="23"/>
  <c r="H102" i="23"/>
  <c r="H98" i="23"/>
  <c r="H96" i="23"/>
  <c r="H94" i="23"/>
  <c r="H93" i="23"/>
  <c r="H90" i="23"/>
  <c r="H86" i="23"/>
  <c r="H85" i="23"/>
  <c r="H82" i="23"/>
  <c r="H80" i="23"/>
  <c r="H78" i="23"/>
  <c r="H77" i="23"/>
  <c r="H74" i="23"/>
  <c r="H72" i="23"/>
  <c r="H71" i="23"/>
  <c r="H69" i="23"/>
  <c r="H67" i="23"/>
  <c r="H66" i="23"/>
  <c r="H64" i="23"/>
  <c r="H41" i="23"/>
  <c r="H42" i="23"/>
  <c r="H45" i="23"/>
  <c r="H47" i="23"/>
  <c r="H48" i="23"/>
  <c r="H49" i="23"/>
  <c r="H50" i="23"/>
  <c r="H51" i="23"/>
  <c r="H53" i="23"/>
  <c r="H55" i="23"/>
  <c r="H56" i="23"/>
  <c r="H58" i="23"/>
  <c r="H118" i="23"/>
  <c r="H158" i="23"/>
  <c r="H182" i="23"/>
  <c r="B190" i="23"/>
  <c r="C190" i="23"/>
  <c r="D190" i="23"/>
  <c r="E190" i="23"/>
  <c r="F190" i="23"/>
  <c r="G190" i="23"/>
  <c r="H190" i="23" s="1"/>
  <c r="I190" i="23"/>
  <c r="K190" i="23"/>
  <c r="M190" i="23"/>
  <c r="B191" i="23"/>
  <c r="C191" i="23"/>
  <c r="D191" i="23"/>
  <c r="E191" i="23"/>
  <c r="F191" i="23"/>
  <c r="G191" i="23"/>
  <c r="I191" i="23"/>
  <c r="K191" i="23"/>
  <c r="M191" i="23"/>
  <c r="B229" i="23"/>
  <c r="C229" i="23"/>
  <c r="D229" i="23"/>
  <c r="E229" i="23"/>
  <c r="F229" i="23"/>
  <c r="G229" i="23"/>
  <c r="H229" i="23" s="1"/>
  <c r="I229" i="23"/>
  <c r="K229" i="23"/>
  <c r="M229" i="23"/>
  <c r="B235" i="23"/>
  <c r="C235" i="23"/>
  <c r="D235" i="23"/>
  <c r="E235" i="23"/>
  <c r="F235" i="23"/>
  <c r="G235" i="23"/>
  <c r="H235" i="23" s="1"/>
  <c r="I235" i="23"/>
  <c r="K235" i="23"/>
  <c r="M235" i="23"/>
  <c r="B236" i="23"/>
  <c r="C236" i="23"/>
  <c r="D236" i="23"/>
  <c r="E236" i="23"/>
  <c r="F236" i="23"/>
  <c r="G236" i="23"/>
  <c r="I236" i="23"/>
  <c r="K236" i="23"/>
  <c r="M236" i="23"/>
  <c r="B237" i="23"/>
  <c r="C237" i="23"/>
  <c r="D237" i="23"/>
  <c r="E237" i="23"/>
  <c r="F237" i="23"/>
  <c r="G237" i="23"/>
  <c r="H237" i="23" s="1"/>
  <c r="I237" i="23"/>
  <c r="K237" i="23"/>
  <c r="M237" i="23"/>
  <c r="B238" i="23"/>
  <c r="C238" i="23"/>
  <c r="D238" i="23"/>
  <c r="E238" i="23"/>
  <c r="F238" i="23"/>
  <c r="G238" i="23"/>
  <c r="H238" i="23" s="1"/>
  <c r="I238" i="23"/>
  <c r="K238" i="23"/>
  <c r="M238" i="23"/>
  <c r="B244" i="23"/>
  <c r="C244" i="23"/>
  <c r="D244" i="23"/>
  <c r="E244" i="23"/>
  <c r="F244" i="23"/>
  <c r="G244" i="23"/>
  <c r="I244" i="23"/>
  <c r="K244" i="23"/>
  <c r="M244" i="23"/>
  <c r="B245" i="23"/>
  <c r="C245" i="23"/>
  <c r="D245" i="23"/>
  <c r="E245" i="23"/>
  <c r="F245" i="23"/>
  <c r="G245" i="23"/>
  <c r="H245" i="23" s="1"/>
  <c r="I245" i="23"/>
  <c r="K245" i="23"/>
  <c r="M245" i="23"/>
  <c r="B246" i="23"/>
  <c r="C246" i="23"/>
  <c r="D246" i="23"/>
  <c r="E246" i="23"/>
  <c r="F246" i="23"/>
  <c r="G246" i="23"/>
  <c r="H246" i="23" s="1"/>
  <c r="I246" i="23"/>
  <c r="K246" i="23"/>
  <c r="M246" i="23"/>
  <c r="B247" i="23"/>
  <c r="C247" i="23"/>
  <c r="D247" i="23"/>
  <c r="E247" i="23"/>
  <c r="F247" i="23"/>
  <c r="G247" i="23"/>
  <c r="H247" i="23" s="1"/>
  <c r="I247" i="23"/>
  <c r="K247" i="23"/>
  <c r="M247" i="23"/>
  <c r="B248" i="23"/>
  <c r="C248" i="23"/>
  <c r="D248" i="23"/>
  <c r="E248" i="23"/>
  <c r="F248" i="23"/>
  <c r="G248" i="23"/>
  <c r="H248" i="23" s="1"/>
  <c r="I248" i="23"/>
  <c r="K248" i="23"/>
  <c r="M248" i="23"/>
  <c r="B249" i="23"/>
  <c r="C249" i="23"/>
  <c r="D249" i="23"/>
  <c r="E249" i="23"/>
  <c r="F249" i="23"/>
  <c r="G249" i="23"/>
  <c r="I249" i="23"/>
  <c r="K249" i="23"/>
  <c r="M249" i="23"/>
  <c r="B250" i="23"/>
  <c r="C250" i="23"/>
  <c r="D250" i="23"/>
  <c r="E250" i="23"/>
  <c r="F250" i="23"/>
  <c r="G250" i="23"/>
  <c r="H250" i="23" s="1"/>
  <c r="I250" i="23"/>
  <c r="K250" i="23"/>
  <c r="M250" i="23"/>
  <c r="B252" i="23"/>
  <c r="C252" i="23"/>
  <c r="D252" i="23"/>
  <c r="E252" i="23"/>
  <c r="F252" i="23"/>
  <c r="G252" i="23"/>
  <c r="I252" i="23"/>
  <c r="K252" i="23"/>
  <c r="M252" i="23"/>
  <c r="B253" i="23"/>
  <c r="C253" i="23"/>
  <c r="D253" i="23"/>
  <c r="E253" i="23"/>
  <c r="F253" i="23"/>
  <c r="G253" i="23"/>
  <c r="H253" i="23" s="1"/>
  <c r="I253" i="23"/>
  <c r="K253" i="23"/>
  <c r="M253" i="23"/>
  <c r="B254" i="23"/>
  <c r="C254" i="23"/>
  <c r="D254" i="23"/>
  <c r="E254" i="23"/>
  <c r="F254" i="23"/>
  <c r="G254" i="23"/>
  <c r="I254" i="23"/>
  <c r="K254" i="23"/>
  <c r="M254" i="23"/>
  <c r="B255" i="23"/>
  <c r="C255" i="23"/>
  <c r="D255" i="23"/>
  <c r="E255" i="23"/>
  <c r="F255" i="23"/>
  <c r="G255" i="23"/>
  <c r="H255" i="23" s="1"/>
  <c r="I255" i="23"/>
  <c r="K255" i="23"/>
  <c r="M255" i="23"/>
  <c r="B270" i="23"/>
  <c r="C270" i="23"/>
  <c r="D270" i="23"/>
  <c r="E270" i="23"/>
  <c r="F270" i="23"/>
  <c r="G270" i="23"/>
  <c r="H270" i="23" s="1"/>
  <c r="I270" i="23"/>
  <c r="K270" i="23"/>
  <c r="M270" i="23"/>
  <c r="B271" i="23"/>
  <c r="C271" i="23"/>
  <c r="D271" i="23"/>
  <c r="E271" i="23"/>
  <c r="F271" i="23"/>
  <c r="G271" i="23"/>
  <c r="H271" i="23" s="1"/>
  <c r="I271" i="23"/>
  <c r="K271" i="23"/>
  <c r="M271" i="23"/>
  <c r="B272" i="23"/>
  <c r="C272" i="23"/>
  <c r="D272" i="23"/>
  <c r="E272" i="23"/>
  <c r="F272" i="23"/>
  <c r="G272" i="23"/>
  <c r="H272" i="23" s="1"/>
  <c r="I272" i="23"/>
  <c r="K272" i="23"/>
  <c r="M272" i="23"/>
  <c r="B273" i="23"/>
  <c r="C273" i="23"/>
  <c r="D273" i="23"/>
  <c r="E273" i="23"/>
  <c r="F273" i="23"/>
  <c r="G273" i="23"/>
  <c r="I273" i="23"/>
  <c r="K273" i="23"/>
  <c r="M273" i="23"/>
  <c r="B274" i="23"/>
  <c r="C274" i="23"/>
  <c r="D274" i="23"/>
  <c r="E274" i="23"/>
  <c r="F274" i="23"/>
  <c r="G274" i="23"/>
  <c r="H274" i="23" s="1"/>
  <c r="I274" i="23"/>
  <c r="K274" i="23"/>
  <c r="M274" i="23"/>
  <c r="B275" i="23"/>
  <c r="C275" i="23"/>
  <c r="D275" i="23"/>
  <c r="E275" i="23"/>
  <c r="F275" i="23"/>
  <c r="G275" i="23"/>
  <c r="H275" i="23" s="1"/>
  <c r="I275" i="23"/>
  <c r="K275" i="23"/>
  <c r="M275" i="23"/>
  <c r="B276" i="23"/>
  <c r="C276" i="23"/>
  <c r="D276" i="23"/>
  <c r="E276" i="23"/>
  <c r="F276" i="23"/>
  <c r="G276" i="23"/>
  <c r="I276" i="23"/>
  <c r="K276" i="23"/>
  <c r="M276" i="23"/>
  <c r="B277" i="23"/>
  <c r="C277" i="23"/>
  <c r="D277" i="23"/>
  <c r="E277" i="23"/>
  <c r="F277" i="23"/>
  <c r="G277" i="23"/>
  <c r="H277" i="23" s="1"/>
  <c r="I277" i="23"/>
  <c r="K277" i="23"/>
  <c r="M277" i="23"/>
  <c r="B278" i="23"/>
  <c r="C278" i="23"/>
  <c r="D278" i="23"/>
  <c r="E278" i="23"/>
  <c r="F278" i="23"/>
  <c r="G278" i="23"/>
  <c r="H278" i="23" s="1"/>
  <c r="I278" i="23"/>
  <c r="K278" i="23"/>
  <c r="M278" i="23"/>
  <c r="B279" i="23"/>
  <c r="C279" i="23"/>
  <c r="D279" i="23"/>
  <c r="E279" i="23"/>
  <c r="F279" i="23"/>
  <c r="G279" i="23"/>
  <c r="H279" i="23" s="1"/>
  <c r="I279" i="23"/>
  <c r="K279" i="23"/>
  <c r="M279" i="23"/>
  <c r="B280" i="23"/>
  <c r="C280" i="23"/>
  <c r="D280" i="23"/>
  <c r="E280" i="23"/>
  <c r="F280" i="23"/>
  <c r="G280" i="23"/>
  <c r="H280" i="23" s="1"/>
  <c r="I280" i="23"/>
  <c r="K280" i="23"/>
  <c r="M280" i="23"/>
  <c r="H329" i="23"/>
  <c r="H351" i="23"/>
  <c r="H375" i="23"/>
  <c r="H376" i="23"/>
  <c r="H387" i="23"/>
  <c r="H391" i="23"/>
  <c r="H395" i="23"/>
  <c r="H407" i="23"/>
  <c r="H411" i="23"/>
  <c r="H412" i="23"/>
  <c r="H419" i="23"/>
  <c r="H423" i="23"/>
  <c r="H428" i="23"/>
  <c r="H431" i="23"/>
  <c r="H435" i="23"/>
  <c r="H439" i="23"/>
  <c r="H443" i="23"/>
  <c r="H447" i="23"/>
  <c r="H450" i="23"/>
  <c r="H451" i="23"/>
  <c r="H452" i="23"/>
  <c r="H455" i="23"/>
  <c r="H459" i="23"/>
  <c r="H463" i="23"/>
  <c r="H467" i="23"/>
  <c r="H471" i="23"/>
  <c r="H475" i="23"/>
  <c r="H479" i="23"/>
  <c r="H483" i="23"/>
  <c r="H487" i="23"/>
  <c r="H491" i="23"/>
  <c r="H492" i="23"/>
  <c r="H495" i="23"/>
  <c r="H499" i="23"/>
  <c r="H503" i="23"/>
  <c r="H507" i="23"/>
  <c r="H510" i="23"/>
  <c r="H511" i="23"/>
  <c r="H515" i="23"/>
  <c r="H519" i="23"/>
  <c r="H523" i="23"/>
  <c r="H527" i="23"/>
  <c r="H531" i="23"/>
  <c r="H535" i="23"/>
  <c r="H539" i="23"/>
  <c r="H542" i="23"/>
  <c r="H543" i="23"/>
  <c r="H547" i="23"/>
  <c r="H548" i="23"/>
  <c r="H551" i="23"/>
  <c r="H552" i="23"/>
  <c r="H555" i="23"/>
  <c r="H559" i="23"/>
  <c r="H567" i="23"/>
  <c r="H571" i="23"/>
  <c r="H572" i="23"/>
  <c r="H575" i="23"/>
  <c r="H579" i="23"/>
  <c r="H580" i="23"/>
  <c r="H583" i="23"/>
  <c r="H587" i="23"/>
  <c r="H588" i="23"/>
  <c r="H591" i="23"/>
  <c r="H592" i="23"/>
  <c r="H595" i="23"/>
  <c r="H599" i="23"/>
  <c r="H602" i="23"/>
  <c r="H603" i="23"/>
  <c r="H604" i="23"/>
  <c r="H607" i="23"/>
  <c r="H611" i="23"/>
  <c r="H615" i="23"/>
  <c r="H619" i="23"/>
  <c r="H620" i="23"/>
  <c r="H622" i="23"/>
  <c r="P23" i="55" l="1"/>
  <c r="H63" i="23"/>
  <c r="H187" i="23"/>
  <c r="H400" i="23"/>
  <c r="H357" i="23"/>
  <c r="H369" i="23"/>
  <c r="H155" i="23"/>
  <c r="H179" i="23"/>
  <c r="H147" i="23"/>
  <c r="H171" i="23"/>
  <c r="H163" i="23"/>
  <c r="H621" i="23"/>
  <c r="H613" i="23"/>
  <c r="H605" i="23"/>
  <c r="H139" i="23"/>
  <c r="H131" i="23"/>
  <c r="J279" i="23"/>
  <c r="H88" i="23"/>
  <c r="H355" i="23"/>
  <c r="H301" i="23"/>
  <c r="H532" i="23"/>
  <c r="H516" i="23"/>
  <c r="H500" i="23"/>
  <c r="H460" i="23"/>
  <c r="H444" i="23"/>
  <c r="H356" i="23"/>
  <c r="H372" i="23"/>
  <c r="H476" i="23"/>
  <c r="H371" i="23"/>
  <c r="H524" i="23"/>
  <c r="H436" i="23"/>
  <c r="H348" i="23"/>
  <c r="H540" i="23"/>
  <c r="H508" i="23"/>
  <c r="H364" i="23"/>
  <c r="H75" i="23"/>
  <c r="H380" i="23"/>
  <c r="H339" i="23"/>
  <c r="H331" i="23"/>
  <c r="J235" i="23"/>
  <c r="H323" i="23"/>
  <c r="H363" i="23"/>
  <c r="H269" i="23"/>
  <c r="J249" i="23"/>
  <c r="H347" i="23"/>
  <c r="J191" i="23"/>
  <c r="H606" i="23"/>
  <c r="H263" i="23"/>
  <c r="H221" i="23"/>
  <c r="H104" i="23"/>
  <c r="H438" i="23"/>
  <c r="H261" i="23"/>
  <c r="H197" i="23"/>
  <c r="J254" i="23"/>
  <c r="H213" i="23"/>
  <c r="H194" i="23"/>
  <c r="H176" i="23"/>
  <c r="H122" i="23"/>
  <c r="H232" i="23"/>
  <c r="H251" i="23"/>
  <c r="H446" i="23"/>
  <c r="H422" i="23"/>
  <c r="H406" i="23"/>
  <c r="H43" i="23"/>
  <c r="H141" i="23"/>
  <c r="H157" i="23"/>
  <c r="H165" i="23"/>
  <c r="H173" i="23"/>
  <c r="H267" i="23"/>
  <c r="H546" i="23"/>
  <c r="H490" i="23"/>
  <c r="H484" i="23"/>
  <c r="H59" i="23"/>
  <c r="J247" i="23"/>
  <c r="J273" i="23"/>
  <c r="H530" i="23"/>
  <c r="H502" i="23"/>
  <c r="H468" i="23"/>
  <c r="H528" i="23"/>
  <c r="H496" i="23"/>
  <c r="H273" i="23"/>
  <c r="J255" i="23"/>
  <c r="H596" i="23"/>
  <c r="H564" i="23"/>
  <c r="H307" i="23"/>
  <c r="J272" i="23"/>
  <c r="H600" i="23"/>
  <c r="H568" i="23"/>
  <c r="H536" i="23"/>
  <c r="H504" i="23"/>
  <c r="H472" i="23"/>
  <c r="H440" i="23"/>
  <c r="H430" i="23"/>
  <c r="H414" i="23"/>
  <c r="H382" i="23"/>
  <c r="H354" i="23"/>
  <c r="H318" i="23"/>
  <c r="H266" i="23"/>
  <c r="H249" i="23"/>
  <c r="J248" i="23"/>
  <c r="H608" i="23"/>
  <c r="H576" i="23"/>
  <c r="H544" i="23"/>
  <c r="H512" i="23"/>
  <c r="H480" i="23"/>
  <c r="H448" i="23"/>
  <c r="H418" i="23"/>
  <c r="H386" i="23"/>
  <c r="H282" i="23"/>
  <c r="H154" i="23"/>
  <c r="H394" i="23"/>
  <c r="H390" i="23"/>
  <c r="H366" i="23"/>
  <c r="J280" i="23"/>
  <c r="J275" i="23"/>
  <c r="J271" i="23"/>
  <c r="H258" i="23"/>
  <c r="H254" i="23"/>
  <c r="J250" i="23"/>
  <c r="J246" i="23"/>
  <c r="H191" i="23"/>
  <c r="H178" i="23"/>
  <c r="H145" i="23"/>
  <c r="H123" i="23"/>
  <c r="H119" i="23"/>
  <c r="H115" i="23"/>
  <c r="H111" i="23"/>
  <c r="H107" i="23"/>
  <c r="H103" i="23"/>
  <c r="H99" i="23"/>
  <c r="H95" i="23"/>
  <c r="H91" i="23"/>
  <c r="H87" i="23"/>
  <c r="H83" i="23"/>
  <c r="H79" i="23"/>
  <c r="H70" i="23"/>
  <c r="H46" i="23"/>
  <c r="J190" i="23"/>
  <c r="H403" i="23"/>
  <c r="H314" i="23"/>
  <c r="H310" i="23"/>
  <c r="J274" i="23"/>
  <c r="H234" i="23"/>
  <c r="H215" i="23"/>
  <c r="H193" i="23"/>
  <c r="H143" i="23"/>
  <c r="H138" i="23"/>
  <c r="H121" i="23"/>
  <c r="H113" i="23"/>
  <c r="H105" i="23"/>
  <c r="H97" i="23"/>
  <c r="H89" i="23"/>
  <c r="H81" i="23"/>
  <c r="J238" i="23"/>
  <c r="H379" i="23"/>
  <c r="H362" i="23"/>
  <c r="H353" i="23"/>
  <c r="H330" i="23"/>
  <c r="H326" i="23"/>
  <c r="H321" i="23"/>
  <c r="H290" i="23"/>
  <c r="H281" i="23"/>
  <c r="H223" i="23"/>
  <c r="H218" i="23"/>
  <c r="H62" i="23"/>
  <c r="H54" i="23"/>
  <c r="H617" i="23"/>
  <c r="H609" i="23"/>
  <c r="H601" i="23"/>
  <c r="H593" i="23"/>
  <c r="H585" i="23"/>
  <c r="H577" i="23"/>
  <c r="H569" i="23"/>
  <c r="H561" i="23"/>
  <c r="H553" i="23"/>
  <c r="H545" i="23"/>
  <c r="H537" i="23"/>
  <c r="H529" i="23"/>
  <c r="H521" i="23"/>
  <c r="H513" i="23"/>
  <c r="H505" i="23"/>
  <c r="H497" i="23"/>
  <c r="H489" i="23"/>
  <c r="H481" i="23"/>
  <c r="H473" i="23"/>
  <c r="H465" i="23"/>
  <c r="H457" i="23"/>
  <c r="H449" i="23"/>
  <c r="H441" i="23"/>
  <c r="H433" i="23"/>
  <c r="H425" i="23"/>
  <c r="H417" i="23"/>
  <c r="H409" i="23"/>
  <c r="H401" i="23"/>
  <c r="H393" i="23"/>
  <c r="H385" i="23"/>
  <c r="H370" i="23"/>
  <c r="H305" i="23"/>
  <c r="H292" i="23"/>
  <c r="H241" i="23"/>
  <c r="H228" i="23"/>
  <c r="H177" i="23"/>
  <c r="H164" i="23"/>
  <c r="H73" i="23"/>
  <c r="H57" i="23"/>
  <c r="J236" i="23"/>
  <c r="H236" i="23"/>
  <c r="H172" i="23"/>
  <c r="H308" i="23"/>
  <c r="J244" i="23"/>
  <c r="H244" i="23"/>
  <c r="H180" i="23"/>
  <c r="H76" i="23"/>
  <c r="H68" i="23"/>
  <c r="H316" i="23"/>
  <c r="J270" i="23"/>
  <c r="J252" i="23"/>
  <c r="H252" i="23"/>
  <c r="H188" i="23"/>
  <c r="H124" i="23"/>
  <c r="H116" i="23"/>
  <c r="H108" i="23"/>
  <c r="H100" i="23"/>
  <c r="H92" i="23"/>
  <c r="H84" i="23"/>
  <c r="H60" i="23"/>
  <c r="H378" i="23"/>
  <c r="H361" i="23"/>
  <c r="H337" i="23"/>
  <c r="H324" i="23"/>
  <c r="J278" i="23"/>
  <c r="H260" i="23"/>
  <c r="H132" i="23"/>
  <c r="H52" i="23"/>
  <c r="H44" i="23"/>
  <c r="H300" i="23"/>
  <c r="H349" i="23"/>
  <c r="H332" i="23"/>
  <c r="H268" i="23"/>
  <c r="H217" i="23"/>
  <c r="H153" i="23"/>
  <c r="H140" i="23"/>
  <c r="H374" i="23"/>
  <c r="H340" i="23"/>
  <c r="H289" i="23"/>
  <c r="J276" i="23"/>
  <c r="H276" i="23"/>
  <c r="H212" i="23"/>
  <c r="H148" i="23"/>
  <c r="H284" i="23"/>
  <c r="H233" i="23"/>
  <c r="H220" i="23"/>
  <c r="H169" i="23"/>
  <c r="H156" i="23"/>
  <c r="H65" i="23"/>
  <c r="J277" i="23"/>
  <c r="J253" i="23"/>
  <c r="J245" i="23"/>
  <c r="J237" i="23"/>
  <c r="J229" i="23"/>
  <c r="M206" i="16"/>
  <c r="M208" i="16"/>
  <c r="M209" i="16"/>
  <c r="M213" i="16"/>
  <c r="M215" i="16"/>
  <c r="M216" i="16"/>
  <c r="M217" i="16"/>
  <c r="M223" i="16"/>
  <c r="M224" i="16"/>
  <c r="M225" i="16"/>
  <c r="M226" i="16"/>
  <c r="M228" i="16"/>
  <c r="M229" i="16"/>
  <c r="M230" i="16"/>
  <c r="M232" i="16"/>
  <c r="M234" i="16"/>
  <c r="M235" i="16"/>
  <c r="M236" i="16"/>
  <c r="M126" i="16"/>
  <c r="M124" i="16"/>
  <c r="M123" i="16"/>
  <c r="M122" i="16"/>
  <c r="M112" i="16"/>
  <c r="M111" i="16"/>
  <c r="M110" i="16"/>
  <c r="M105" i="16"/>
  <c r="M103" i="16"/>
  <c r="M102" i="16"/>
  <c r="M99" i="16"/>
  <c r="M98" i="16"/>
  <c r="M97" i="16"/>
  <c r="M96" i="16"/>
  <c r="M93" i="16"/>
  <c r="M92" i="16"/>
  <c r="M91" i="16"/>
  <c r="M90" i="16"/>
  <c r="M89" i="16"/>
  <c r="M88" i="16"/>
  <c r="M87" i="16"/>
  <c r="M22" i="16"/>
  <c r="M21" i="16"/>
  <c r="A42" i="8"/>
  <c r="A42" i="13"/>
  <c r="A242" i="16"/>
  <c r="A47" i="18"/>
  <c r="A43" i="26"/>
  <c r="A29" i="12"/>
  <c r="A154" i="11"/>
  <c r="B592" i="6"/>
  <c r="M32" i="26"/>
  <c r="M33" i="26"/>
  <c r="O113" i="11"/>
  <c r="O114" i="11"/>
  <c r="O115" i="11"/>
  <c r="O116" i="11"/>
  <c r="O117" i="11"/>
  <c r="O118" i="11"/>
  <c r="P104" i="11"/>
  <c r="P105" i="11"/>
  <c r="P106" i="11"/>
  <c r="P107" i="11"/>
  <c r="P108" i="11"/>
  <c r="P109" i="11"/>
  <c r="P110" i="11"/>
  <c r="P111" i="11"/>
  <c r="P112" i="11"/>
  <c r="P103" i="11"/>
  <c r="O104" i="11"/>
  <c r="O105" i="11"/>
  <c r="O106" i="11"/>
  <c r="O107" i="11"/>
  <c r="O108" i="11"/>
  <c r="O109" i="11"/>
  <c r="O110" i="11"/>
  <c r="O111" i="11"/>
  <c r="O112" i="11"/>
  <c r="O103" i="11"/>
  <c r="J592" i="6"/>
  <c r="L592" i="6"/>
  <c r="A610" i="57" l="1"/>
  <c r="P24" i="55"/>
  <c r="O121" i="11"/>
  <c r="A609" i="55"/>
  <c r="H398" i="23"/>
  <c r="A593" i="6"/>
  <c r="B625" i="23" s="1"/>
  <c r="P113" i="11"/>
  <c r="P25" i="55" l="1"/>
  <c r="H399" i="23"/>
  <c r="F40" i="23"/>
  <c r="P26" i="55" l="1"/>
  <c r="B84" i="39"/>
  <c r="B85" i="39"/>
  <c r="P27" i="55" l="1"/>
  <c r="C40" i="23"/>
  <c r="P28" i="55" l="1"/>
  <c r="A18" i="24"/>
  <c r="D14" i="24"/>
  <c r="C14" i="24"/>
  <c r="P29" i="55" l="1"/>
  <c r="B40" i="23"/>
  <c r="F1" i="40"/>
  <c r="F4" i="40"/>
  <c r="F8" i="40"/>
  <c r="F3" i="40"/>
  <c r="F2" i="40"/>
  <c r="P30" i="55" l="1"/>
  <c r="F6" i="40"/>
  <c r="F5" i="40"/>
  <c r="D2" i="40"/>
  <c r="P31" i="55" l="1"/>
  <c r="C4" i="39"/>
  <c r="C5"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6" i="39"/>
  <c r="C37" i="39"/>
  <c r="C38" i="39"/>
  <c r="C39" i="39"/>
  <c r="C35" i="39"/>
  <c r="C41" i="39"/>
  <c r="C42" i="39"/>
  <c r="C43" i="39"/>
  <c r="C44" i="39"/>
  <c r="C45" i="39"/>
  <c r="C46" i="39"/>
  <c r="C47" i="39"/>
  <c r="C48" i="39"/>
  <c r="C49" i="39"/>
  <c r="C50" i="39"/>
  <c r="C51" i="39"/>
  <c r="C40"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52" i="39"/>
  <c r="C3" i="39"/>
  <c r="E161" i="39"/>
  <c r="D161" i="39"/>
  <c r="C161" i="39"/>
  <c r="E160" i="39"/>
  <c r="D160" i="39"/>
  <c r="C160" i="39"/>
  <c r="E159" i="39"/>
  <c r="D159" i="39"/>
  <c r="C159" i="39"/>
  <c r="E158" i="39"/>
  <c r="D158" i="39"/>
  <c r="C158" i="39"/>
  <c r="E157" i="39"/>
  <c r="D157" i="39"/>
  <c r="C157" i="39"/>
  <c r="E156" i="39"/>
  <c r="D156" i="39"/>
  <c r="C156" i="39"/>
  <c r="E155" i="39"/>
  <c r="D155" i="39"/>
  <c r="C155" i="39"/>
  <c r="E154" i="39"/>
  <c r="D154" i="39"/>
  <c r="C154" i="39"/>
  <c r="E153" i="39"/>
  <c r="D153" i="39"/>
  <c r="C153" i="39"/>
  <c r="E152" i="39"/>
  <c r="D152" i="39"/>
  <c r="C152" i="39"/>
  <c r="E151" i="39"/>
  <c r="D151" i="39"/>
  <c r="C151" i="39"/>
  <c r="E150" i="39"/>
  <c r="D150" i="39"/>
  <c r="C150" i="39"/>
  <c r="E149" i="39"/>
  <c r="D149" i="39"/>
  <c r="C149" i="39"/>
  <c r="E148" i="39"/>
  <c r="D148" i="39"/>
  <c r="C148" i="39"/>
  <c r="E147" i="39"/>
  <c r="D147" i="39"/>
  <c r="C147" i="39"/>
  <c r="E146" i="39"/>
  <c r="D146" i="39"/>
  <c r="C146" i="39"/>
  <c r="E145" i="39"/>
  <c r="D145" i="39"/>
  <c r="C145" i="39"/>
  <c r="E144" i="39"/>
  <c r="D144" i="39"/>
  <c r="C144" i="39"/>
  <c r="E143" i="39"/>
  <c r="D143" i="39"/>
  <c r="C143" i="39"/>
  <c r="E142" i="39"/>
  <c r="D142" i="39"/>
  <c r="C142" i="39"/>
  <c r="E141" i="39"/>
  <c r="D141" i="39"/>
  <c r="C141" i="39"/>
  <c r="E140" i="39"/>
  <c r="D140" i="39"/>
  <c r="C140" i="39"/>
  <c r="E139" i="39"/>
  <c r="D139" i="39"/>
  <c r="C139" i="39"/>
  <c r="E138" i="39"/>
  <c r="D138" i="39"/>
  <c r="C138" i="39"/>
  <c r="E137" i="39"/>
  <c r="D137" i="39"/>
  <c r="C137" i="39"/>
  <c r="E136" i="39"/>
  <c r="D136" i="39"/>
  <c r="C136" i="39"/>
  <c r="E135" i="39"/>
  <c r="D135" i="39"/>
  <c r="C135" i="39"/>
  <c r="E134" i="39"/>
  <c r="D134" i="39"/>
  <c r="C134" i="39"/>
  <c r="E133" i="39"/>
  <c r="D133" i="39"/>
  <c r="C133" i="39"/>
  <c r="E132" i="39"/>
  <c r="D132" i="39"/>
  <c r="C132" i="39"/>
  <c r="E131" i="39"/>
  <c r="D131" i="39"/>
  <c r="C131" i="39"/>
  <c r="E130" i="39"/>
  <c r="D130" i="39"/>
  <c r="C130" i="39"/>
  <c r="E129" i="39"/>
  <c r="D129" i="39"/>
  <c r="C129" i="39"/>
  <c r="E128" i="39"/>
  <c r="D128" i="39"/>
  <c r="C128" i="39"/>
  <c r="E127" i="39"/>
  <c r="D127" i="39"/>
  <c r="C127" i="39"/>
  <c r="E126" i="39"/>
  <c r="D126" i="39"/>
  <c r="C126" i="39"/>
  <c r="E125" i="39"/>
  <c r="D125" i="39"/>
  <c r="C125" i="39"/>
  <c r="E124" i="39"/>
  <c r="D124" i="39"/>
  <c r="C124" i="39"/>
  <c r="E123" i="39"/>
  <c r="D123" i="39"/>
  <c r="C123" i="39"/>
  <c r="E122" i="39"/>
  <c r="D122" i="39"/>
  <c r="C122" i="39"/>
  <c r="E121" i="39"/>
  <c r="D121" i="39"/>
  <c r="C121" i="39"/>
  <c r="E120" i="39"/>
  <c r="D120" i="39"/>
  <c r="C120" i="39"/>
  <c r="E119" i="39"/>
  <c r="D119" i="39"/>
  <c r="C119" i="39"/>
  <c r="E118" i="39"/>
  <c r="D118" i="39"/>
  <c r="C118" i="39"/>
  <c r="E117" i="39"/>
  <c r="D117" i="39"/>
  <c r="C117" i="39"/>
  <c r="E116" i="39"/>
  <c r="D116" i="39"/>
  <c r="C116" i="39"/>
  <c r="E115" i="39"/>
  <c r="D115" i="39"/>
  <c r="C115" i="39"/>
  <c r="C83" i="39"/>
  <c r="D83" i="39"/>
  <c r="E83" i="39"/>
  <c r="C84" i="39"/>
  <c r="D84" i="39"/>
  <c r="E84" i="39"/>
  <c r="C85" i="39"/>
  <c r="D85" i="39"/>
  <c r="E85" i="39"/>
  <c r="C86" i="39"/>
  <c r="D86" i="39"/>
  <c r="E86" i="39"/>
  <c r="C87" i="39"/>
  <c r="D87" i="39"/>
  <c r="E87" i="39"/>
  <c r="C88" i="39"/>
  <c r="D88" i="39"/>
  <c r="E88" i="39"/>
  <c r="C89" i="39"/>
  <c r="D89" i="39"/>
  <c r="E89" i="39"/>
  <c r="C90" i="39"/>
  <c r="D90" i="39"/>
  <c r="E90" i="39"/>
  <c r="C91" i="39"/>
  <c r="D91" i="39"/>
  <c r="E91" i="39"/>
  <c r="C92" i="39"/>
  <c r="D92" i="39"/>
  <c r="E92" i="39"/>
  <c r="C93" i="39"/>
  <c r="D93" i="39"/>
  <c r="E93" i="39"/>
  <c r="C94" i="39"/>
  <c r="D94" i="39"/>
  <c r="E94" i="39"/>
  <c r="C95" i="39"/>
  <c r="D95" i="39"/>
  <c r="E95" i="39"/>
  <c r="C96" i="39"/>
  <c r="D96" i="39"/>
  <c r="E96" i="39"/>
  <c r="C97" i="39"/>
  <c r="D97" i="39"/>
  <c r="E97" i="39"/>
  <c r="C98" i="39"/>
  <c r="D98" i="39"/>
  <c r="E98" i="39"/>
  <c r="C99" i="39"/>
  <c r="D99" i="39"/>
  <c r="E99" i="39"/>
  <c r="C100" i="39"/>
  <c r="D100" i="39"/>
  <c r="E100" i="39"/>
  <c r="C101" i="39"/>
  <c r="D101" i="39"/>
  <c r="E101" i="39"/>
  <c r="C102" i="39"/>
  <c r="D102" i="39"/>
  <c r="E102" i="39"/>
  <c r="C103" i="39"/>
  <c r="D103" i="39"/>
  <c r="E103" i="39"/>
  <c r="C104" i="39"/>
  <c r="D104" i="39"/>
  <c r="E104" i="39"/>
  <c r="C105" i="39"/>
  <c r="D105" i="39"/>
  <c r="E105" i="39"/>
  <c r="C106" i="39"/>
  <c r="D106" i="39"/>
  <c r="E106" i="39"/>
  <c r="C107" i="39"/>
  <c r="D107" i="39"/>
  <c r="E107" i="39"/>
  <c r="C108" i="39"/>
  <c r="D108" i="39"/>
  <c r="E108" i="39"/>
  <c r="C109" i="39"/>
  <c r="D109" i="39"/>
  <c r="E109" i="39"/>
  <c r="C110" i="39"/>
  <c r="D110" i="39"/>
  <c r="E110" i="39"/>
  <c r="C111" i="39"/>
  <c r="D111" i="39"/>
  <c r="E111" i="39"/>
  <c r="C112" i="39"/>
  <c r="D112" i="39"/>
  <c r="E112" i="39"/>
  <c r="C113" i="39"/>
  <c r="D113" i="39"/>
  <c r="E113" i="39"/>
  <c r="C114" i="39"/>
  <c r="D114" i="39"/>
  <c r="E114" i="39"/>
  <c r="B23" i="39"/>
  <c r="B11" i="39"/>
  <c r="B12" i="39"/>
  <c r="B13" i="39"/>
  <c r="B14" i="39"/>
  <c r="B15" i="39"/>
  <c r="B16" i="39"/>
  <c r="B17" i="39"/>
  <c r="B18" i="39"/>
  <c r="B19" i="39"/>
  <c r="B20" i="39"/>
  <c r="B21" i="39"/>
  <c r="B22" i="39"/>
  <c r="B3" i="39"/>
  <c r="B4" i="39"/>
  <c r="B5" i="39"/>
  <c r="B6" i="39"/>
  <c r="B7" i="39"/>
  <c r="B8" i="39"/>
  <c r="B9" i="39"/>
  <c r="B10" i="39"/>
  <c r="B24" i="39"/>
  <c r="B25" i="39"/>
  <c r="B26" i="39"/>
  <c r="B27" i="39"/>
  <c r="B28" i="39"/>
  <c r="B29" i="39"/>
  <c r="B30" i="39"/>
  <c r="B31" i="39"/>
  <c r="B32" i="39"/>
  <c r="B33" i="39"/>
  <c r="B34" i="39"/>
  <c r="E4" i="13"/>
  <c r="E31" i="13"/>
  <c r="P32" i="55" l="1"/>
  <c r="D81" i="39"/>
  <c r="F81" i="39"/>
  <c r="J81" i="39"/>
  <c r="I81" i="39"/>
  <c r="G81" i="39"/>
  <c r="B81" i="39"/>
  <c r="E81" i="39"/>
  <c r="H81" i="39"/>
  <c r="P33" i="55" l="1"/>
  <c r="M4" i="6"/>
  <c r="C42" i="13"/>
  <c r="D40" i="23"/>
  <c r="M2" i="13"/>
  <c r="M4" i="13"/>
  <c r="M5" i="13"/>
  <c r="M6" i="13"/>
  <c r="M7" i="13"/>
  <c r="M8" i="13"/>
  <c r="M10" i="13"/>
  <c r="M11" i="13"/>
  <c r="M13" i="13"/>
  <c r="M14" i="13"/>
  <c r="M15" i="13"/>
  <c r="M17" i="13"/>
  <c r="M20" i="13"/>
  <c r="M21" i="13"/>
  <c r="M22" i="13"/>
  <c r="M23" i="13"/>
  <c r="M24" i="13"/>
  <c r="M25" i="13"/>
  <c r="M31" i="13"/>
  <c r="M30" i="13"/>
  <c r="M32" i="13"/>
  <c r="M33" i="13"/>
  <c r="M34" i="13"/>
  <c r="M35" i="13"/>
  <c r="M36" i="13"/>
  <c r="M2" i="8"/>
  <c r="M7" i="18"/>
  <c r="M2" i="26"/>
  <c r="M3" i="26"/>
  <c r="M4" i="26"/>
  <c r="M5" i="26"/>
  <c r="M6" i="26"/>
  <c r="M7" i="26"/>
  <c r="M16" i="26"/>
  <c r="M17" i="26"/>
  <c r="M18" i="26"/>
  <c r="M19" i="26"/>
  <c r="M20" i="26"/>
  <c r="M21" i="26"/>
  <c r="M22" i="26"/>
  <c r="M23" i="26"/>
  <c r="M24" i="26"/>
  <c r="M25" i="26"/>
  <c r="M26" i="26"/>
  <c r="M27" i="26"/>
  <c r="M28" i="26"/>
  <c r="M29" i="26"/>
  <c r="M30" i="26"/>
  <c r="M31" i="26"/>
  <c r="M34" i="26"/>
  <c r="M35" i="26"/>
  <c r="M36" i="26"/>
  <c r="M37" i="26"/>
  <c r="M38" i="26"/>
  <c r="M39" i="26"/>
  <c r="M40" i="26"/>
  <c r="M41" i="26"/>
  <c r="M42" i="26"/>
  <c r="E43" i="26"/>
  <c r="J43" i="26"/>
  <c r="M15" i="16"/>
  <c r="J242" i="16"/>
  <c r="M3" i="12"/>
  <c r="M4" i="12"/>
  <c r="M5" i="12"/>
  <c r="M6" i="12"/>
  <c r="M11" i="12"/>
  <c r="M12" i="12"/>
  <c r="M13" i="12"/>
  <c r="M14" i="12"/>
  <c r="M15" i="12"/>
  <c r="M16" i="12"/>
  <c r="M17" i="12"/>
  <c r="M18" i="12"/>
  <c r="M19" i="12"/>
  <c r="M22" i="12"/>
  <c r="M23" i="12"/>
  <c r="M24" i="12"/>
  <c r="M2" i="12"/>
  <c r="M9" i="16"/>
  <c r="M10" i="16"/>
  <c r="M11" i="16"/>
  <c r="M14" i="16"/>
  <c r="M16" i="16"/>
  <c r="M17" i="16"/>
  <c r="M18" i="16"/>
  <c r="M19" i="16"/>
  <c r="M20" i="16"/>
  <c r="M30" i="16"/>
  <c r="M32" i="16"/>
  <c r="M31" i="16"/>
  <c r="M33" i="16"/>
  <c r="M34" i="16"/>
  <c r="M38" i="16"/>
  <c r="M39" i="16"/>
  <c r="M40" i="16"/>
  <c r="M41" i="16"/>
  <c r="M42" i="16"/>
  <c r="M43" i="16"/>
  <c r="M45" i="16"/>
  <c r="M46" i="16"/>
  <c r="M47" i="16"/>
  <c r="M48" i="16"/>
  <c r="M49" i="16"/>
  <c r="M50" i="16"/>
  <c r="M51" i="16"/>
  <c r="M52" i="16"/>
  <c r="M53" i="16"/>
  <c r="M54" i="16"/>
  <c r="M55" i="16"/>
  <c r="M56" i="16"/>
  <c r="M57" i="16"/>
  <c r="M58" i="16"/>
  <c r="M59" i="16"/>
  <c r="M60" i="16"/>
  <c r="M62" i="16"/>
  <c r="M64" i="16"/>
  <c r="M65" i="16"/>
  <c r="M66" i="16"/>
  <c r="M67" i="16"/>
  <c r="M68" i="16"/>
  <c r="M69" i="16"/>
  <c r="M70" i="16"/>
  <c r="M71" i="16"/>
  <c r="M72" i="16"/>
  <c r="M73" i="16"/>
  <c r="M74" i="16"/>
  <c r="M75" i="16"/>
  <c r="M77" i="16"/>
  <c r="M78" i="16"/>
  <c r="M79" i="16"/>
  <c r="M80" i="16"/>
  <c r="M81" i="16"/>
  <c r="M83" i="16"/>
  <c r="M84" i="16"/>
  <c r="M85" i="16"/>
  <c r="M86" i="16"/>
  <c r="M129" i="16"/>
  <c r="M130" i="16"/>
  <c r="M177" i="16"/>
  <c r="M178" i="16"/>
  <c r="M179" i="16"/>
  <c r="M180" i="16"/>
  <c r="M181" i="16"/>
  <c r="M182" i="16"/>
  <c r="M183" i="16"/>
  <c r="M184" i="16"/>
  <c r="M185" i="16"/>
  <c r="M186" i="16"/>
  <c r="M187" i="16"/>
  <c r="M188" i="16"/>
  <c r="M189" i="16"/>
  <c r="M190" i="16"/>
  <c r="M191" i="16"/>
  <c r="M192" i="16"/>
  <c r="M193" i="16"/>
  <c r="M194" i="16"/>
  <c r="M195" i="16"/>
  <c r="M196" i="16"/>
  <c r="M197" i="16"/>
  <c r="M237" i="16"/>
  <c r="M238" i="16"/>
  <c r="M239" i="16"/>
  <c r="M240" i="16"/>
  <c r="M137" i="16"/>
  <c r="M138" i="16"/>
  <c r="M139" i="16"/>
  <c r="M140" i="16"/>
  <c r="M141" i="16"/>
  <c r="M144" i="16"/>
  <c r="M145" i="16"/>
  <c r="M146" i="16"/>
  <c r="M147" i="16"/>
  <c r="M150" i="16"/>
  <c r="M151" i="16"/>
  <c r="M152" i="16"/>
  <c r="M157" i="16"/>
  <c r="M158" i="16"/>
  <c r="M159" i="16"/>
  <c r="M160" i="16"/>
  <c r="M161" i="16"/>
  <c r="M162" i="16"/>
  <c r="M163" i="16"/>
  <c r="M164" i="16"/>
  <c r="M165" i="16"/>
  <c r="M166" i="16"/>
  <c r="M167" i="16"/>
  <c r="M168" i="16"/>
  <c r="M169" i="16"/>
  <c r="M170" i="16"/>
  <c r="M171" i="16"/>
  <c r="M172" i="16"/>
  <c r="M173" i="16"/>
  <c r="M174" i="16"/>
  <c r="M175" i="16"/>
  <c r="M176" i="16"/>
  <c r="M3" i="18"/>
  <c r="M4" i="18"/>
  <c r="M6" i="18"/>
  <c r="M8" i="18"/>
  <c r="M17" i="18"/>
  <c r="M18" i="18"/>
  <c r="M19" i="18"/>
  <c r="M20" i="18"/>
  <c r="M21" i="18"/>
  <c r="M24" i="18"/>
  <c r="M25" i="18"/>
  <c r="M27" i="18"/>
  <c r="M29" i="18"/>
  <c r="M30" i="18"/>
  <c r="M33" i="18"/>
  <c r="M34" i="18"/>
  <c r="M35" i="18"/>
  <c r="M37" i="18"/>
  <c r="M38" i="18"/>
  <c r="M39" i="18"/>
  <c r="M40" i="18"/>
  <c r="M41" i="18"/>
  <c r="M42" i="18"/>
  <c r="M43" i="18"/>
  <c r="M44" i="18"/>
  <c r="M45" i="18"/>
  <c r="M46" i="18"/>
  <c r="J42" i="13"/>
  <c r="E42" i="13"/>
  <c r="D42" i="13" s="1"/>
  <c r="P34" i="55" l="1"/>
  <c r="H61" i="23"/>
  <c r="H342" i="23"/>
  <c r="M43" i="26"/>
  <c r="K39" i="28"/>
  <c r="K40" i="28"/>
  <c r="E23" i="11"/>
  <c r="M23" i="11" s="1"/>
  <c r="E2" i="16"/>
  <c r="E242" i="16" s="1"/>
  <c r="M3" i="16"/>
  <c r="M4" i="16"/>
  <c r="M5" i="16"/>
  <c r="M6" i="16"/>
  <c r="M7" i="16"/>
  <c r="M3" i="8"/>
  <c r="M4" i="8"/>
  <c r="M30" i="8"/>
  <c r="M31" i="8"/>
  <c r="E28" i="28"/>
  <c r="J28" i="28"/>
  <c r="L27" i="28"/>
  <c r="L26" i="28"/>
  <c r="L25" i="28"/>
  <c r="L24" i="28"/>
  <c r="L23" i="28"/>
  <c r="L22" i="28"/>
  <c r="L21" i="28"/>
  <c r="L20" i="28"/>
  <c r="L19" i="28"/>
  <c r="L18" i="28"/>
  <c r="L17" i="28"/>
  <c r="L16" i="28"/>
  <c r="L15" i="28"/>
  <c r="L14" i="28"/>
  <c r="L13" i="28"/>
  <c r="L12" i="28"/>
  <c r="L11" i="28"/>
  <c r="L10" i="28"/>
  <c r="L9" i="28"/>
  <c r="L8" i="28"/>
  <c r="L7" i="28"/>
  <c r="L6" i="28"/>
  <c r="L5" i="28"/>
  <c r="L4" i="28"/>
  <c r="L3" i="28"/>
  <c r="L2" i="28"/>
  <c r="B28" i="28"/>
  <c r="C623" i="23"/>
  <c r="P35" i="55" l="1"/>
  <c r="H198" i="23"/>
  <c r="H207" i="23"/>
  <c r="H206" i="23"/>
  <c r="H195" i="23"/>
  <c r="H196" i="23"/>
  <c r="H203" i="23"/>
  <c r="H205" i="23"/>
  <c r="H204" i="23"/>
  <c r="H192" i="23"/>
  <c r="E592" i="6"/>
  <c r="L28" i="28"/>
  <c r="J29" i="12"/>
  <c r="E29" i="12"/>
  <c r="E42" i="8"/>
  <c r="J42" i="8"/>
  <c r="M5" i="8"/>
  <c r="M6" i="8"/>
  <c r="M7" i="8"/>
  <c r="M34" i="8"/>
  <c r="M36" i="8"/>
  <c r="M37" i="8"/>
  <c r="M38" i="8"/>
  <c r="M39" i="8"/>
  <c r="M40" i="8"/>
  <c r="M41" i="8"/>
  <c r="M24" i="8"/>
  <c r="M25" i="8"/>
  <c r="M27" i="8"/>
  <c r="M42" i="13"/>
  <c r="J47" i="18"/>
  <c r="E47" i="18"/>
  <c r="M2" i="18"/>
  <c r="M2" i="11"/>
  <c r="M2" i="16"/>
  <c r="M242" i="16" s="1"/>
  <c r="P36" i="55" l="1"/>
  <c r="M592" i="6"/>
  <c r="M42" i="8"/>
  <c r="M47" i="18"/>
  <c r="M29" i="12"/>
  <c r="P37" i="55" l="1"/>
  <c r="I2" i="23"/>
  <c r="P38" i="55" l="1"/>
  <c r="I40" i="23"/>
  <c r="I623" i="23" s="1"/>
  <c r="G40" i="23"/>
  <c r="M40" i="23"/>
  <c r="K40" i="23"/>
  <c r="E40" i="23"/>
  <c r="P39" i="55" l="1"/>
  <c r="H40" i="23"/>
  <c r="G623" i="23"/>
  <c r="J40" i="23"/>
  <c r="J623" i="23" s="1"/>
  <c r="F623" i="23"/>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P40" i="55" l="1"/>
  <c r="C2" i="23"/>
  <c r="I2" i="1"/>
  <c r="C39" i="1"/>
  <c r="J13" i="1"/>
  <c r="J14" i="1"/>
  <c r="J15" i="1"/>
  <c r="J16" i="1"/>
  <c r="J17" i="1"/>
  <c r="J18" i="1"/>
  <c r="J19" i="1"/>
  <c r="J20" i="1"/>
  <c r="J21" i="1"/>
  <c r="J22" i="1"/>
  <c r="J23" i="1"/>
  <c r="J24" i="1"/>
  <c r="J25" i="1"/>
  <c r="J26" i="1"/>
  <c r="J27" i="1"/>
  <c r="J28" i="1"/>
  <c r="J29" i="1"/>
  <c r="J30" i="1"/>
  <c r="J31" i="1"/>
  <c r="J32" i="1"/>
  <c r="J33" i="1"/>
  <c r="J34" i="1"/>
  <c r="J35" i="1"/>
  <c r="J36" i="1"/>
  <c r="J37" i="1"/>
  <c r="J38" i="1"/>
  <c r="B8" i="1"/>
  <c r="B9" i="1"/>
  <c r="B7" i="1"/>
  <c r="P41" i="55" l="1"/>
  <c r="J8" i="1"/>
  <c r="J9" i="1"/>
  <c r="J10" i="1"/>
  <c r="J11" i="1"/>
  <c r="J12" i="1"/>
  <c r="J7" i="1"/>
  <c r="P42" i="55" l="1"/>
  <c r="J39" i="1"/>
  <c r="P43" i="55" l="1"/>
  <c r="E2" i="1"/>
  <c r="P44" i="55" l="1"/>
  <c r="P45" i="55" l="1"/>
  <c r="P46" i="55" l="1"/>
  <c r="P47" i="55" l="1"/>
  <c r="P48" i="55" l="1"/>
  <c r="P49" i="55" l="1"/>
  <c r="P50" i="55" l="1"/>
  <c r="P51" i="55" l="1"/>
  <c r="P52" i="55" l="1"/>
  <c r="P53" i="55" l="1"/>
  <c r="P54" i="55" l="1"/>
  <c r="P55" i="55" l="1"/>
  <c r="P56" i="55" l="1"/>
  <c r="P57" i="55" l="1"/>
  <c r="P58" i="55" l="1"/>
  <c r="P59" i="55" l="1"/>
  <c r="P60" i="55" l="1"/>
  <c r="P61" i="55" l="1"/>
  <c r="P62" i="55" l="1"/>
  <c r="P63" i="55" l="1"/>
  <c r="P64" i="55" l="1"/>
  <c r="P65" i="55" l="1"/>
  <c r="P66" i="55" l="1"/>
  <c r="P67" i="55" l="1"/>
  <c r="P68" i="55" l="1"/>
  <c r="P69" i="55" l="1"/>
  <c r="P70" i="55" l="1"/>
  <c r="P71" i="55" l="1"/>
  <c r="P72" i="55" l="1"/>
  <c r="P73" i="55" l="1"/>
  <c r="P74" i="55" l="1"/>
  <c r="P75" i="55" l="1"/>
  <c r="P76" i="55" l="1"/>
  <c r="P77" i="55" l="1"/>
  <c r="P78" i="55" l="1"/>
  <c r="P79" i="55" l="1"/>
  <c r="P80" i="55" l="1"/>
  <c r="P81" i="55" l="1"/>
  <c r="P82" i="55" l="1"/>
  <c r="P83" i="55" l="1"/>
  <c r="P84" i="55" l="1"/>
  <c r="P85" i="55" l="1"/>
  <c r="P86" i="55" l="1"/>
  <c r="P87" i="55" l="1"/>
  <c r="P88" i="55" l="1"/>
  <c r="P89" i="55" l="1"/>
  <c r="P90" i="55" l="1"/>
  <c r="P91" i="55" l="1"/>
  <c r="P92" i="55" l="1"/>
  <c r="P93" i="55" l="1"/>
  <c r="P94" i="55" l="1"/>
  <c r="P95" i="55" l="1"/>
  <c r="P96" i="55" l="1"/>
  <c r="P97" i="55" l="1"/>
  <c r="P98" i="55" l="1"/>
  <c r="P99" i="55" l="1"/>
  <c r="P100" i="55" l="1"/>
  <c r="P101" i="55" l="1"/>
  <c r="P102" i="55" l="1"/>
  <c r="P103" i="55" l="1"/>
  <c r="P104" i="55" l="1"/>
  <c r="P105" i="55" l="1"/>
  <c r="P106" i="55" l="1"/>
  <c r="P107" i="55" l="1"/>
  <c r="P108" i="55" l="1"/>
  <c r="P109" i="55" l="1"/>
  <c r="P110" i="55" l="1"/>
  <c r="P111" i="55" l="1"/>
  <c r="P112" i="55" l="1"/>
  <c r="P113" i="55" l="1"/>
  <c r="P114" i="55" l="1"/>
  <c r="P115" i="55" l="1"/>
  <c r="P116" i="55" l="1"/>
  <c r="P117" i="55" l="1"/>
  <c r="P118" i="55" l="1"/>
  <c r="P119" i="55" l="1"/>
  <c r="P120" i="55" l="1"/>
  <c r="P121" i="55" l="1"/>
  <c r="P122" i="55" l="1"/>
  <c r="P123" i="55" l="1"/>
  <c r="P124" i="55" l="1"/>
  <c r="P125" i="55" l="1"/>
  <c r="P126" i="55" l="1"/>
  <c r="P127" i="55" l="1"/>
  <c r="P128" i="55" l="1"/>
  <c r="P129" i="55" l="1"/>
  <c r="P130" i="55" l="1"/>
  <c r="P131" i="55" l="1"/>
  <c r="P132" i="55" s="1"/>
  <c r="P133" i="55" l="1"/>
  <c r="P134" i="55" l="1"/>
  <c r="P135" i="55" l="1"/>
  <c r="P136" i="55" l="1"/>
  <c r="P137" i="55" l="1"/>
  <c r="P138" i="55" l="1"/>
  <c r="P139" i="55" l="1"/>
  <c r="P140" i="55" l="1"/>
  <c r="P141" i="55" l="1"/>
  <c r="P142" i="55" l="1"/>
  <c r="P143" i="55" l="1"/>
  <c r="P144" i="55" l="1"/>
  <c r="P145" i="55" l="1"/>
  <c r="P146" i="55" l="1"/>
  <c r="P147" i="55" l="1"/>
  <c r="P148" i="55" l="1"/>
  <c r="P149" i="55" l="1"/>
  <c r="P150" i="55" l="1"/>
  <c r="P153" i="55" l="1"/>
  <c r="P151" i="55"/>
  <c r="P154" i="55" l="1"/>
  <c r="P152" i="55"/>
  <c r="P155" i="55" l="1"/>
  <c r="P156" i="55" l="1"/>
  <c r="P157" i="55" l="1"/>
  <c r="P158" i="55" l="1"/>
  <c r="P159" i="55" l="1"/>
  <c r="P160" i="55" l="1"/>
  <c r="P161" i="55" l="1"/>
  <c r="P162" i="55" l="1"/>
  <c r="P163" i="55" l="1"/>
  <c r="P164" i="55" l="1"/>
  <c r="P165" i="55" l="1"/>
  <c r="P166" i="55" l="1"/>
  <c r="P170" i="55" l="1"/>
  <c r="P167" i="55"/>
  <c r="P169" i="55"/>
  <c r="P168" i="55"/>
  <c r="P171" i="55" l="1"/>
  <c r="P172" i="55" l="1"/>
  <c r="P173" i="55" l="1"/>
  <c r="P174" i="55" l="1"/>
  <c r="P175" i="55" l="1"/>
  <c r="P176" i="55" l="1"/>
  <c r="P177" i="55" l="1"/>
  <c r="P178" i="55" l="1"/>
  <c r="P179" i="55" l="1"/>
  <c r="P180" i="55" l="1"/>
  <c r="P181" i="55" l="1"/>
  <c r="P182" i="55" l="1"/>
  <c r="P183" i="55" l="1"/>
  <c r="P184" i="55" l="1"/>
  <c r="P185" i="55" l="1"/>
  <c r="P186" i="55" l="1"/>
  <c r="P187" i="55" l="1"/>
  <c r="P188" i="55" l="1"/>
  <c r="P189" i="55" l="1"/>
  <c r="P190" i="55" l="1"/>
  <c r="P191" i="55" l="1"/>
  <c r="P192" i="55" l="1"/>
  <c r="P193" i="55" l="1"/>
  <c r="P194" i="55" l="1"/>
  <c r="P195" i="55" l="1"/>
  <c r="P196" i="55" l="1"/>
  <c r="P197" i="55" l="1"/>
  <c r="P198" i="55" l="1"/>
  <c r="P199" i="55" l="1"/>
  <c r="P200" i="55" l="1"/>
  <c r="P201" i="55" l="1"/>
  <c r="P202" i="55" l="1"/>
  <c r="P203" i="55" l="1"/>
  <c r="P204" i="55" l="1"/>
  <c r="P205" i="55" l="1"/>
  <c r="P206" i="55" l="1"/>
  <c r="P207" i="55" l="1"/>
  <c r="P208" i="55" l="1"/>
  <c r="P209" i="55" l="1"/>
  <c r="P210" i="55" l="1"/>
  <c r="P211" i="55" l="1"/>
  <c r="P212" i="55" l="1"/>
  <c r="P213" i="55" l="1"/>
  <c r="P214" i="55" l="1"/>
  <c r="P215" i="55" l="1"/>
  <c r="P216" i="55" s="1"/>
  <c r="P217" i="55" s="1"/>
  <c r="P218" i="55" s="1"/>
  <c r="P219" i="55" s="1"/>
  <c r="P220" i="55" s="1"/>
  <c r="P221" i="55" s="1"/>
  <c r="P222" i="55" s="1"/>
  <c r="P223" i="55" s="1"/>
  <c r="P224" i="55" s="1"/>
  <c r="P225" i="55" s="1"/>
  <c r="P226" i="55" s="1"/>
  <c r="P227" i="55" s="1"/>
  <c r="P228" i="55" s="1"/>
  <c r="P229" i="55" s="1"/>
  <c r="P230" i="55" s="1"/>
  <c r="P231" i="55" s="1"/>
  <c r="P232" i="55" s="1"/>
  <c r="P233" i="55" s="1"/>
  <c r="P234" i="55" s="1"/>
  <c r="P235" i="55" s="1"/>
  <c r="P236" i="55" s="1"/>
  <c r="P237" i="55" s="1"/>
  <c r="P238" i="55" s="1"/>
  <c r="P239" i="55" s="1"/>
  <c r="P240" i="55" s="1"/>
  <c r="P241" i="55" s="1"/>
  <c r="P242" i="55" s="1"/>
  <c r="P243" i="55" s="1"/>
  <c r="P244" i="55" s="1"/>
  <c r="P245" i="55" s="1"/>
  <c r="P246" i="55" s="1"/>
  <c r="P247" i="55" s="1"/>
  <c r="P248" i="55" s="1"/>
  <c r="P249" i="55" s="1"/>
  <c r="P250" i="55" s="1"/>
  <c r="P251" i="55" s="1"/>
  <c r="P252" i="55" s="1"/>
  <c r="P253" i="55" s="1"/>
  <c r="P254" i="55" s="1"/>
  <c r="P255" i="55" s="1"/>
  <c r="P256" i="55" s="1"/>
  <c r="P257" i="55" s="1"/>
  <c r="P258" i="55" s="1"/>
  <c r="P259" i="55" s="1"/>
  <c r="P260" i="55" s="1"/>
  <c r="P261" i="55" s="1"/>
  <c r="P262" i="55" s="1"/>
  <c r="P263" i="55" s="1"/>
  <c r="P264" i="55" s="1"/>
  <c r="P265" i="55" s="1"/>
  <c r="P266" i="55" s="1"/>
  <c r="P267" i="55" s="1"/>
  <c r="P268" i="55" s="1"/>
  <c r="P269" i="55" s="1"/>
  <c r="P270" i="55" s="1"/>
  <c r="P271" i="55" s="1"/>
  <c r="P272" i="55" s="1"/>
  <c r="P273" i="55" s="1"/>
  <c r="P274" i="55" s="1"/>
  <c r="P275" i="55" s="1"/>
  <c r="P276" i="55" s="1"/>
  <c r="P277" i="55" s="1"/>
  <c r="P278" i="55" s="1"/>
  <c r="P279" i="55" s="1"/>
  <c r="P280" i="55" s="1"/>
  <c r="P281" i="55" s="1"/>
  <c r="P282" i="55" s="1"/>
  <c r="P283" i="55" s="1"/>
  <c r="P284" i="55" l="1"/>
  <c r="P285" i="55" l="1"/>
  <c r="P286" i="55" l="1"/>
  <c r="P287" i="55" l="1"/>
  <c r="P288" i="55" l="1"/>
  <c r="P289" i="55" l="1"/>
  <c r="P290" i="55" l="1"/>
  <c r="P291" i="55" l="1"/>
  <c r="P292" i="55" l="1"/>
  <c r="P293" i="55" l="1"/>
  <c r="P294" i="55" l="1"/>
  <c r="P295" i="55" l="1"/>
  <c r="P296" i="55" l="1"/>
  <c r="P297" i="55" l="1"/>
  <c r="P298" i="55" l="1"/>
  <c r="P299" i="55" l="1"/>
  <c r="P300" i="55" l="1"/>
  <c r="P301" i="55" l="1"/>
  <c r="P302" i="55" l="1"/>
  <c r="P303" i="55" l="1"/>
  <c r="P304" i="55" l="1"/>
  <c r="P305" i="55" l="1"/>
  <c r="P306" i="55" l="1"/>
  <c r="P307" i="55" l="1"/>
  <c r="P308" i="55" l="1"/>
  <c r="P309" i="55" l="1"/>
  <c r="P310" i="55" l="1"/>
  <c r="P311" i="55" l="1"/>
  <c r="P312" i="55" l="1"/>
  <c r="P313" i="55" l="1"/>
  <c r="P314" i="55" l="1"/>
  <c r="P315" i="55" l="1"/>
  <c r="P316" i="55" l="1"/>
  <c r="P317" i="55" l="1"/>
  <c r="P319" i="55" l="1"/>
  <c r="P318" i="55"/>
  <c r="P320" i="55" l="1"/>
  <c r="P321" i="55" l="1"/>
  <c r="P322" i="55" l="1"/>
  <c r="P323" i="55" l="1"/>
  <c r="P324" i="55" l="1"/>
  <c r="P325" i="55" l="1"/>
  <c r="P326" i="55" l="1"/>
  <c r="P327" i="55" l="1"/>
  <c r="P328" i="55" l="1"/>
  <c r="P329" i="55" l="1"/>
  <c r="P330" i="55" l="1"/>
  <c r="P331" i="55" l="1"/>
  <c r="P332" i="55" l="1"/>
  <c r="P333" i="55" l="1"/>
  <c r="P334" i="55" l="1"/>
  <c r="P335" i="55" l="1"/>
  <c r="P336" i="55" l="1"/>
  <c r="P337" i="55" l="1"/>
  <c r="P338" i="55" l="1"/>
  <c r="P339" i="55" l="1"/>
  <c r="P340" i="55" l="1"/>
  <c r="P341" i="55" l="1"/>
  <c r="P342" i="55" l="1"/>
  <c r="P343" i="55" l="1"/>
  <c r="P344" i="55" l="1"/>
  <c r="P345" i="55" l="1"/>
  <c r="P346" i="55" l="1"/>
  <c r="P347" i="55" l="1"/>
  <c r="P348" i="55" l="1"/>
  <c r="P349" i="55" l="1"/>
  <c r="P350" i="55" l="1"/>
  <c r="P351" i="55" l="1"/>
  <c r="P352" i="55" l="1"/>
  <c r="P353" i="55" l="1"/>
  <c r="P354" i="55" l="1"/>
  <c r="P355" i="55" l="1"/>
  <c r="P356" i="55" l="1"/>
  <c r="P357" i="55" l="1"/>
  <c r="P358" i="55" l="1"/>
  <c r="P359" i="55" l="1"/>
  <c r="P360" i="55" l="1"/>
  <c r="P361" i="55" l="1"/>
  <c r="P362" i="55" l="1"/>
  <c r="P363" i="55" l="1"/>
  <c r="P364" i="55" l="1"/>
  <c r="P365" i="55" l="1"/>
  <c r="P366" i="55" l="1"/>
  <c r="P367" i="55" l="1"/>
  <c r="P368" i="55" l="1"/>
  <c r="P369" i="55" l="1"/>
  <c r="P370" i="55" l="1"/>
  <c r="P371" i="55" l="1"/>
  <c r="P372" i="55" l="1"/>
  <c r="P373" i="55" l="1"/>
  <c r="P374" i="55" l="1"/>
  <c r="P375" i="55" l="1"/>
  <c r="P376" i="55" l="1"/>
  <c r="P377" i="55" l="1"/>
  <c r="P378" i="55" l="1"/>
  <c r="P379" i="55" l="1"/>
  <c r="P380" i="55" l="1"/>
  <c r="P381" i="55" l="1"/>
  <c r="P382" i="55" l="1"/>
  <c r="P383" i="55" l="1"/>
  <c r="P384" i="55" l="1"/>
  <c r="P385" i="55" l="1"/>
  <c r="P386" i="55" l="1"/>
  <c r="P387" i="55" l="1"/>
  <c r="P388" i="55" l="1"/>
  <c r="P389" i="55" l="1"/>
  <c r="P390" i="55" l="1"/>
  <c r="P391" i="55" l="1"/>
  <c r="P392" i="55" l="1"/>
  <c r="P393" i="55" l="1"/>
  <c r="P394" i="55" l="1"/>
  <c r="P395" i="55" l="1"/>
  <c r="P396" i="55" l="1"/>
  <c r="P397" i="55" l="1"/>
  <c r="P398" i="55" l="1"/>
  <c r="P399" i="55" l="1"/>
  <c r="P400" i="55" l="1"/>
  <c r="P401" i="55" l="1"/>
  <c r="P402" i="55" l="1"/>
  <c r="P403" i="55" l="1"/>
  <c r="P404" i="55" l="1"/>
  <c r="P405" i="55" l="1"/>
  <c r="P406" i="55" l="1"/>
  <c r="P407" i="55" l="1"/>
  <c r="P408" i="55" l="1"/>
  <c r="P409" i="55" l="1"/>
  <c r="P410" i="55" l="1"/>
  <c r="P411" i="55" l="1"/>
  <c r="P412" i="55" l="1"/>
  <c r="P413" i="55" l="1"/>
  <c r="P414" i="55" l="1"/>
  <c r="P415" i="55" l="1"/>
  <c r="P416" i="55" l="1"/>
  <c r="P417" i="55" l="1"/>
  <c r="P418" i="55" l="1"/>
  <c r="P419" i="55" l="1"/>
  <c r="P420" i="55" l="1"/>
  <c r="P421" i="55" l="1"/>
  <c r="P422" i="55" l="1"/>
  <c r="P423" i="55" l="1"/>
  <c r="P424" i="55" l="1"/>
  <c r="P425" i="55" l="1"/>
  <c r="P426" i="55" l="1"/>
  <c r="P427" i="55" l="1"/>
  <c r="P428" i="55" l="1"/>
  <c r="P429" i="55" l="1"/>
  <c r="P430" i="55" l="1"/>
  <c r="P431" i="55" l="1"/>
  <c r="P432" i="55" l="1"/>
  <c r="P433" i="55" l="1"/>
  <c r="P434" i="55" l="1"/>
  <c r="P435" i="55" l="1"/>
  <c r="P436" i="55" l="1"/>
  <c r="P437" i="55" l="1"/>
  <c r="P438" i="55" l="1"/>
  <c r="P439" i="55" l="1"/>
  <c r="P440" i="55" l="1"/>
  <c r="P441" i="55" l="1"/>
  <c r="P442" i="55" l="1"/>
  <c r="P443" i="55" l="1"/>
  <c r="P444" i="55" l="1"/>
  <c r="P445" i="55" l="1"/>
  <c r="P446" i="55" l="1"/>
  <c r="P447" i="55" l="1"/>
  <c r="P448" i="55" l="1"/>
  <c r="P449" i="55" l="1"/>
  <c r="P450" i="55" l="1"/>
  <c r="P451" i="55" l="1"/>
  <c r="P452" i="55" l="1"/>
  <c r="P453" i="55" l="1"/>
  <c r="P454" i="55" l="1"/>
  <c r="P455" i="55" l="1"/>
  <c r="P456" i="55" l="1"/>
  <c r="P457" i="55" l="1"/>
  <c r="P458" i="55" l="1"/>
  <c r="P459" i="55" l="1"/>
  <c r="P460" i="55" l="1"/>
  <c r="P461" i="55" l="1"/>
  <c r="P462" i="55" l="1"/>
  <c r="P463" i="55" l="1"/>
  <c r="P464" i="55" l="1"/>
  <c r="P465" i="55" l="1"/>
  <c r="P466" i="55" l="1"/>
  <c r="P467" i="55" l="1"/>
  <c r="P468" i="55" l="1"/>
  <c r="P469" i="55" l="1"/>
  <c r="P470" i="55" l="1"/>
  <c r="P471" i="55" l="1"/>
  <c r="P472" i="55" l="1"/>
  <c r="P473" i="55" l="1"/>
  <c r="P474" i="55" l="1"/>
  <c r="P475" i="55" l="1"/>
  <c r="P476" i="55" l="1"/>
  <c r="P477" i="55" l="1"/>
  <c r="P478" i="55" l="1"/>
  <c r="P479" i="55" l="1"/>
  <c r="P480" i="55" l="1"/>
  <c r="P481" i="55" l="1"/>
  <c r="P482" i="55" l="1"/>
  <c r="P483" i="55" l="1"/>
  <c r="P484" i="55" l="1"/>
  <c r="P485" i="55" l="1"/>
  <c r="P486" i="55" l="1"/>
  <c r="P487" i="55" l="1"/>
  <c r="P488" i="55" l="1"/>
  <c r="P489" i="55" l="1"/>
  <c r="P490" i="55" l="1"/>
  <c r="P491" i="55" l="1"/>
  <c r="P492" i="55" l="1"/>
  <c r="P493" i="55" l="1"/>
  <c r="P494" i="55" l="1"/>
  <c r="P495" i="55" l="1"/>
  <c r="P496" i="55" l="1"/>
  <c r="P497" i="55" l="1"/>
  <c r="P498" i="55" l="1"/>
  <c r="P499" i="55" l="1"/>
  <c r="P500" i="55" l="1"/>
  <c r="P501" i="55" l="1"/>
  <c r="P502" i="55" l="1"/>
  <c r="P503" i="55" l="1"/>
  <c r="P504" i="55" l="1"/>
  <c r="P505" i="55" l="1"/>
  <c r="P506" i="55" l="1"/>
  <c r="P507" i="55" l="1"/>
  <c r="P508" i="55" l="1"/>
  <c r="P509" i="55" l="1"/>
  <c r="P510" i="55" l="1"/>
  <c r="P511" i="55" l="1"/>
  <c r="P512" i="55" l="1"/>
  <c r="P513" i="55" l="1"/>
  <c r="P514" i="55" l="1"/>
  <c r="P515" i="55" l="1"/>
  <c r="P516" i="55" l="1"/>
  <c r="P517" i="55" l="1"/>
  <c r="P518" i="55" l="1"/>
  <c r="P519" i="55" l="1"/>
  <c r="P520" i="55" l="1"/>
  <c r="P521" i="55" l="1"/>
  <c r="P522" i="55" l="1"/>
  <c r="P523" i="55" l="1"/>
  <c r="P524" i="55" l="1"/>
  <c r="P525" i="55" l="1"/>
  <c r="P526" i="55" l="1"/>
  <c r="P527" i="55" l="1"/>
  <c r="P528" i="55" l="1"/>
  <c r="P529" i="55" l="1"/>
  <c r="P530" i="55" l="1"/>
  <c r="P531" i="55" l="1"/>
  <c r="P532" i="55" l="1"/>
  <c r="P533" i="55" l="1"/>
  <c r="P534" i="55" l="1"/>
  <c r="P535" i="55" l="1"/>
  <c r="P536" i="55" l="1"/>
  <c r="P537" i="55" l="1"/>
  <c r="P538" i="55" l="1"/>
  <c r="P539" i="55" l="1"/>
  <c r="P540" i="55" l="1"/>
  <c r="P541" i="55" l="1"/>
  <c r="P542" i="55" l="1"/>
  <c r="P543" i="55" l="1"/>
  <c r="P544" i="55" l="1"/>
  <c r="P545" i="55" l="1"/>
  <c r="P546" i="55" l="1"/>
  <c r="P547" i="55" l="1"/>
  <c r="P548" i="55" l="1"/>
  <c r="P549" i="55" l="1"/>
  <c r="P550" i="55" l="1"/>
  <c r="P551" i="55" l="1"/>
  <c r="P552" i="55" l="1"/>
  <c r="P553" i="55" l="1"/>
  <c r="P554" i="55" l="1"/>
  <c r="P555" i="55" l="1"/>
  <c r="P556" i="55" l="1"/>
  <c r="P557" i="55" l="1"/>
  <c r="P558" i="55" l="1"/>
  <c r="P559" i="55" l="1"/>
  <c r="P560" i="55" l="1"/>
  <c r="P561" i="55" l="1"/>
  <c r="P562" i="55" l="1"/>
  <c r="P563" i="55" l="1"/>
  <c r="P564" i="55" l="1"/>
  <c r="P565" i="55" l="1"/>
  <c r="P566" i="55" l="1"/>
  <c r="P567" i="55" l="1"/>
  <c r="P568" i="55" l="1"/>
  <c r="P569" i="55" l="1"/>
  <c r="P570" i="55" l="1"/>
  <c r="P571" i="55" l="1"/>
  <c r="P572" i="55" l="1"/>
  <c r="P573" i="55" l="1"/>
  <c r="P574" i="55" l="1"/>
  <c r="P575" i="55" l="1"/>
  <c r="P576" i="55" l="1"/>
  <c r="P577" i="55" l="1"/>
  <c r="P578" i="55" l="1"/>
  <c r="P579" i="55" l="1"/>
  <c r="P580" i="55" l="1"/>
  <c r="P581" i="55" l="1"/>
  <c r="P582" i="55" l="1"/>
  <c r="P583" i="55" l="1"/>
  <c r="P584" i="55" l="1"/>
  <c r="P585" i="55" l="1"/>
  <c r="P586" i="55" l="1"/>
  <c r="P587" i="55" l="1"/>
  <c r="P588" i="55" l="1"/>
  <c r="P589" i="55" l="1"/>
  <c r="P590" i="55" l="1"/>
  <c r="P591" i="55" l="1"/>
  <c r="P592" i="55" l="1"/>
  <c r="P593" i="55" l="1"/>
  <c r="P594" i="55" l="1"/>
  <c r="P595" i="55" l="1"/>
  <c r="P596" i="55" l="1"/>
  <c r="P597" i="55" l="1"/>
  <c r="P598" i="55" l="1"/>
  <c r="P599" i="55" l="1"/>
  <c r="P600" i="55" l="1"/>
  <c r="P601" i="55" l="1"/>
  <c r="P602" i="55" l="1"/>
  <c r="P603" i="55" l="1"/>
  <c r="P604" i="55" l="1"/>
  <c r="P605" i="55" l="1"/>
  <c r="P606" i="55" l="1"/>
  <c r="P607" i="55" l="1"/>
  <c r="P608" i="5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EquipmentTable" type="102" refreshedVersion="6" minRefreshableVersion="5">
    <extLst>
      <ext xmlns:x15="http://schemas.microsoft.com/office/spreadsheetml/2010/11/main" uri="{DE250136-89BD-433C-8126-D09CA5730AF9}">
        <x15:connection id="EquipmentTable">
          <x15:rangePr sourceName="_xlcn.LinkedTable_EquipmentTable1"/>
        </x15:connection>
      </ext>
    </extLst>
  </connection>
  <connection id="2" xr16:uid="{00000000-0015-0000-FFFF-FFFF01000000}" keepAlive="1" name="Query - SlicerSelections" description="Connection to the 'SlicerSelections' query in the workbook." type="5" refreshedVersion="6" background="1" saveData="1">
    <dbPr connection="Provider=Microsoft.Mashup.OleDb.1;Data Source=$Workbook$;Location=SlicerSelections;Extended Properties=&quot;&quot;" command="SELECT * FROM [SlicerSelections]"/>
  </connection>
  <connection id="3" xr16:uid="{00000000-0015-0000-FFFF-FFFF02000000}" keepAlive="1" name="Query - Table14" description="Connection to the 'Table14' query in the workbook." type="5" refreshedVersion="0" background="1">
    <dbPr connection="Provider=Microsoft.Mashup.OleDb.1;Data Source=$Workbook$;Location=Table14" command="SELECT * FROM [Table14]"/>
  </connection>
  <connection id="4" xr16:uid="{00000000-0015-0000-FFFF-FFFF03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<sst xmlns="http://schemas.openxmlformats.org/spreadsheetml/2006/main" count="21181" uniqueCount="2590">
  <si>
    <t>TOTALS</t>
  </si>
  <si>
    <t>Item #</t>
  </si>
  <si>
    <t>A slicer is in cells B9 through J9. To filter inventory list, select a room from the slicer in this cell. Press and hold CTRL to select multiple rooms.</t>
  </si>
  <si>
    <t>Reminder Walker Project</t>
  </si>
  <si>
    <t>Unit
 Price</t>
  </si>
  <si>
    <t>Price</t>
  </si>
  <si>
    <t>Units</t>
  </si>
  <si>
    <t>Vendor</t>
  </si>
  <si>
    <t>SparkFun</t>
  </si>
  <si>
    <t>Equipment Category Lookup</t>
  </si>
  <si>
    <t>Microcontroller/Development Board</t>
  </si>
  <si>
    <t>Power Supply</t>
  </si>
  <si>
    <t>Bluetooth</t>
  </si>
  <si>
    <t>WiFi</t>
  </si>
  <si>
    <t>Proximity/Distance</t>
  </si>
  <si>
    <t>Touch/Vibration</t>
  </si>
  <si>
    <t>Interface/Level/Logic Conversion</t>
  </si>
  <si>
    <t>Tools</t>
  </si>
  <si>
    <t>Misc. Breakouts/Sensors/Components</t>
  </si>
  <si>
    <t xml:space="preserve"> TOTAL COST:</t>
  </si>
  <si>
    <t>DATE:</t>
  </si>
  <si>
    <t>Link</t>
  </si>
  <si>
    <t>Item/Description</t>
  </si>
  <si>
    <t>Equipment Category</t>
  </si>
  <si>
    <t>Thumbnail</t>
  </si>
  <si>
    <t>SKU</t>
  </si>
  <si>
    <t>Quantity</t>
  </si>
  <si>
    <t>URL</t>
  </si>
  <si>
    <t>Thumbnail Image</t>
  </si>
  <si>
    <t>Name</t>
  </si>
  <si>
    <t>RoHS Compliance</t>
  </si>
  <si>
    <t>Price (USD)</t>
  </si>
  <si>
    <t>DEV-11061</t>
  </si>
  <si>
    <t>https://www.sparkfun.com/products/11061</t>
  </si>
  <si>
    <t>https://cdn.sparkfun.com/r/92-92/assets/parts/6/4/3/3/11061-01c.jpg</t>
  </si>
  <si>
    <t>Arduino Mega 2560 R3</t>
  </si>
  <si>
    <t>DEV-13158</t>
  </si>
  <si>
    <t>https://www.sparkfun.com/products/13158</t>
  </si>
  <si>
    <t>https://cdn.sparkfun.com/r/92-92/assets/parts/1/0/2/7/0/13158-01.jpg</t>
  </si>
  <si>
    <t>SparkFun LiPower Shield</t>
  </si>
  <si>
    <t>PRT-12711</t>
  </si>
  <si>
    <t>https://www.sparkfun.com/products/12711</t>
  </si>
  <si>
    <t>https://cdn.sparkfun.com/r/92-92/assets/parts/9/4/5/6/12711-01.jpg</t>
  </si>
  <si>
    <t>SparkFun USB LiPoly Charger - Single Cell</t>
  </si>
  <si>
    <t>PRT-13032</t>
  </si>
  <si>
    <t>https://www.sparkfun.com/products/13032</t>
  </si>
  <si>
    <t>https://cdn.sparkfun.com/r/92-92/assets/parts/1/0/0/3/2/13032-01.jpg</t>
  </si>
  <si>
    <t>SparkFun Breadboard Power Supply Stick - 5V/3.3V</t>
  </si>
  <si>
    <t>PRT-13777</t>
  </si>
  <si>
    <t>https://www.sparkfun.com/products/13777</t>
  </si>
  <si>
    <t>https://cdn.sparkfun.com/r/92-92/assets/parts/1/1/3/3/1/13777-01.jpg</t>
  </si>
  <si>
    <t>SparkFun Battery Babysitter - LiPo Battery Manager</t>
  </si>
  <si>
    <t>PRT-13856</t>
  </si>
  <si>
    <t>https://www.sparkfun.com/products/13856</t>
  </si>
  <si>
    <t>https://cdn.sparkfun.com/r/92-92/assets/parts/1/1/4/6/3/13856-01.jpg</t>
  </si>
  <si>
    <t>Lithium Ion Battery - 6Ah</t>
  </si>
  <si>
    <t>WRL-11373</t>
  </si>
  <si>
    <t>https://www.sparkfun.com/products/11373</t>
  </si>
  <si>
    <t>https://cdn.sparkfun.com/r/92-92/assets/parts/7/1/1/5/11373-01.jpg</t>
  </si>
  <si>
    <t>SparkFun XBee Explorer Regulated</t>
  </si>
  <si>
    <t>WRL-11697</t>
  </si>
  <si>
    <t>https://www.sparkfun.com/products/11697</t>
  </si>
  <si>
    <t>https://cdn.sparkfun.com/r/92-92/assets/parts/7/8/6/5/11697-01b.jpg</t>
  </si>
  <si>
    <t>SparkFun XBee Explorer Dongle</t>
  </si>
  <si>
    <t>WRL-09434</t>
  </si>
  <si>
    <t>https://www.sparkfun.com/products/9434</t>
  </si>
  <si>
    <t>https://cdn.sparkfun.com/r/92-92/assets/parts/3/1/0/7/09434-03.jpg</t>
  </si>
  <si>
    <t>Bluetooth USB Module Mini</t>
  </si>
  <si>
    <t>WRL-11601</t>
  </si>
  <si>
    <t>https://www.sparkfun.com/products/11601</t>
  </si>
  <si>
    <t>https://cdn.sparkfun.com/r/92-92/assets/parts/7/6/1/7/11601-01.jpg</t>
  </si>
  <si>
    <t>RN42-XV Bluetooth Module - PCB Antenna</t>
  </si>
  <si>
    <t>SEN-00246</t>
  </si>
  <si>
    <t>https://www.sparkfun.com/products/246</t>
  </si>
  <si>
    <t>https://cdn.sparkfun.com/r/92-92/assets/parts/1/8/8/00246a-01.jpg</t>
  </si>
  <si>
    <t>Optical Detector / Phototransistor - QRD1114</t>
  </si>
  <si>
    <t>SEN-00241</t>
  </si>
  <si>
    <t>https://www.sparkfun.com/products/241</t>
  </si>
  <si>
    <t>https://cdn.sparkfun.com/r/92-92/assets/parts/1/8/3/00241-02.jpg</t>
  </si>
  <si>
    <t>Infrared Emitters and Detectors</t>
  </si>
  <si>
    <t>SEN-13968</t>
  </si>
  <si>
    <t>https://www.sparkfun.com/products/13968</t>
  </si>
  <si>
    <t>https://cdn.sparkfun.com/r/92-92/assets/parts/1/1/7/0/6/13968-01.jpg</t>
  </si>
  <si>
    <t>SparkFun OpenPIR</t>
  </si>
  <si>
    <t>SEN-13959</t>
  </si>
  <si>
    <t>https://www.sparkfun.com/products/13959</t>
  </si>
  <si>
    <t>https://cdn.sparkfun.com/r/92-92/assets/parts/1/1/6/6/8/13959-01a.jpg</t>
  </si>
  <si>
    <t>Ultrasonic Sensor - HC-SR04</t>
  </si>
  <si>
    <t>SEN-12785</t>
  </si>
  <si>
    <t>https://www.sparkfun.com/products/12785</t>
  </si>
  <si>
    <t>https://cdn.sparkfun.com/r/92-92/assets/parts/9/5/9/7/12785-01.jpg</t>
  </si>
  <si>
    <t>SparkFun ToF Range Finder Sensor - VL6180</t>
  </si>
  <si>
    <t>SEN-13162</t>
  </si>
  <si>
    <t>https://www.sparkfun.com/products/13162</t>
  </si>
  <si>
    <t>https://cdn.sparkfun.com/r/92-92/assets/parts/1/0/2/7/9/13162-01a.jpg</t>
  </si>
  <si>
    <t>ZX Distance and Gesture Sensor</t>
  </si>
  <si>
    <t>SEN-12787</t>
  </si>
  <si>
    <t>https://www.sparkfun.com/products/12787</t>
  </si>
  <si>
    <t>https://cdn.sparkfun.com/r/92-92/assets/parts/9/6/0/3/12787-01.jpg</t>
  </si>
  <si>
    <t>SparkFun RGB and Gesture Sensor - APDS-9960</t>
  </si>
  <si>
    <t>SPX-14343</t>
  </si>
  <si>
    <t>https://www.sparkfun.com/products/14343</t>
  </si>
  <si>
    <t>https://cdn.sparkfun.com/r/92-92/assets/parts/1/2/3/1/9/ToFQuarter.jpg</t>
  </si>
  <si>
    <t>Qwiic Distance Sensor - RFD77402</t>
  </si>
  <si>
    <t>SEN-00242</t>
  </si>
  <si>
    <t>https://www.sparkfun.com/products/242</t>
  </si>
  <si>
    <t>https://cdn.sparkfun.com/r/92-92/assets/parts/1/8/4/00242-1.jpg</t>
  </si>
  <si>
    <t>Infrared Proximity Sensor - Sharp GP2Y0A21YK</t>
  </si>
  <si>
    <t>SEN-09196</t>
  </si>
  <si>
    <t>https://www.sparkfun.com/products/9196</t>
  </si>
  <si>
    <t>https://cdn.sparkfun.com/r/92-92/assets/parts/2/6/4/2/09196-03-L.jpg</t>
  </si>
  <si>
    <t>Piezo Vibration Sensor - Large</t>
  </si>
  <si>
    <t>COM-14111</t>
  </si>
  <si>
    <t>https://www.sparkfun.com/products/14111</t>
  </si>
  <si>
    <t>https://cdn.sparkfun.com/r/92-92/assets/parts/1/1/9/9/4/14111-01.jpg</t>
  </si>
  <si>
    <t>EeonTex Pressure Sensing Fabric</t>
  </si>
  <si>
    <t>DEV-13293</t>
  </si>
  <si>
    <t>https://www.sparkfun.com/products/13293</t>
  </si>
  <si>
    <t>https://cdn.sparkfun.com/r/92-92/assets/parts/1/0/5/4/6/13293-01.jpg</t>
  </si>
  <si>
    <t>LCD Button Shield V2</t>
  </si>
  <si>
    <t>COM-12661</t>
  </si>
  <si>
    <t>https://www.sparkfun.com/products/12661</t>
  </si>
  <si>
    <t>https://cdn.sparkfun.com/r/92-92/assets/parts/9/3/7/2/12661-01a.jpg</t>
  </si>
  <si>
    <t>NeoPixel Stick - 8 x WS2812 5050 RGB LED</t>
  </si>
  <si>
    <t>COM-09637</t>
  </si>
  <si>
    <t>https://www.sparkfun.com/products/9637</t>
  </si>
  <si>
    <t>https://cdn.sparkfun.com/r/92-92/assets/parts/3/4/8/3/09637-01.jpg</t>
  </si>
  <si>
    <t>Luxeon Rebel High Power LED - Warm White</t>
  </si>
  <si>
    <t>COM-09906</t>
  </si>
  <si>
    <t>https://www.sparkfun.com/products/9906</t>
  </si>
  <si>
    <t>https://cdn.sparkfun.com/r/92-92/assets/parts/4/0/0/3/09906-01a.jpg</t>
  </si>
  <si>
    <t>Laser Module - Green</t>
  </si>
  <si>
    <t>COM-08674</t>
  </si>
  <si>
    <t>https://www.sparkfun.com/products/8674</t>
  </si>
  <si>
    <t>https://cdn.sparkfun.com/r/92-92/assets/parts/1/8/3/1/08674-03-L.jpg</t>
  </si>
  <si>
    <t>Laser Module Mount</t>
  </si>
  <si>
    <t>WIG-13660</t>
  </si>
  <si>
    <t>https://www.sparkfun.com/products/13660</t>
  </si>
  <si>
    <t>https://cdn.sparkfun.com/r/92-92/assets/parts/1/1/0/7/3/12897-02.jpg</t>
  </si>
  <si>
    <t>WAV Trigger</t>
  </si>
  <si>
    <t>DEV-11711</t>
  </si>
  <si>
    <t>https://www.sparkfun.com/products/11711</t>
  </si>
  <si>
    <t>https://cdn.sparkfun.com/r/92-92/assets/parts/7/8/9/4/11711-01.jpg</t>
  </si>
  <si>
    <t>Text-to-Speech Module - Emic 2</t>
  </si>
  <si>
    <t>SEN-12642</t>
  </si>
  <si>
    <t>https://www.sparkfun.com/products/12642</t>
  </si>
  <si>
    <t>https://cdn.sparkfun.com/r/92-92/assets/parts/9/3/3/0/12642-01.jpg</t>
  </si>
  <si>
    <t>SparkFun Sound Detector</t>
  </si>
  <si>
    <t>COM-14023</t>
  </si>
  <si>
    <t>https://www.sparkfun.com/products/14023</t>
  </si>
  <si>
    <t>https://cdn.sparkfun.com/r/92-92/assets/parts/1/1/8/3/1/14023-01.jpg</t>
  </si>
  <si>
    <t>Hamburger Mini Speaker</t>
  </si>
  <si>
    <t>COM-09151</t>
  </si>
  <si>
    <t>https://www.sparkfun.com/products/9151</t>
  </si>
  <si>
    <t>https://cdn.sparkfun.com/r/92-92/assets/parts/2/5/7/0/09151-03-L.jpg</t>
  </si>
  <si>
    <t>Speaker - 0.5W (8 Ohm)</t>
  </si>
  <si>
    <t>COM-11145</t>
  </si>
  <si>
    <t>https://www.sparkfun.com/products/11145</t>
  </si>
  <si>
    <t>https://cdn.sparkfun.com/r/92-92/assets/parts/6/6/0/6/11145-01.jpg</t>
  </si>
  <si>
    <t>Speaker Terminal - 4 Spring</t>
  </si>
  <si>
    <t>Thumb URL</t>
  </si>
  <si>
    <t>Item SKU</t>
  </si>
  <si>
    <t>Equipment Purchase List</t>
  </si>
  <si>
    <t>Category</t>
  </si>
  <si>
    <t>Cost</t>
  </si>
  <si>
    <t>2-2.5m</t>
  </si>
  <si>
    <t>5m</t>
  </si>
  <si>
    <t>2cm - 4m</t>
  </si>
  <si>
    <t>ToF</t>
  </si>
  <si>
    <t>Z-Axis Recognition</t>
  </si>
  <si>
    <t>12 inches (~30cm)</t>
  </si>
  <si>
    <t>X-Axis Recognition</t>
  </si>
  <si>
    <t>6 inches (~15cm)</t>
  </si>
  <si>
    <t>up to 10cm</t>
  </si>
  <si>
    <t>up to 25cm</t>
  </si>
  <si>
    <t>SparkFun ToF Range Finder Breakout - VL6180</t>
  </si>
  <si>
    <t>4 to 8 inches (10 to 20 cm)</t>
  </si>
  <si>
    <t>3.1V at 10cm to 0.4V at 80cm</t>
  </si>
  <si>
    <t>Infrared Proximity Sensor Long Range - Sharp GP2Y0A02YK0F</t>
  </si>
  <si>
    <t>2.8V at 15cm to 0.4V at 150cm</t>
  </si>
  <si>
    <t>Infrared Proximity Sensor Short Range - Sharp GP2Y0A41SK0F</t>
  </si>
  <si>
    <t>3.1V at 4cm to 0.3V at 30cm</t>
  </si>
  <si>
    <t>up to ~5ft</t>
  </si>
  <si>
    <t>0.5-1.0cm</t>
  </si>
  <si>
    <t>Detection Axis</t>
  </si>
  <si>
    <t>Nominal Range</t>
  </si>
  <si>
    <t>User Purported Range</t>
  </si>
  <si>
    <t>Detection Method</t>
  </si>
  <si>
    <t>45cm (150cm w/ prev ver)</t>
  </si>
  <si>
    <t>Comments/Notes</t>
  </si>
  <si>
    <t>Object Detection Component</t>
  </si>
  <si>
    <t>N/A</t>
  </si>
  <si>
    <t>Header Pin #s</t>
  </si>
  <si>
    <t>5, 5, 6</t>
  </si>
  <si>
    <t>JST</t>
  </si>
  <si>
    <t>2x4, 2x8, 2x8, 6</t>
  </si>
  <si>
    <t>Pre-Populated</t>
  </si>
  <si>
    <t>5, 5, 6, 8</t>
  </si>
  <si>
    <t>SparkFun Logomatic v2 - Serial SD Datalogger (FAT32)</t>
  </si>
  <si>
    <t>Component</t>
  </si>
  <si>
    <t>Header/Pin Configs</t>
  </si>
  <si>
    <t>Yes</t>
  </si>
  <si>
    <t>No</t>
  </si>
  <si>
    <t>SparkFun SD/MMC Card Breakout</t>
  </si>
  <si>
    <t>SD Sniffer</t>
  </si>
  <si>
    <t>SparkFun microSD Sniffer</t>
  </si>
  <si>
    <t>M</t>
  </si>
  <si>
    <t>M/F</t>
  </si>
  <si>
    <t>SparkFun Logic Level Converter - Bi-Directional </t>
  </si>
  <si>
    <t>6, 6</t>
  </si>
  <si>
    <t>SparkFun USB UART Serial Breakout - CY7C65213</t>
  </si>
  <si>
    <t>4, 4, 6, 8, 8</t>
  </si>
  <si>
    <t>SparkFun Luminosity Sensor Breakout - TSL2561</t>
  </si>
  <si>
    <t>SparkFun I2C DAC Breakout - MCP4725</t>
  </si>
  <si>
    <t>SparkFun Opto-isolator Breakout</t>
  </si>
  <si>
    <t>4, 4</t>
  </si>
  <si>
    <t>SparkFun Voltage-Level Translator Breakout - TXB0104</t>
  </si>
  <si>
    <t>7, 7</t>
  </si>
  <si>
    <t>SparkFun Analog/Digital MUX Breakout - CD74HC4067</t>
  </si>
  <si>
    <t>8, 8, 8</t>
  </si>
  <si>
    <t>SparkFun Ambient Light Sensor Breakout - TEMT6000</t>
  </si>
  <si>
    <t>SparkFun Shift-In Breakout - SN74HC165</t>
  </si>
  <si>
    <t>6, 6, 8</t>
  </si>
  <si>
    <t>SparkFun Level Shifting microSD Breakout</t>
  </si>
  <si>
    <t>SparkFun Serial Basic Breakout - CH340G</t>
  </si>
  <si>
    <t>F</t>
  </si>
  <si>
    <t>JST-PH (4-pin)</t>
  </si>
  <si>
    <t>~5cm to 200cm</t>
  </si>
  <si>
    <t>+/-10%</t>
  </si>
  <si>
    <t>Precision</t>
  </si>
  <si>
    <t>WIG-12772</t>
  </si>
  <si>
    <t>https://www.sparkfun.com/products/12772</t>
  </si>
  <si>
    <t>https://cdn.sparkfun.com/r/92-92/assets/parts/9/5/4/5/12772-01.jpg</t>
  </si>
  <si>
    <t>TOL-09419</t>
  </si>
  <si>
    <t>https://www.sparkfun.com/products/9419</t>
  </si>
  <si>
    <t>https://cdn.sparkfun.com/r/92-92/assets/parts/3/0/5/9/09419-01a.jpg</t>
  </si>
  <si>
    <t>PRT-14425</t>
  </si>
  <si>
    <t>https://www.sparkfun.com/products/14425</t>
  </si>
  <si>
    <t>https://cdn.sparkfun.com/r/92-92/assets/parts/1/2/4/5/1/14425-01.jpg</t>
  </si>
  <si>
    <t>Qwiic Cable - Breadboard Jumper (4-pin)</t>
  </si>
  <si>
    <t>SPX-14291</t>
  </si>
  <si>
    <t>https://www.sparkfun.com/products/14291</t>
  </si>
  <si>
    <t>https://cdn.sparkfun.com/r/92-92/assets/parts/1/2/2/5/0/1Wire_to_Qwiic_Bridge_DS28E17_05.jpg</t>
  </si>
  <si>
    <t>1-Wire to Qwiic Bridge - DS28E17</t>
  </si>
  <si>
    <t>CAB-12977</t>
  </si>
  <si>
    <t>https://www.sparkfun.com/products/12977</t>
  </si>
  <si>
    <t>https://cdn.sparkfun.com/r/92-92/assets/parts/9/9/1/8/12977-00.jpg</t>
  </si>
  <si>
    <t>USB to TTL Serial Cable</t>
  </si>
  <si>
    <t>CAB-11579</t>
  </si>
  <si>
    <t>https://www.sparkfun.com/products/11579</t>
  </si>
  <si>
    <t>https://cdn.sparkfun.com/r/92-92/assets/parts/7/5/6/8/11579-01.jpg</t>
  </si>
  <si>
    <t>SparkFun Hydra Power Cable - 6ft</t>
  </si>
  <si>
    <t>CAB-12016</t>
  </si>
  <si>
    <t>https://www.sparkfun.com/products/12016</t>
  </si>
  <si>
    <t>https://cdn.sparkfun.com/r/92-92/assets/parts/8/5/3/9/12016-01.jpg</t>
  </si>
  <si>
    <t>SparkFun Cerberus USB Cable - 6ft</t>
  </si>
  <si>
    <t>WRL-13677</t>
  </si>
  <si>
    <t>https://www.sparkfun.com/products/13677</t>
  </si>
  <si>
    <t>https://cdn.sparkfun.com/r/92-92/assets/parts/1/1/1/2/7/13677-01.jpg</t>
  </si>
  <si>
    <t>Edimax WiFi Adapter (EW-7811UN)</t>
  </si>
  <si>
    <t>WRL-13678</t>
  </si>
  <si>
    <t>https://www.sparkfun.com/products/13678</t>
  </si>
  <si>
    <t>https://cdn.sparkfun.com/r/92-92/assets/parts/1/1/1/2/9/13678-01.jpg</t>
  </si>
  <si>
    <t>WiFi Module - ESP8266</t>
  </si>
  <si>
    <t>BOB-12009</t>
  </si>
  <si>
    <t>https://www.sparkfun.com/products/12009</t>
  </si>
  <si>
    <t>https://cdn.sparkfun.com/r/92-92/assets/parts/8/5/2/2/12009-06.jpg</t>
  </si>
  <si>
    <t>SparkFun Logic Level Converter - Bi-Directional</t>
  </si>
  <si>
    <t>PRT-14428</t>
  </si>
  <si>
    <t>https://www.sparkfun.com/products/14428</t>
  </si>
  <si>
    <t>https://cdn.sparkfun.com/r/92-92/assets/parts/1/2/4/5/4/14428-01.jpg</t>
  </si>
  <si>
    <t>Qwiic Cable - 200mm</t>
  </si>
  <si>
    <t>PRT-14426</t>
  </si>
  <si>
    <t>https://www.sparkfun.com/products/14426</t>
  </si>
  <si>
    <t>https://cdn.sparkfun.com/r/92-92/assets/parts/1/2/4/5/2/14426-01.jpg</t>
  </si>
  <si>
    <t>Qwiic Cable - 50mm</t>
  </si>
  <si>
    <t>PRT-14427</t>
  </si>
  <si>
    <t>https://www.sparkfun.com/products/14427</t>
  </si>
  <si>
    <t>https://cdn.sparkfun.com/r/92-92/assets/parts/1/2/4/5/3/14427-01.jpg</t>
  </si>
  <si>
    <t>Qwiic Cable - 100mm</t>
  </si>
  <si>
    <t>DEV-14050</t>
  </si>
  <si>
    <t>https://www.sparkfun.com/products/14050</t>
  </si>
  <si>
    <t>https://cdn.sparkfun.com/r/92-92/assets/parts/1/1/8/8/8/14050-01.jpg</t>
  </si>
  <si>
    <t>BOB-13830</t>
  </si>
  <si>
    <t>https://www.sparkfun.com/products/13830</t>
  </si>
  <si>
    <t>https://cdn.sparkfun.com/r/92-92/assets/parts/1/1/4/2/7/13830-01.jpg</t>
  </si>
  <si>
    <t>BOB-12941</t>
  </si>
  <si>
    <t>https://www.sparkfun.com/products/12941</t>
  </si>
  <si>
    <t>https://cdn.sparkfun.com/r/92-92/assets/parts/9/8/7/2/12941-01.jpg</t>
  </si>
  <si>
    <t>SEN-10289</t>
  </si>
  <si>
    <t>https://www.sparkfun.com/products/10289</t>
  </si>
  <si>
    <t>https://cdn.sparkfun.com/r/92-92/assets/parts/4/6/8/5/10289-01.jpg</t>
  </si>
  <si>
    <t>Tilt Sensor - AT407</t>
  </si>
  <si>
    <t>BOB-11955</t>
  </si>
  <si>
    <t>https://www.sparkfun.com/products/11955</t>
  </si>
  <si>
    <t>https://cdn.sparkfun.com/r/92-92/assets/parts/8/4/3/0/11955-01.jpg</t>
  </si>
  <si>
    <t>SparkFun Level Translator Breakout - PCA9306</t>
  </si>
  <si>
    <t>BOB-11771</t>
  </si>
  <si>
    <t>https://www.sparkfun.com/products/11771</t>
  </si>
  <si>
    <t>https://cdn.sparkfun.com/r/92-92/assets/parts/8/0/0/6/11771-01.jpg</t>
  </si>
  <si>
    <t>DEV-13097</t>
  </si>
  <si>
    <t>https://www.sparkfun.com/products/13097</t>
  </si>
  <si>
    <t>https://cdn.sparkfun.com/r/92-92/assets/parts/1/0/1/3/9/13097-06.jpg</t>
  </si>
  <si>
    <t>IntelÂ® Edison and Arduino Breakout Kit</t>
  </si>
  <si>
    <t>DEV-13727</t>
  </si>
  <si>
    <t>https://www.sparkfun.com/products/13727</t>
  </si>
  <si>
    <t>https://cdn.sparkfun.com/r/92-92/assets/parts/1/1/2/3/7/13727-01.jpg</t>
  </si>
  <si>
    <t>SparkFun Block for IntelÂ® Edison - Power</t>
  </si>
  <si>
    <t>DEV-13038</t>
  </si>
  <si>
    <t>https://www.sparkfun.com/products/13038</t>
  </si>
  <si>
    <t>https://cdn.sparkfun.com/r/92-92/assets/parts/1/0/0/3/9/13038-04.jpg</t>
  </si>
  <si>
    <t>SparkFun Block for IntelÂ® Edison - GPIO</t>
  </si>
  <si>
    <t>DEV-13034</t>
  </si>
  <si>
    <t>https://www.sparkfun.com/products/13034</t>
  </si>
  <si>
    <t>https://cdn.sparkfun.com/r/92-92/assets/parts/1/0/0/3/5/13034-01_1.jpg</t>
  </si>
  <si>
    <t>SparkFun Block for IntelÂ® Edison - I2C</t>
  </si>
  <si>
    <t>DEV-13041</t>
  </si>
  <si>
    <t>https://www.sparkfun.com/products/13041</t>
  </si>
  <si>
    <t>https://cdn.sparkfun.com/r/92-92/assets/parts/1/0/0/4/2/13041-01.jpg</t>
  </si>
  <si>
    <t>SparkFun Block for IntelÂ® Edison - microSD</t>
  </si>
  <si>
    <t>DEV-13045</t>
  </si>
  <si>
    <t>https://www.sparkfun.com/products/13045</t>
  </si>
  <si>
    <t>https://cdn.sparkfun.com/r/92-92/assets/parts/1/0/0/4/7/13045-01.jpg</t>
  </si>
  <si>
    <t>SparkFun Block for IntelÂ® Edison - Base</t>
  </si>
  <si>
    <t>DEV-12923</t>
  </si>
  <si>
    <t>https://www.sparkfun.com/products/12923</t>
  </si>
  <si>
    <t>https://cdn.sparkfun.com/r/92-92/assets/parts/9/8/4/5/12923-01.jpg</t>
  </si>
  <si>
    <t>SparkFun MicroView - OLED Arduino Module</t>
  </si>
  <si>
    <t>DEV-12924</t>
  </si>
  <si>
    <t>https://www.sparkfun.com/products/12924</t>
  </si>
  <si>
    <t>https://cdn.sparkfun.com/r/92-92/assets/parts/9/8/4/6/12924-01.jpg</t>
  </si>
  <si>
    <t>SparkFun MicroView - USB Programmer</t>
  </si>
  <si>
    <t>DEV-11643</t>
  </si>
  <si>
    <t>https://www.sparkfun.com/products/11643</t>
  </si>
  <si>
    <t>https://cdn.sparkfun.com/r/92-92/assets/parts/7/7/1/7/11643-01.jpg</t>
  </si>
  <si>
    <t>XMEGA Xprotolab</t>
  </si>
  <si>
    <t>DEV-11695</t>
  </si>
  <si>
    <t>https://www.sparkfun.com/products/11695</t>
  </si>
  <si>
    <t>https://cdn.sparkfun.com/r/92-92/assets/parts/7/8/5/9/11695-01.jpg</t>
  </si>
  <si>
    <t>mbed Application Board</t>
  </si>
  <si>
    <t>DEV-09564</t>
  </si>
  <si>
    <t>https://www.sparkfun.com/products/9564</t>
  </si>
  <si>
    <t>https://cdn.sparkfun.com/r/92-92/assets/parts/3/3/3/6/09564-05.jpg</t>
  </si>
  <si>
    <t>mbed - LPC1768 (Cortex-M3)</t>
  </si>
  <si>
    <t>BOB-12918</t>
  </si>
  <si>
    <t>https://www.sparkfun.com/products/12918</t>
  </si>
  <si>
    <t>https://cdn.sparkfun.com/r/92-92/assets/parts/9/8/3/2/12918-01.jpg</t>
  </si>
  <si>
    <t>COM-13004</t>
  </si>
  <si>
    <t>https://www.sparkfun.com/products/13004</t>
  </si>
  <si>
    <t>https://cdn.sparkfun.com/r/92-92/assets/parts/9/9/5/8/13004-01.jpg</t>
  </si>
  <si>
    <t>microSD USB Reader</t>
  </si>
  <si>
    <t>WRL-14280</t>
  </si>
  <si>
    <t>https://www.sparkfun.com/products/14280</t>
  </si>
  <si>
    <t>https://cdn.sparkfun.com/r/92-92/assets/parts/1/2/2/3/6/14280-01.jpg</t>
  </si>
  <si>
    <t>Realtek Ameba Board</t>
  </si>
  <si>
    <t>DEV-13613</t>
  </si>
  <si>
    <t>https://www.sparkfun.com/products/13613</t>
  </si>
  <si>
    <t>https://cdn.sparkfun.com/r/92-92/assets/parts/1/0/9/8/3/13613-01.jpg</t>
  </si>
  <si>
    <t>IOIO-OTG - V2.2</t>
  </si>
  <si>
    <t>DEV-14135</t>
  </si>
  <si>
    <t>https://www.sparkfun.com/products/14135</t>
  </si>
  <si>
    <t>https://cdn.sparkfun.com/r/92-92/assets/parts/1/2/0/3/4/14135-03.jpg</t>
  </si>
  <si>
    <t>Arduino Tian</t>
  </si>
  <si>
    <t>SPX-14286</t>
  </si>
  <si>
    <t>https://www.sparkfun.com/products/14286</t>
  </si>
  <si>
    <t>https://cdn.sparkfun.com/r/92-92/assets/parts/1/2/2/4/5/Qwiic_Shield_for_Arduino_X1.1_04.jpg</t>
  </si>
  <si>
    <t>Qwiic Shield for Arduino</t>
  </si>
  <si>
    <t>KIT-13973</t>
  </si>
  <si>
    <t>https://www.sparkfun.com/products/13973</t>
  </si>
  <si>
    <t>https://cdn.sparkfun.com/r/92-92/assets/parts/1/1/7/1/5/13973-05.jpg</t>
  </si>
  <si>
    <t>SparkFun Beginner Parts Kit</t>
  </si>
  <si>
    <t>COM-10969</t>
  </si>
  <si>
    <t>https://www.sparkfun.com/products/10969</t>
  </si>
  <si>
    <t>https://cdn.sparkfun.com/r/92-92/assets/parts/6/1/7/1/10969-01.jpg</t>
  </si>
  <si>
    <t>Resistor Kit - 1/4W (500 total)</t>
  </si>
  <si>
    <t>KIT-13698</t>
  </si>
  <si>
    <t>https://www.sparkfun.com/products/13698</t>
  </si>
  <si>
    <t>https://cdn.sparkfun.com/r/92-92/assets/parts/1/1/1/7/0/13698-02.jpg</t>
  </si>
  <si>
    <t>SparkFun Capacitor Kit</t>
  </si>
  <si>
    <t>COM-00526</t>
  </si>
  <si>
    <t>https://www.sparkfun.com/products/526</t>
  </si>
  <si>
    <t>https://cdn.sparkfun.com/r/92-92/assets/parts/3/0/2/00526-03-L.jpg</t>
  </si>
  <si>
    <t>Voltage Regulator - 3.3V</t>
  </si>
  <si>
    <t>COM-00527</t>
  </si>
  <si>
    <t>https://www.sparkfun.com/products/527</t>
  </si>
  <si>
    <t>https://cdn.sparkfun.com/r/92-92/assets/parts/3/5/8/LM317.jpg</t>
  </si>
  <si>
    <t>Voltage Regulator - Adjustable</t>
  </si>
  <si>
    <t>COM-11707</t>
  </si>
  <si>
    <t>https://www.sparkfun.com/products/11707</t>
  </si>
  <si>
    <t>https://cdn.sparkfun.com/r/92-92/assets/parts/7/8/8/8/11707-01.jpg</t>
  </si>
  <si>
    <t>Barrel Jack Extension Cable - M-F (6 ft)</t>
  </si>
  <si>
    <t>COM-11078</t>
  </si>
  <si>
    <t>https://www.sparkfun.com/products/11078</t>
  </si>
  <si>
    <t>https://cdn.sparkfun.com/r/92-92/assets/parts/6/4/6/8/11078-01.jpg</t>
  </si>
  <si>
    <t>TL431 - Voltage Reference</t>
  </si>
  <si>
    <t>COM-00107</t>
  </si>
  <si>
    <t>https://www.sparkfun.com/products/107</t>
  </si>
  <si>
    <t>https://cdn.sparkfun.com/r/92-92/assets/parts/9/9/00107-1.jpg</t>
  </si>
  <si>
    <t>Voltage Regulator - 5V</t>
  </si>
  <si>
    <t>COM-08636</t>
  </si>
  <si>
    <t>https://www.sparkfun.com/products/8636</t>
  </si>
  <si>
    <t>https://cdn.sparkfun.com/r/92-92/assets/parts/1/7/7/0/08636-03-L.jpg</t>
  </si>
  <si>
    <t>Analog to Digital Converter - MCP3002</t>
  </si>
  <si>
    <t>COM-09273</t>
  </si>
  <si>
    <t>https://www.sparkfun.com/products/9273</t>
  </si>
  <si>
    <t>https://cdn.sparkfun.com/r/92-92/assets/parts/2/7/9/0/09273-1.jpg</t>
  </si>
  <si>
    <t>555 Timer</t>
  </si>
  <si>
    <t>COM-13699</t>
  </si>
  <si>
    <t>https://www.sparkfun.com/products/13699</t>
  </si>
  <si>
    <t>https://cdn.sparkfun.com/r/92-92/assets/parts/1/1/1/7/5/13699-01.jpg</t>
  </si>
  <si>
    <t>Shift Register 8-Bit - SN74HC595</t>
  </si>
  <si>
    <t>BOB-11733</t>
  </si>
  <si>
    <t>https://www.sparkfun.com/products/11733</t>
  </si>
  <si>
    <t>https://cdn.sparkfun.com/r/92-92/assets/parts/7/9/4/5/11733-01a.jpg</t>
  </si>
  <si>
    <t>DEV-13743</t>
  </si>
  <si>
    <t>https://www.sparkfun.com/products/13743</t>
  </si>
  <si>
    <t>https://cdn.sparkfun.com/r/92-92/assets/parts/1/1/2/6/7/13743-01.jpg</t>
  </si>
  <si>
    <t>PRT-00124</t>
  </si>
  <si>
    <t>https://www.sparkfun.com/products/124</t>
  </si>
  <si>
    <t>https://cdn.sparkfun.com/r/92-92/assets/parts/1/1/2/00124-04.jpg</t>
  </si>
  <si>
    <t>Jumper Wire Kit</t>
  </si>
  <si>
    <t>COM-10301</t>
  </si>
  <si>
    <t>https://www.sparkfun.com/products/10301</t>
  </si>
  <si>
    <t>https://cdn.sparkfun.com/r/92-92/assets/parts/4/7/0/4/10301-01.jpg</t>
  </si>
  <si>
    <t>Zener Diode - 5.1V 1W</t>
  </si>
  <si>
    <t>COM-08589</t>
  </si>
  <si>
    <t>https://www.sparkfun.com/products/8589</t>
  </si>
  <si>
    <t>https://cdn.sparkfun.com/r/92-92/assets/parts/1/5/7/8/08588-02-L.jpg</t>
  </si>
  <si>
    <t>Diode Rectifier - 1A 50V</t>
  </si>
  <si>
    <t>COM-08588</t>
  </si>
  <si>
    <t>https://www.sparkfun.com/products/8588</t>
  </si>
  <si>
    <t>https://cdn.sparkfun.com/r/92-92/assets/parts/1/5/6/7/08589-03-L.jpg</t>
  </si>
  <si>
    <t>Diode Small Signal - 1N4148</t>
  </si>
  <si>
    <t>COM-08034</t>
  </si>
  <si>
    <t>https://www.sparkfun.com/products/8034</t>
  </si>
  <si>
    <t>https://cdn.sparkfun.com/r/92-92/assets/parts/6/5/0/08034-1.jpg</t>
  </si>
  <si>
    <t>DIP Switch - 8 Position</t>
  </si>
  <si>
    <t>COM-10856</t>
  </si>
  <si>
    <t>https://www.sparkfun.com/products/10856</t>
  </si>
  <si>
    <t>https://cdn.sparkfun.com/r/92-92/assets/parts/5/8/6/9/10856-01a.jpg</t>
  </si>
  <si>
    <t>Resistor Network - 10K Ohm (6-pin bussed)</t>
  </si>
  <si>
    <t>COM-10855</t>
  </si>
  <si>
    <t>https://www.sparkfun.com/products/10855</t>
  </si>
  <si>
    <t>https://cdn.sparkfun.com/r/92-92/assets/parts/5/8/6/8/10855-01d.jpg</t>
  </si>
  <si>
    <t>Resistor Network - 330 Ohm (6-pin bussed)</t>
  </si>
  <si>
    <t>PRT-09749</t>
  </si>
  <si>
    <t>https://www.sparkfun.com/products/9749</t>
  </si>
  <si>
    <t>https://cdn.sparkfun.com/r/92-92/assets/parts/3/7/0/9/09749-01.jpg</t>
  </si>
  <si>
    <t>JST Right-Angle Connector - Through-Hole 2-Pin</t>
  </si>
  <si>
    <t>PRT-08077</t>
  </si>
  <si>
    <t>https://www.sparkfun.com/products/8077</t>
  </si>
  <si>
    <t>https://cdn.sparkfun.com/r/92-92/assets/parts/6/5/6/08077-01.jpg</t>
  </si>
  <si>
    <t>Spring Terminals - PCB Mount (6-Pin)</t>
  </si>
  <si>
    <t>PRT-08075</t>
  </si>
  <si>
    <t>https://www.sparkfun.com/products/8075</t>
  </si>
  <si>
    <t>https://cdn.sparkfun.com/r/92-92/assets/parts/6/5/4/08075-01.jpg</t>
  </si>
  <si>
    <t>Spring Terminals - PCB Mount (4-Pin)</t>
  </si>
  <si>
    <t>PRT-10571</t>
  </si>
  <si>
    <t>https://www.sparkfun.com/products/10571</t>
  </si>
  <si>
    <t>https://cdn.sparkfun.com/r/92-92/assets/parts/5/2/0/4/10571-01.jpg</t>
  </si>
  <si>
    <t>Screw Terminals 2.54mm Pitch (2-Pin)</t>
  </si>
  <si>
    <t>TOL-08639</t>
  </si>
  <si>
    <t>https://www.sparkfun.com/products/8639</t>
  </si>
  <si>
    <t>https://cdn.sparkfun.com/r/92-92/assets/parts/1/7/7/8/08639-01.jpg</t>
  </si>
  <si>
    <t>Barrel Jack Adapter - USB to 5.5mm</t>
  </si>
  <si>
    <t>PRT-08672</t>
  </si>
  <si>
    <t>https://www.sparkfun.com/products/8672</t>
  </si>
  <si>
    <t>https://cdn.sparkfun.com/r/92-92/assets/parts/1/8/2/8/08672-03-L.jpg</t>
  </si>
  <si>
    <t>Jumper Wire - PTH Black White</t>
  </si>
  <si>
    <t>PRT-08614</t>
  </si>
  <si>
    <t>https://www.sparkfun.com/products/8614</t>
  </si>
  <si>
    <t>https://cdn.sparkfun.com/r/92-92/assets/parts/1/6/9/8/08614-03-L.jpg</t>
  </si>
  <si>
    <t>Jumper Wire - Female to Female Connector</t>
  </si>
  <si>
    <t>PRT-12693</t>
  </si>
  <si>
    <t>https://www.sparkfun.com/products/12693</t>
  </si>
  <si>
    <t>https://cdn.sparkfun.com/r/92-92/assets/parts/9/4/2/7/12693-02.jpg</t>
  </si>
  <si>
    <t>Break Away Headers - 40-pin Male (Long Centered, PTH, 0.1\")</t>
  </si>
  <si>
    <t>PRT-13925</t>
  </si>
  <si>
    <t>https://www.sparkfun.com/products/13925</t>
  </si>
  <si>
    <t>https://cdn.sparkfun.com/r/92-92/assets/parts/1/1/5/9/7/13925-01.jpg</t>
  </si>
  <si>
    <t>Teensy Header Kit</t>
  </si>
  <si>
    <t>PRT-14322</t>
  </si>
  <si>
    <t>https://www.sparkfun.com/products/14322</t>
  </si>
  <si>
    <t>https://cdn.sparkfun.com/r/92-92/assets/parts/1/0/6/5/6/14322-02.jpg</t>
  </si>
  <si>
    <t>Photon Stackable Header - 12 Pin</t>
  </si>
  <si>
    <t>PRT-09916</t>
  </si>
  <si>
    <t>https://www.sparkfun.com/products/9916</t>
  </si>
  <si>
    <t>https://cdn.sparkfun.com/r/92-92/assets/parts/4/0/2/2/09916-02b.jpg</t>
  </si>
  <si>
    <t>JST Jumper 4 Wire Assembly</t>
  </si>
  <si>
    <t>PRT-10158</t>
  </si>
  <si>
    <t>https://www.sparkfun.com/products/10158</t>
  </si>
  <si>
    <t>https://cdn.sparkfun.com/r/92-92/assets/parts/4/4/5/2/10158-01.jpg</t>
  </si>
  <si>
    <t>Break Away Headers - Long</t>
  </si>
  <si>
    <t>BOB-09056</t>
  </si>
  <si>
    <t>https://www.sparkfun.com/products/9056</t>
  </si>
  <si>
    <t>https://cdn.sparkfun.com/r/92-92/assets/parts/2/4/2/0/09056-01.jpg</t>
  </si>
  <si>
    <t>BOB-09118</t>
  </si>
  <si>
    <t>https://www.sparkfun.com/products/9118</t>
  </si>
  <si>
    <t>https://cdn.sparkfun.com/r/92-92/assets/parts/2/5/2/2/09118-02.jpg</t>
  </si>
  <si>
    <t>PRT-10369</t>
  </si>
  <si>
    <t>https://www.sparkfun.com/products/10369</t>
  </si>
  <si>
    <t>https://cdn.sparkfun.com/r/92-92/assets/parts/4/8/2/1/10369-01.jpg</t>
  </si>
  <si>
    <t>Jumper Wire - 0.1\", 4-pin, 6\"</t>
  </si>
  <si>
    <t>PRT-10376</t>
  </si>
  <si>
    <t>https://www.sparkfun.com/products/10376</t>
  </si>
  <si>
    <t>https://cdn.sparkfun.com/r/92-92/assets/parts/4/8/2/8/10376-01.jpg</t>
  </si>
  <si>
    <t>Jumper Wire - 0.1\", 6-pin, 12\"</t>
  </si>
  <si>
    <t>PRT-10371</t>
  </si>
  <si>
    <t>https://www.sparkfun.com/products/10371</t>
  </si>
  <si>
    <t>https://cdn.sparkfun.com/r/92-92/assets/parts/4/8/2/3/10371-01.jpg</t>
  </si>
  <si>
    <t>Jumper Wire - 0.1\", 6-pin, 6\"</t>
  </si>
  <si>
    <t>PRT-09914</t>
  </si>
  <si>
    <t>https://www.sparkfun.com/products/9914</t>
  </si>
  <si>
    <t>https://cdn.sparkfun.com/r/92-92/assets/parts/4/0/2/0/09914-02b.jpg</t>
  </si>
  <si>
    <t>JST Jumper 2 Wire Assembly</t>
  </si>
  <si>
    <t>PRT-13156</t>
  </si>
  <si>
    <t>https://www.sparkfun.com/products/13156</t>
  </si>
  <si>
    <t>https://cdn.sparkfun.com/r/92-92/assets/parts/5/6/1/7/13156-01.jpg</t>
  </si>
  <si>
    <t xml:space="preserve">Header - 2x8 (Male, 0.1\") </t>
  </si>
  <si>
    <t>CAB-13685</t>
  </si>
  <si>
    <t>https://www.sparkfun.com/products/13685</t>
  </si>
  <si>
    <t>https://cdn.sparkfun.com/r/92-92/assets/parts/1/1/1/4/7/13685-01.jpg</t>
  </si>
  <si>
    <t>JST to Breadboard Jumper (3-pin)</t>
  </si>
  <si>
    <t>PRT-10007</t>
  </si>
  <si>
    <t>https://www.sparkfun.com/products/10007</t>
  </si>
  <si>
    <t>https://cdn.sparkfun.com/r/92-92/assets/parts/4/1/6/6/10007-01.jpg</t>
  </si>
  <si>
    <t>Arduino Stackable Header Kit</t>
  </si>
  <si>
    <t>PRT-11376</t>
  </si>
  <si>
    <t>https://www.sparkfun.com/products/11376</t>
  </si>
  <si>
    <t>https://cdn.sparkfun.com/r/92-92/assets/parts/7/1/2/2/11376-01a.jpg</t>
  </si>
  <si>
    <t>Arduino Stackable Header - 10 Pin</t>
  </si>
  <si>
    <t>COM-08837</t>
  </si>
  <si>
    <t>https://www.sparkfun.com/products/8837</t>
  </si>
  <si>
    <t>https://cdn.sparkfun.com/r/92-92/assets/parts/1/8/4/7/08837-03-L.jpg</t>
  </si>
  <si>
    <t>Rocker Switch - SPST (right-angle)</t>
  </si>
  <si>
    <t>PRT-10370</t>
  </si>
  <si>
    <t>https://www.sparkfun.com/products/10370</t>
  </si>
  <si>
    <t>https://cdn.sparkfun.com/r/92-92/assets/parts/4/8/2/2/10370-01.jpg</t>
  </si>
  <si>
    <t>Jumper Wire - 0.1\", 5-pin, 6\"</t>
  </si>
  <si>
    <t>PRT-13164</t>
  </si>
  <si>
    <t>https://www.sparkfun.com/products/13164</t>
  </si>
  <si>
    <t>https://cdn.sparkfun.com/r/92-92/assets/parts/1/0/2/8/5/13164-01.jpg</t>
  </si>
  <si>
    <t>Jumper Wire - 0.1\", 3-pin, 6\" (Black, Red, White)</t>
  </si>
  <si>
    <t>PRT-14284</t>
  </si>
  <si>
    <t>https://www.sparkfun.com/products/14284</t>
  </si>
  <si>
    <t>https://cdn.sparkfun.com/r/92-92/assets/parts/1/2/2/4/2/13870-01.jpg</t>
  </si>
  <si>
    <t>Jumper Wires Premium 4\" M/M - 26 AWG (30 Pack)</t>
  </si>
  <si>
    <t>PRT-12796</t>
  </si>
  <si>
    <t>https://www.sparkfun.com/products/12796</t>
  </si>
  <si>
    <t>https://cdn.sparkfun.com/r/92-92/assets/parts/9/6/1/4/12796-00.jpg</t>
  </si>
  <si>
    <t>Jumper Wires - Connected 6\" (F/F, 20 pack)</t>
  </si>
  <si>
    <t>PRT-11710</t>
  </si>
  <si>
    <t>https://www.sparkfun.com/products/11710</t>
  </si>
  <si>
    <t>https://cdn.sparkfun.com/r/92-92/assets/parts/7/8/9/3/11710-01.jpg</t>
  </si>
  <si>
    <t>Jumper Wires Premium 6\" F/F - 20 AWG (10 Pack)</t>
  </si>
  <si>
    <t>PRT-11026</t>
  </si>
  <si>
    <t>https://www.sparkfun.com/products/11026</t>
  </si>
  <si>
    <t>https://cdn.sparkfun.com/r/92-92/assets/parts/3/7/0/4/11026-02.jpg</t>
  </si>
  <si>
    <t>Jumper Wires Standard 7\" M/M - 30 AWG (30 Pack)</t>
  </si>
  <si>
    <t>PRT-09140</t>
  </si>
  <si>
    <t>https://www.sparkfun.com/products/9140</t>
  </si>
  <si>
    <t>https://cdn.sparkfun.com/r/92-92/assets/parts/2/5/5/7/09140-02-L.jpg</t>
  </si>
  <si>
    <t>Jumper Wires Premium 6\" M/F Pack of 10</t>
  </si>
  <si>
    <t>PRT-08431</t>
  </si>
  <si>
    <t>https://www.sparkfun.com/products/8431</t>
  </si>
  <si>
    <t>https://cdn.sparkfun.com/r/92-92/assets/parts/1/1/8/1/JumperWire-Male-01-L.jpg</t>
  </si>
  <si>
    <t>Jumper Wires Premium 6\" M/M Pack of 10</t>
  </si>
  <si>
    <t>PRT-09385</t>
  </si>
  <si>
    <t>https://www.sparkfun.com/products/9385</t>
  </si>
  <si>
    <t>https://cdn.sparkfun.com/r/92-92/assets/parts/2/9/8/7/09385-03.jpg</t>
  </si>
  <si>
    <t>Jumper Wires Premium 12\" M/F Pack of 10</t>
  </si>
  <si>
    <t>PRT-10811</t>
  </si>
  <si>
    <t>https://www.sparkfun.com/products/10811</t>
  </si>
  <si>
    <t>https://cdn.sparkfun.com/r/92-92/assets/parts/5/8/0/3/10811-01.jpg</t>
  </si>
  <si>
    <t>DC Barrel Jack Adapter - Breadboard Compatible</t>
  </si>
  <si>
    <t>PRT-10373</t>
  </si>
  <si>
    <t>https://www.sparkfun.com/products/10373</t>
  </si>
  <si>
    <t>https://cdn.sparkfun.com/r/92-92/assets/parts/4/8/2/5/10373-02.jpg</t>
  </si>
  <si>
    <t>Jumper Wire - 0.1\", 3-pin, 12\"</t>
  </si>
  <si>
    <t>PRT-14311</t>
  </si>
  <si>
    <t>https://www.sparkfun.com/products/14311</t>
  </si>
  <si>
    <t>https://cdn.sparkfun.com/r/92-92/assets/parts/1/2/2/7/9/14311-01.jpg</t>
  </si>
  <si>
    <t>ESP32 Thing Stackable Header Set</t>
  </si>
  <si>
    <t>PRT-08599</t>
  </si>
  <si>
    <t>https://www.sparkfun.com/products/8599</t>
  </si>
  <si>
    <t>https://cdn.sparkfun.com/r/92-92/assets/parts/1/6/4/1/08599-03-L.jpg</t>
  </si>
  <si>
    <t>Jumper Wire - JST to Female Connector</t>
  </si>
  <si>
    <t>PRT-10367</t>
  </si>
  <si>
    <t>https://www.sparkfun.com/products/10367</t>
  </si>
  <si>
    <t>https://cdn.sparkfun.com/r/92-92/assets/parts/4/8/1/9/10367-01.jpg</t>
  </si>
  <si>
    <t>Jumper Wire - 0.1\", 2-pin, 6\"</t>
  </si>
  <si>
    <t>PRT-08670</t>
  </si>
  <si>
    <t>https://www.sparkfun.com/products/8670</t>
  </si>
  <si>
    <t>https://cdn.sparkfun.com/r/92-92/assets/parts/1/8/2/6/08670-03-L.jpg</t>
  </si>
  <si>
    <t>Jumper Wire - JST Black Red</t>
  </si>
  <si>
    <t>PRT-08671</t>
  </si>
  <si>
    <t>https://www.sparkfun.com/products/8671</t>
  </si>
  <si>
    <t>https://cdn.sparkfun.com/r/92-92/assets/parts/1/8/2/7/08671-03-L.jpg</t>
  </si>
  <si>
    <t>Jumper Wire - JST Black Blue</t>
  </si>
  <si>
    <t>PRT-09389</t>
  </si>
  <si>
    <t>https://www.sparkfun.com/products/9389</t>
  </si>
  <si>
    <t>https://cdn.sparkfun.com/r/92-92/assets/parts/2/9/9/1/09389-01.jpg</t>
  </si>
  <si>
    <t>Jumper Wires Premium 12\" F/F Pack of 10</t>
  </si>
  <si>
    <t>COM-10443</t>
  </si>
  <si>
    <t>https://www.sparkfun.com/products/10443</t>
  </si>
  <si>
    <t>https://cdn.sparkfun.com/r/92-92/assets/parts/4/9/3/1/10443-01.jpg</t>
  </si>
  <si>
    <t>LED Tactile Button - Blue</t>
  </si>
  <si>
    <t>COM-10440</t>
  </si>
  <si>
    <t>https://www.sparkfun.com/products/10440</t>
  </si>
  <si>
    <t>https://cdn.sparkfun.com/r/92-92/assets/parts/4/9/2/8/10440-01.jpg</t>
  </si>
  <si>
    <t>LED Tactile Button - Green</t>
  </si>
  <si>
    <t>COM-09806</t>
  </si>
  <si>
    <t>https://www.sparkfun.com/products/9806</t>
  </si>
  <si>
    <t>https://cdn.sparkfun.com/r/92-92/assets/parts/3/8/2/3/09806-01.jpg</t>
  </si>
  <si>
    <t>Trimpot 10K with Knob</t>
  </si>
  <si>
    <t>COM-00097</t>
  </si>
  <si>
    <t>https://www.sparkfun.com/products/97</t>
  </si>
  <si>
    <t>https://cdn.sparkfun.com/r/92-92/assets/parts/9/0/00097-03-L.jpg</t>
  </si>
  <si>
    <t>Mini Pushbutton Switch</t>
  </si>
  <si>
    <t>COM-10791</t>
  </si>
  <si>
    <t>https://www.sparkfun.com/products/10791</t>
  </si>
  <si>
    <t>https://cdn.sparkfun.com/r/92-92/assets/parts/5/7/7/6/10791-01.jpg</t>
  </si>
  <si>
    <t>Right Angle Tactile Button</t>
  </si>
  <si>
    <t>COM-09190</t>
  </si>
  <si>
    <t>https://www.sparkfun.com/products/9190</t>
  </si>
  <si>
    <t>https://cdn.sparkfun.com/r/92-92/assets/parts/2/6/2/9/09190-03-L.jpg</t>
  </si>
  <si>
    <t>Momentary Pushbutton Switch - 12mm Square</t>
  </si>
  <si>
    <t>COM-08605</t>
  </si>
  <si>
    <t>https://www.sparkfun.com/products/8605</t>
  </si>
  <si>
    <t>https://cdn.sparkfun.com/r/92-92/assets/parts/1/6/7/9/08605-04-L.jpg</t>
  </si>
  <si>
    <t>Mini Pushbutton Switch - Tall</t>
  </si>
  <si>
    <t>COM-00102</t>
  </si>
  <si>
    <t>https://www.sparkfun.com/products/102</t>
  </si>
  <si>
    <t>https://cdn.sparkfun.com/r/92-92/assets/parts/9/5/00102-02-L.jpg</t>
  </si>
  <si>
    <t>SPDT Mini Power Switch</t>
  </si>
  <si>
    <t>COM-13833</t>
  </si>
  <si>
    <t>https://www.sparkfun.com/products/13833</t>
  </si>
  <si>
    <t>https://cdn.sparkfun.com/r/92-92/assets/parts/1/1/4/3/0/13833-02.jpg</t>
  </si>
  <si>
    <t>microSD Card with Adapter - 16GB (Class 10)</t>
  </si>
  <si>
    <t>PRT-11366</t>
  </si>
  <si>
    <t>https://www.sparkfun.com/products/11366</t>
  </si>
  <si>
    <t>https://cdn.sparkfun.com/r/92-92/assets/parts/7/1/0/7/11366-01.jpg</t>
  </si>
  <si>
    <t>Big Red Box - Enclosure</t>
  </si>
  <si>
    <t>PRT-11796</t>
  </si>
  <si>
    <t>https://www.sparkfun.com/products/11796</t>
  </si>
  <si>
    <t>https://cdn.sparkfun.com/r/92-92/assets/parts/8/0/8/2/10315_03b.jpg</t>
  </si>
  <si>
    <t>Standoff - Nylon (4-40; 3/4\"; 10 pack)</t>
  </si>
  <si>
    <t>COM-10594</t>
  </si>
  <si>
    <t>https://www.sparkfun.com/products/10594</t>
  </si>
  <si>
    <t>https://cdn.sparkfun.com/r/92-92/assets/parts/5/1/6/0/10594-01.jpg</t>
  </si>
  <si>
    <t>Silicone Bumpers - Large (10x16.5mm, 4 pack)</t>
  </si>
  <si>
    <t>PRT-10927</t>
  </si>
  <si>
    <t>https://www.sparkfun.com/products/10927</t>
  </si>
  <si>
    <t>https://cdn.sparkfun.com/r/92-92/assets/parts/6/0/7/1/10927-03.jpg</t>
  </si>
  <si>
    <t>Standoff - Nylon (4-40; 3/8\"; 10 pack)</t>
  </si>
  <si>
    <t>PRT-10230</t>
  </si>
  <si>
    <t>https://www.sparkfun.com/products/10230</t>
  </si>
  <si>
    <t>https://cdn.sparkfun.com/r/92-92/assets/parts/4/5/8/0/10230-01a.jpg</t>
  </si>
  <si>
    <t>Silicone Bumpers - Small, Clear (8x2mm, 5 pack)</t>
  </si>
  <si>
    <t>PRT-10088</t>
  </si>
  <si>
    <t>https://www.sparkfun.com/products/10088</t>
  </si>
  <si>
    <t>https://cdn.sparkfun.com/r/92-92/assets/parts/4/3/1/1/10088-01.jpg</t>
  </si>
  <si>
    <t>Arduino Project Enclosure</t>
  </si>
  <si>
    <t>COM-09456</t>
  </si>
  <si>
    <t>https://www.sparkfun.com/products/9456</t>
  </si>
  <si>
    <t>https://cdn.sparkfun.com/r/92-92/assets/parts/2/7/8/8/09456-01.jpg</t>
  </si>
  <si>
    <t>Op-Amp (Through-Hole) - LM358</t>
  </si>
  <si>
    <t>ROB-08449</t>
  </si>
  <si>
    <t>https://www.sparkfun.com/products/8449</t>
  </si>
  <si>
    <t>https://cdn.sparkfun.com/r/92-92/assets/parts/8/8/6/VibrationMotor-01-L.jpg</t>
  </si>
  <si>
    <t>Vibration Motor</t>
  </si>
  <si>
    <t>COM-10926</t>
  </si>
  <si>
    <t>https://www.sparkfun.com/products/10926</t>
  </si>
  <si>
    <t>https://cdn.sparkfun.com/r/92-92/assets/parts/6/0/6/0/10926-01b.jpg</t>
  </si>
  <si>
    <t>Schottky Diode</t>
  </si>
  <si>
    <t>SEN-09376</t>
  </si>
  <si>
    <t>https://www.sparkfun.com/products/9376</t>
  </si>
  <si>
    <t>https://cdn.sparkfun.com/r/92-92/assets/parts/2/9/6/8/09376-1.jpg</t>
  </si>
  <si>
    <t>Force Sensitive Resistor - Square</t>
  </si>
  <si>
    <t>COM-00525</t>
  </si>
  <si>
    <t>https://www.sparkfun.com/products/525</t>
  </si>
  <si>
    <t>https://cdn.sparkfun.com/r/92-92/assets/parts/3/0/5/EEPROM.jpg</t>
  </si>
  <si>
    <t>I2C EEPROM - 256kbit</t>
  </si>
  <si>
    <t>SEN-14348</t>
  </si>
  <si>
    <t>https://www.sparkfun.com/products/14348</t>
  </si>
  <si>
    <t>https://cdn.sparkfun.com/r/92-92/assets/parts/1/2/3/2/9/14348-01.jpg</t>
  </si>
  <si>
    <t>SparkFun Environmental Combo Breakout - CCS811/BME280 (Qwiic)</t>
  </si>
  <si>
    <t>SEN-14045</t>
  </si>
  <si>
    <t>https://www.sparkfun.com/products/14045</t>
  </si>
  <si>
    <t>https://cdn.sparkfun.com/r/92-92/assets/parts/1/1/8/7/4/14045-01.jpg</t>
  </si>
  <si>
    <t>SparkFun Particle Sensor Breakout - MAX30105</t>
  </si>
  <si>
    <t>BOB-08891</t>
  </si>
  <si>
    <t>https://www.sparkfun.com/products/8891</t>
  </si>
  <si>
    <t>https://cdn.sparkfun.com/r/92-92/assets/parts/2/1/6/8/08891-01.jpg</t>
  </si>
  <si>
    <t>Gas Sensor Breakout</t>
  </si>
  <si>
    <t>SEN-09403</t>
  </si>
  <si>
    <t>https://www.sparkfun.com/products/9403</t>
  </si>
  <si>
    <t>https://cdn.sparkfun.com/r/92-92/assets/parts/3/0/1/8/09403-01.jpg</t>
  </si>
  <si>
    <t>Carbon Monoxide Sensor - MQ-7</t>
  </si>
  <si>
    <t>COM-14195</t>
  </si>
  <si>
    <t>https://www.sparkfun.com/products/14195</t>
  </si>
  <si>
    <t>https://cdn.sparkfun.com/r/92-92/assets/parts/1/2/1/3/4/14195-01.jpg</t>
  </si>
  <si>
    <t>Amphenol FCI Clincher Connector (2 Position, Male)</t>
  </si>
  <si>
    <t>COM-14194</t>
  </si>
  <si>
    <t>https://www.sparkfun.com/products/14194</t>
  </si>
  <si>
    <t>https://cdn.sparkfun.com/r/92-92/assets/parts/1/2/1/3/3/14194-01.jpg</t>
  </si>
  <si>
    <t>Amphenol FCI Clincher Connector (2 Position, Female)</t>
  </si>
  <si>
    <t>PRT-10453</t>
  </si>
  <si>
    <t>https://www.sparkfun.com/products/10453</t>
  </si>
  <si>
    <t>https://cdn.sparkfun.com/r/92-92/assets/parts/4/9/4/7/10453-01.jpg</t>
  </si>
  <si>
    <t>Screw - Phillips Head (1/4\", 4-40, 10 pack)</t>
  </si>
  <si>
    <t>SEN-00250</t>
  </si>
  <si>
    <t>https://www.sparkfun.com/products/250</t>
  </si>
  <si>
    <t>https://cdn.sparkfun.com/r/92-92/assets/parts/1/9/2/thermistor.jpg</t>
  </si>
  <si>
    <t>Thermistor 10K</t>
  </si>
  <si>
    <t>COM-00746</t>
  </si>
  <si>
    <t>https://www.sparkfun.com/products/746</t>
  </si>
  <si>
    <t>https://cdn.sparkfun.com/r/92-92/assets/parts/5/1/9/SuperCap.jpg</t>
  </si>
  <si>
    <t>Super Capacitor - 10F/2.5V</t>
  </si>
  <si>
    <t>SEN-10293</t>
  </si>
  <si>
    <t>https://www.sparkfun.com/products/10293</t>
  </si>
  <si>
    <t>https://cdn.sparkfun.com/r/92-92/assets/parts/4/6/8/9/10293_01.jpg</t>
  </si>
  <si>
    <t>Piezo Element</t>
  </si>
  <si>
    <t>COM-00523</t>
  </si>
  <si>
    <t>https://www.sparkfun.com/products/523</t>
  </si>
  <si>
    <t>https://cdn.sparkfun.com/r/92-92/assets/parts/3/0/0/00523-02-L.jpg</t>
  </si>
  <si>
    <t>Electrolytic Decoupling Capacitors - 10uF/25V</t>
  </si>
  <si>
    <t>COM-00096</t>
  </si>
  <si>
    <t>https://www.sparkfun.com/products/96</t>
  </si>
  <si>
    <t>https://cdn.sparkfun.com/r/92-92/assets/parts/8/9/00096-03-L.jpg</t>
  </si>
  <si>
    <t>Electrolytic Decoupling Capacitors - 100uF/25V</t>
  </si>
  <si>
    <t>COM-10002</t>
  </si>
  <si>
    <t>https://www.sparkfun.com/products/10002</t>
  </si>
  <si>
    <t>https://cdn.sparkfun.com/r/92-92/assets/parts/4/1/4/6/10002-01.jpg</t>
  </si>
  <si>
    <t>Black Metal Knob - 14x24mm</t>
  </si>
  <si>
    <t>SPX-14323</t>
  </si>
  <si>
    <t>https://www.sparkfun.com/products/14323</t>
  </si>
  <si>
    <t>https://cdn.sparkfun.com/r/92-92/assets/parts/1/2/2/8/9/Qwiic_Connector_SMD-Black-1.jpg</t>
  </si>
  <si>
    <t>Qwiic Connector SMD - Black 10 Pcs</t>
  </si>
  <si>
    <t>COM-11143</t>
  </si>
  <si>
    <t>https://www.sparkfun.com/products/11143</t>
  </si>
  <si>
    <t>https://cdn.sparkfun.com/r/92-92/assets/parts/6/6/0/4/11143-01.jpg</t>
  </si>
  <si>
    <t>Audio Plug - 3.5mm</t>
  </si>
  <si>
    <t>PRT-08032</t>
  </si>
  <si>
    <t>https://www.sparkfun.com/products/8032</t>
  </si>
  <si>
    <t>https://cdn.sparkfun.com/r/92-92/assets/parts/1/5/8/2/Audio-3.5mm.jpg</t>
  </si>
  <si>
    <t>Audio Jack 3.5mm</t>
  </si>
  <si>
    <t>COM-11154</t>
  </si>
  <si>
    <t>https://www.sparkfun.com/products/11154</t>
  </si>
  <si>
    <t>https://cdn.sparkfun.com/r/92-92/assets/parts/6/6/1/5/11154-01.jpg</t>
  </si>
  <si>
    <t>Audio Jack - 3.5mm (Panel Mount)</t>
  </si>
  <si>
    <t>PRT-09044</t>
  </si>
  <si>
    <t>https://www.sparkfun.com/products/9044</t>
  </si>
  <si>
    <t>https://cdn.sparkfun.com/r/92-92/assets/parts/2/4/0/7/09044-02-L.jpg</t>
  </si>
  <si>
    <t>Jumper - 2 Pin</t>
  </si>
  <si>
    <t>PRT-00116</t>
  </si>
  <si>
    <t>https://www.sparkfun.com/products/116</t>
  </si>
  <si>
    <t>https://cdn.sparkfun.com/r/92-92/assets/parts/1/0/6/00116-02-L.jpg</t>
  </si>
  <si>
    <t>Break Away Headers - Straight</t>
  </si>
  <si>
    <t>PRT-00553</t>
  </si>
  <si>
    <t>https://www.sparkfun.com/products/553</t>
  </si>
  <si>
    <t>https://cdn.sparkfun.com/r/92-92/assets/parts/3/7/8/00553-03-L.jpg</t>
  </si>
  <si>
    <t>Break Away Male Headers - Right Angle</t>
  </si>
  <si>
    <t>COM-12792</t>
  </si>
  <si>
    <t>https://www.sparkfun.com/products/12792</t>
  </si>
  <si>
    <t>https://cdn.sparkfun.com/r/92-92/assets/parts/9/6/1/0/12792-01.jpg</t>
  </si>
  <si>
    <t>Break Away Headers - Right Angle 2x40</t>
  </si>
  <si>
    <t>PRT-13010</t>
  </si>
  <si>
    <t>https://www.sparkfun.com/products/13010</t>
  </si>
  <si>
    <t>https://cdn.sparkfun.com/r/92-92/assets/parts/8/1/2/1/13010-01a.jpg</t>
  </si>
  <si>
    <t>Header - 2x3 (Female, 0.1\")</t>
  </si>
  <si>
    <t>PRT-12807</t>
  </si>
  <si>
    <t>https://www.sparkfun.com/products/12807</t>
  </si>
  <si>
    <t>https://cdn.sparkfun.com/r/92-92/assets/parts/3/8/1/2/12807-02.jpg</t>
  </si>
  <si>
    <t>Header - 2x3 (Male, 0.1\")</t>
  </si>
  <si>
    <t>PRT-13875</t>
  </si>
  <si>
    <t>https://www.sparkfun.com/products/13875</t>
  </si>
  <si>
    <t>https://cdn.sparkfun.com/r/92-92/assets/parts/1/1/3/2/7/13875-02.jpg</t>
  </si>
  <si>
    <t>Stackable Header - 3 Pin (Female, 0.1\")</t>
  </si>
  <si>
    <t>PRT-08272</t>
  </si>
  <si>
    <t>https://www.sparkfun.com/products/8272</t>
  </si>
  <si>
    <t>https://cdn.sparkfun.com/r/92-92/assets/parts/1/8/8/1/2mmSocket-01-L.jpg</t>
  </si>
  <si>
    <t>2mm 10pin XBee Socket</t>
  </si>
  <si>
    <t>PRT-10112</t>
  </si>
  <si>
    <t>https://www.sparkfun.com/products/10112</t>
  </si>
  <si>
    <t>https://cdn.sparkfun.com/r/92-92/assets/parts/4/3/6/0/10112-01.jpg</t>
  </si>
  <si>
    <t>2mm 10pin XBee Header</t>
  </si>
  <si>
    <t>PRT-12614</t>
  </si>
  <si>
    <t>https://www.sparkfun.com/products/12614</t>
  </si>
  <si>
    <t>https://cdn.sparkfun.com/r/92-92/assets/parts/9/2/8/1/12614-01.jpg</t>
  </si>
  <si>
    <t>Breadboard - Giant</t>
  </si>
  <si>
    <t>TOL-12889</t>
  </si>
  <si>
    <t>https://www.sparkfun.com/products/12889</t>
  </si>
  <si>
    <t>https://cdn.sparkfun.com/r/92-92/assets/parts/9/7/8/1/12889-01.jpg</t>
  </si>
  <si>
    <t>Wall Adapter Power Supply - 5V DC 2A (Barrel Jack)</t>
  </si>
  <si>
    <t>PRT-13855</t>
  </si>
  <si>
    <t>https://www.sparkfun.com/products/13855</t>
  </si>
  <si>
    <t>https://cdn.sparkfun.com/r/92-92/assets/parts/1/1/4/6/2/13855-01.jpg</t>
  </si>
  <si>
    <t>Lithium Ion Battery - 2Ah</t>
  </si>
  <si>
    <t>COM-13187</t>
  </si>
  <si>
    <t>https://www.sparkfun.com/products/13187</t>
  </si>
  <si>
    <t>https://cdn.sparkfun.com/r/92-92/assets/parts/1/0/3/2/4/13187-01.jpg</t>
  </si>
  <si>
    <t>IntelÂ® Edison Hardware Pack</t>
  </si>
  <si>
    <t>TOL-08734</t>
  </si>
  <si>
    <t>https://www.sparkfun.com/products/8734</t>
  </si>
  <si>
    <t>https://cdn.sparkfun.com/r/92-92/assets/parts/1/9/2/1/08734-03-L.jpg</t>
  </si>
  <si>
    <t>Barrel Jack to 2-pin JST</t>
  </si>
  <si>
    <t>PRT-11214</t>
  </si>
  <si>
    <t>https://www.sparkfun.com/products/11214</t>
  </si>
  <si>
    <t>https://cdn.sparkfun.com/r/92-92/assets/parts/6/7/9/7/11214-02.jpg</t>
  </si>
  <si>
    <t>SparkFun MOSFET Power Controller</t>
  </si>
  <si>
    <t>COM-11705</t>
  </si>
  <si>
    <t>https://www.sparkfun.com/products/11705</t>
  </si>
  <si>
    <t>https://cdn.sparkfun.com/r/92-92/assets/parts/7/8/8/6/11705-01.jpg</t>
  </si>
  <si>
    <t>Barrel Jack Power Switch - M-F (3\")</t>
  </si>
  <si>
    <t>PRT-10287</t>
  </si>
  <si>
    <t>https://www.sparkfun.com/products/10287</t>
  </si>
  <si>
    <t>https://cdn.sparkfun.com/r/92-92/assets/parts/4/6/8/3/10287-01.jpg</t>
  </si>
  <si>
    <t>DC Barrel Jack Adapter - Male</t>
  </si>
  <si>
    <t>COM-14085</t>
  </si>
  <si>
    <t>https://www.sparkfun.com/products/14085</t>
  </si>
  <si>
    <t>https://cdn.sparkfun.com/r/92-92/assets/parts/1/1/9/5/0/14085-03.jpg</t>
  </si>
  <si>
    <t>Flip-Pin (8-pins)</t>
  </si>
  <si>
    <t>COM-14087</t>
  </si>
  <si>
    <t>https://www.sparkfun.com/products/14087</t>
  </si>
  <si>
    <t>https://cdn.sparkfun.com/r/92-92/assets/parts/1/1/9/5/2/14087-03.jpg</t>
  </si>
  <si>
    <t>Flip-Pin (20-pins)</t>
  </si>
  <si>
    <t>SEN-12055</t>
  </si>
  <si>
    <t>https://www.sparkfun.com/products/12055</t>
  </si>
  <si>
    <t>https://cdn.sparkfun.com/r/92-92/assets/parts/8/6/4/4/12055-01.jpg</t>
  </si>
  <si>
    <t>BOB-08688</t>
  </si>
  <si>
    <t>https://www.sparkfun.com/products/8688</t>
  </si>
  <si>
    <t>https://cdn.sparkfun.com/r/92-92/assets/parts/1/8/5/9/08688-01.jpg</t>
  </si>
  <si>
    <t>TOL-13114</t>
  </si>
  <si>
    <t>https://www.sparkfun.com/products/13114</t>
  </si>
  <si>
    <t>https://cdn.sparkfun.com/r/92-92/assets/parts/1/0/1/6/6/13114-01.jpg</t>
  </si>
  <si>
    <t>Resistor Lead Bending Tool</t>
  </si>
  <si>
    <t>TOL-11060</t>
  </si>
  <si>
    <t>https://www.sparkfun.com/products/11060</t>
  </si>
  <si>
    <t>https://cdn.sparkfun.com/r/92-92/assets/parts/6/4/3/2/11060-01.jpg</t>
  </si>
  <si>
    <t>Multimeter Probes - Tweezers</t>
  </si>
  <si>
    <t>TOL-08794</t>
  </si>
  <si>
    <t>https://www.sparkfun.com/products/8794</t>
  </si>
  <si>
    <t>https://cdn.sparkfun.com/r/92-92/assets/parts/2/0/3/4/08794-03-L.jpg</t>
  </si>
  <si>
    <t>Diagonal Cutters</t>
  </si>
  <si>
    <t>TOL-12572</t>
  </si>
  <si>
    <t>https://www.sparkfun.com/products/12572</t>
  </si>
  <si>
    <t>https://cdn.sparkfun.com/r/92-92/assets/parts/9/2/2/2/12572-01.jpg</t>
  </si>
  <si>
    <t>Tweezers - Curved (cross-lock, ESD Safe)</t>
  </si>
  <si>
    <t>TOL-10326</t>
  </si>
  <si>
    <t>https://www.sparkfun.com/products/10326</t>
  </si>
  <si>
    <t>https://cdn.sparkfun.com/r/92-92/assets/parts/4/7/3/4/10326-02.jpg</t>
  </si>
  <si>
    <t>Heaterizer XL-3000 Heat Gun</t>
  </si>
  <si>
    <t>TOL-09317</t>
  </si>
  <si>
    <t>https://www.sparkfun.com/products/9317</t>
  </si>
  <si>
    <t>https://cdn.sparkfun.com/r/92-92/assets/parts/2/8/5/8/09317-01.jpg</t>
  </si>
  <si>
    <t>Third Hand</t>
  </si>
  <si>
    <t>TOL-10706</t>
  </si>
  <si>
    <t>https://www.sparkfun.com/products/10706</t>
  </si>
  <si>
    <t>https://cdn.sparkfun.com/r/92-92/assets/parts/5/5/3/8/10706-02.jpg</t>
  </si>
  <si>
    <t>Hot-air Rework Station - 303D</t>
  </si>
  <si>
    <t>TOL-10602</t>
  </si>
  <si>
    <t>https://www.sparkfun.com/products/10602</t>
  </si>
  <si>
    <t>https://cdn.sparkfun.com/r/92-92/assets/parts/5/2/4/5/10602-01.jpg</t>
  </si>
  <si>
    <t>Tweezers - Curved (ESD Safe)</t>
  </si>
  <si>
    <t>TOL-09200</t>
  </si>
  <si>
    <t>https://www.sparkfun.com/products/9200</t>
  </si>
  <si>
    <t>https://cdn.sparkfun.com/r/92-92/assets/parts/2/6/4/6/09200-03.jpg</t>
  </si>
  <si>
    <t>Hobby Knife</t>
  </si>
  <si>
    <t>TOL-12573</t>
  </si>
  <si>
    <t>https://www.sparkfun.com/products/12573</t>
  </si>
  <si>
    <t>https://cdn.sparkfun.com/r/92-92/assets/parts/9/2/2/3/12573-02.jpg</t>
  </si>
  <si>
    <t>Tweezers - Straight (cross-lock, ESD Safe)</t>
  </si>
  <si>
    <t>TOL-09316</t>
  </si>
  <si>
    <t>https://www.sparkfun.com/products/9316</t>
  </si>
  <si>
    <t>https://cdn.sparkfun.com/r/92-92/assets/parts/2/8/5/7/09316-1.jpg</t>
  </si>
  <si>
    <t>Monocle Magnifier - Illuminated</t>
  </si>
  <si>
    <t>TOL-11952</t>
  </si>
  <si>
    <t>https://www.sparkfun.com/products/11952</t>
  </si>
  <si>
    <t>https://cdn.sparkfun.com/r/92-92/assets/parts/8/4/2/2/11952-01.jpg</t>
  </si>
  <si>
    <t>Flush Cutters - Hakko</t>
  </si>
  <si>
    <t>TOL-10410</t>
  </si>
  <si>
    <t>https://www.sparkfun.com/products/10410</t>
  </si>
  <si>
    <t>https://cdn.sparkfun.com/r/92-92/assets/parts/4/8/8/1/10410-01.jpg</t>
  </si>
  <si>
    <t>Panavise Jr. - Vacuum Base</t>
  </si>
  <si>
    <t>Connectors/Sockets/Terminals</t>
  </si>
  <si>
    <t>Servos/Motors/Actuators</t>
  </si>
  <si>
    <t>Visual Notification/Queuing</t>
  </si>
  <si>
    <t>Audible Notification/Queuing</t>
  </si>
  <si>
    <t>Home Base Station</t>
  </si>
  <si>
    <t>Hardware Components/Accessories</t>
  </si>
  <si>
    <t>Buttons/Switches/Knobs</t>
  </si>
  <si>
    <t>Location/Bearing</t>
  </si>
  <si>
    <t>Type</t>
  </si>
  <si>
    <t>Primary Component</t>
  </si>
  <si>
    <t>Secondary Component</t>
  </si>
  <si>
    <t>Hardware Component</t>
  </si>
  <si>
    <t>Low-Level Electronics</t>
  </si>
  <si>
    <t>Vitals/Environment Sensing</t>
  </si>
  <si>
    <t>QWIIC System/Components</t>
  </si>
  <si>
    <t>LiPO Battery Supply/Management</t>
  </si>
  <si>
    <t>PRT-08432</t>
  </si>
  <si>
    <t>https://www.sparkfun.com/products/8432</t>
  </si>
  <si>
    <t>https://cdn.sparkfun.com/r/92-92/assets/parts/1/3/6/5/2PinScrewTerminal-01-L.jpg</t>
  </si>
  <si>
    <t>Screw Terminals 5mm Pitch (2-Pin)</t>
  </si>
  <si>
    <t>PRT-10588</t>
  </si>
  <si>
    <t>https://www.sparkfun.com/products/10588</t>
  </si>
  <si>
    <t>https://cdn.sparkfun.com/r/92-92/assets/parts/5/2/2/9/10588-01a.jpg</t>
  </si>
  <si>
    <t>SparkFun Audio Jack Breakout</t>
  </si>
  <si>
    <t>PRT-10738</t>
  </si>
  <si>
    <t>https://www.sparkfun.com/products/10738</t>
  </si>
  <si>
    <t>https://cdn.sparkfun.com/r/92-92/assets/parts/5/6/4/4/10738-01.jpg</t>
  </si>
  <si>
    <t>Standoff - Metal (1\", 4-40, 10 pack)</t>
  </si>
  <si>
    <t>PRT-10450</t>
  </si>
  <si>
    <t>https://www.sparkfun.com/products/10450</t>
  </si>
  <si>
    <t>https://cdn.sparkfun.com/r/92-92/assets/parts/4/9/3/9/10450-02.jpg</t>
  </si>
  <si>
    <t>Screw - Phillips Head (1\", 4-40, 10 pack)</t>
  </si>
  <si>
    <t>SEN-13284</t>
  </si>
  <si>
    <t>https://www.sparkfun.com/products/13284</t>
  </si>
  <si>
    <t>https://cdn.sparkfun.com/r/92-92/assets/parts/1/0/5/3/3/13284-02.jpg</t>
  </si>
  <si>
    <t>SparkFun 9DoF IMU Breakout - LSM9DS1</t>
  </si>
  <si>
    <t>SEN-13762</t>
  </si>
  <si>
    <t>https://www.sparkfun.com/products/13762</t>
  </si>
  <si>
    <t>https://cdn.sparkfun.com/r/92-92/assets/parts/1/1/3/0/6/13762-00a.jpg</t>
  </si>
  <si>
    <t>SparkFun IMU Breakout - MPU-9250</t>
  </si>
  <si>
    <t>BOB-10160</t>
  </si>
  <si>
    <t>https://www.sparkfun.com/products/10160</t>
  </si>
  <si>
    <t>https://cdn.sparkfun.com/r/92-92/assets/parts/4/4/5/5/10160b-01.jpg</t>
  </si>
  <si>
    <t>SparkFun DeadOn RTC Breakout - DS3234</t>
  </si>
  <si>
    <t>BOB-12731</t>
  </si>
  <si>
    <t>https://www.sparkfun.com/products/12731</t>
  </si>
  <si>
    <t>https://cdn.sparkfun.com/r/92-92/assets/parts/9/4/9/6/12731-01.jpg</t>
  </si>
  <si>
    <t>SparkFun USB to Serial Breakout - FT232RL</t>
  </si>
  <si>
    <t>PRT-12699</t>
  </si>
  <si>
    <t>https://www.sparkfun.com/products/12699</t>
  </si>
  <si>
    <t>https://cdn.sparkfun.com/r/92-92/assets/parts/9/4/3/9/12699-02.jpg</t>
  </si>
  <si>
    <t>SparkFun Solder-able Breadboard - Large</t>
  </si>
  <si>
    <t>PRT-10463</t>
  </si>
  <si>
    <t>https://www.sparkfun.com/products/10463</t>
  </si>
  <si>
    <t>https://cdn.sparkfun.com/r/92-92/assets/parts/4/9/5/4/10463-01.jpg</t>
  </si>
  <si>
    <t>Standoff - Metal Hex (4-40; 3/8\"; 10 pack)</t>
  </si>
  <si>
    <t>DEV-13317</t>
  </si>
  <si>
    <t>https://www.sparkfun.com/products/13317</t>
  </si>
  <si>
    <t>https://cdn.sparkfun.com/r/92-92/assets/parts/1/0/6/0/3/13317-01.jpg</t>
  </si>
  <si>
    <t>SparkFun Big Red Box Proto Board</t>
  </si>
  <si>
    <t>PRT-13268</t>
  </si>
  <si>
    <t>https://www.sparkfun.com/products/13268</t>
  </si>
  <si>
    <t>https://cdn.sparkfun.com/r/92-92/assets/parts/1/0/4/8/9/13268-01.jpg</t>
  </si>
  <si>
    <t>SparkFun Snappable Protoboard</t>
  </si>
  <si>
    <t>GPS-00177</t>
  </si>
  <si>
    <t>https://www.sparkfun.com/products/177</t>
  </si>
  <si>
    <t>https://cdn.sparkfun.com/r/92-92/assets/parts/1/4/7/00177-01.jpg</t>
  </si>
  <si>
    <t>Antenna GPS Embedded SMA</t>
  </si>
  <si>
    <t>GPS-10920</t>
  </si>
  <si>
    <t>https://www.sparkfun.com/products/10920</t>
  </si>
  <si>
    <t>https://cdn.sparkfun.com/r/92-92/assets/parts/6/0/5/3/10920-01a.jpg</t>
  </si>
  <si>
    <t>SparkFun Venus GPS Logger - SMA Connector</t>
  </si>
  <si>
    <t>CAB-14043</t>
  </si>
  <si>
    <t>https://www.sparkfun.com/products/14043</t>
  </si>
  <si>
    <t>https://cdn.sparkfun.com/r/92-92/assets/parts/1/1/8/7/0/14043-01.jpg</t>
  </si>
  <si>
    <t>LIDAR-Lite Accessory Cable</t>
  </si>
  <si>
    <t>COM-10613</t>
  </si>
  <si>
    <t>https://www.sparkfun.com/products/10613</t>
  </si>
  <si>
    <t>https://cdn.sparkfun.com/r/92-92/assets/parts/5/2/6/9/10613-01.jpg</t>
  </si>
  <si>
    <t>Digital Potentiometer - 10K</t>
  </si>
  <si>
    <t>PRT-13126</t>
  </si>
  <si>
    <t>https://www.sparkfun.com/products/13126</t>
  </si>
  <si>
    <t>https://cdn.sparkfun.com/r/92-92/assets/parts/1/0/1/9/0/13126-01.jpg</t>
  </si>
  <si>
    <t>DC Barrel Jack Plug - Female</t>
  </si>
  <si>
    <t>SPX-14416</t>
  </si>
  <si>
    <t>https://www.sparkfun.com/products/14416</t>
  </si>
  <si>
    <t>https://cdn.sparkfun.com/r/92-92/assets/parts/1/2/4/4/2/20170801_112457_Scaled.jpg</t>
  </si>
  <si>
    <t>GeoFence - GPS Boundary Widget</t>
  </si>
  <si>
    <t>SEN-14117</t>
  </si>
  <si>
    <t>https://www.sparkfun.com/products/14117</t>
  </si>
  <si>
    <t>https://cdn.sparkfun.com/r/92-92/assets/parts/1/2/0/0/3/14117-04a.jpg</t>
  </si>
  <si>
    <t>Scanse Sweep</t>
  </si>
  <si>
    <t>COM-13316</t>
  </si>
  <si>
    <t>https://www.sparkfun.com/products/13316</t>
  </si>
  <si>
    <t>https://cdn.sparkfun.com/r/92-92/assets/parts/1/0/6/0/0/13316-01a.jpg</t>
  </si>
  <si>
    <t>EasyVR Shield 3.0 - Voice Recognition Shield</t>
  </si>
  <si>
    <t>DEV-14022</t>
  </si>
  <si>
    <t>https://www.sparkfun.com/products/14022</t>
  </si>
  <si>
    <t>https://cdn.sparkfun.com/r/92-92/assets/parts/1/1/8/2/8/14022-01a.jpg</t>
  </si>
  <si>
    <t>BITalino (r)evolution Board Kit</t>
  </si>
  <si>
    <t>LCD-12725</t>
  </si>
  <si>
    <t>https://www.sparkfun.com/products/12725</t>
  </si>
  <si>
    <t>https://cdn.sparkfun.com/r/92-92/assets/parts/9/4/8/2/12725-01.jpg</t>
  </si>
  <si>
    <t>Display Module - 7\" Touchscreen LCD</t>
  </si>
  <si>
    <t>GPS-13750</t>
  </si>
  <si>
    <t>https://www.sparkfun.com/products/13750</t>
  </si>
  <si>
    <t>https://cdn.sparkfun.com/r/92-92/assets/parts/1/1/2/8/4/13750-01.jpg</t>
  </si>
  <si>
    <t>SparkFun GPS Logger Shield</t>
  </si>
  <si>
    <t>Movement/IMU</t>
  </si>
  <si>
    <t>Breadboard/Protoboard</t>
  </si>
  <si>
    <t>Standoffs/Screws</t>
  </si>
  <si>
    <t>COM-09940</t>
  </si>
  <si>
    <t>https://www.sparkfun.com/products/9940</t>
  </si>
  <si>
    <t>https://cdn.sparkfun.com/r/92-92/assets/parts/4/0/5/0/09940-01.jpg</t>
  </si>
  <si>
    <t>Rotary Potentiometer - 10k Ohm, Logarithmic</t>
  </si>
  <si>
    <t>COM-09939</t>
  </si>
  <si>
    <t>https://www.sparkfun.com/products/9939</t>
  </si>
  <si>
    <t>https://cdn.sparkfun.com/r/92-92/assets/parts/4/0/4/9/09939-01.jpg</t>
  </si>
  <si>
    <t>Rotary Potentiometer - 10k Ohm, Linear</t>
  </si>
  <si>
    <t>COM-09288</t>
  </si>
  <si>
    <t>https://www.sparkfun.com/products/9288</t>
  </si>
  <si>
    <t>https://cdn.sparkfun.com/r/92-92/assets/parts/2/7/9/4/09288-1.jpg</t>
  </si>
  <si>
    <t>Rotary Potentiometer - Linear (10k ohm)</t>
  </si>
  <si>
    <t>COM-09117</t>
  </si>
  <si>
    <t>https://www.sparkfun.com/products/9117</t>
  </si>
  <si>
    <t>https://cdn.sparkfun.com/r/92-92/assets/parts/2/5/2/0/09117-03-L.jpg</t>
  </si>
  <si>
    <t>Rotary Encoder</t>
  </si>
  <si>
    <t>Passive Components</t>
  </si>
  <si>
    <t>GPS Logging/Fencing</t>
  </si>
  <si>
    <t>Lidar</t>
  </si>
  <si>
    <t>BOB-13263</t>
  </si>
  <si>
    <t>https://www.sparkfun.com/products/13263</t>
  </si>
  <si>
    <t>https://cdn.sparkfun.com/r/92-92/assets/parts/1/0/4/6/9/13263-01.jpg</t>
  </si>
  <si>
    <t>SparkFun FT231X Breakout</t>
  </si>
  <si>
    <t>DEV-12935</t>
  </si>
  <si>
    <t>https://www.sparkfun.com/products/12935</t>
  </si>
  <si>
    <t>https://cdn.sparkfun.com/r/92-92/assets/parts/9/8/6/1/12935-01.jpg</t>
  </si>
  <si>
    <t>SparkFun FTDI SmartBasic</t>
  </si>
  <si>
    <t>PRT-11476</t>
  </si>
  <si>
    <t>https://www.sparkfun.com/products/11476</t>
  </si>
  <si>
    <t>https://cdn.sparkfun.com/r/92-92/assets/parts/7/3/6/3/11476-01.jpg</t>
  </si>
  <si>
    <t>DC Barrel Jack Plug - Male</t>
  </si>
  <si>
    <t>PRT-10288</t>
  </si>
  <si>
    <t>https://www.sparkfun.com/products/10288</t>
  </si>
  <si>
    <t>https://cdn.sparkfun.com/r/92-92/assets/parts/4/6/8/4/10288-02.jpg</t>
  </si>
  <si>
    <t>DC Barrel Jack Adapter - Female</t>
  </si>
  <si>
    <t xml:space="preserve">Slip Ring - 6 Wire (2A) </t>
  </si>
  <si>
    <t>ROB-13064</t>
  </si>
  <si>
    <t>https://cdn.sparkfun.com/r/92-92/assets/parts/1/0/0/9/5/13064-01.jpg</t>
  </si>
  <si>
    <t>https://www.sparkfun.com/products/13064</t>
  </si>
  <si>
    <t>Equipment Classification Filtering</t>
  </si>
  <si>
    <t>Equipment Types</t>
  </si>
  <si>
    <t>Reminder Walker Functions</t>
  </si>
  <si>
    <t>Movement/Gesture Sensing</t>
  </si>
  <si>
    <t>User Queuing/Notification</t>
  </si>
  <si>
    <t xml:space="preserve">Processing/Control Unit </t>
  </si>
  <si>
    <t>Datalogging</t>
  </si>
  <si>
    <t>mBed Platform Base Station</t>
  </si>
  <si>
    <t>Intel Edison Iot/Base Station</t>
  </si>
  <si>
    <t>Java incorporating into Windows,Linux, OSX &amp; Android/iPhone</t>
  </si>
  <si>
    <t>Ethernet, C++ supporting Windows,Linux, OSX</t>
  </si>
  <si>
    <t>Smart-Home/IoT Network Integration (Fixed)</t>
  </si>
  <si>
    <t>Smart-Home/IoT Network Integration (Portable)</t>
  </si>
  <si>
    <t>MicroView Watch/Phone</t>
  </si>
  <si>
    <t xml:space="preserve">Realtek Ameba Handheld </t>
  </si>
  <si>
    <t>Ethernet,Wifi,USB+DDR2/Flash/uSD; MIPS CPU &amp; WAP: Linux LEDE(OpenWRT) &amp; C/C++,Python,NodeJS,Rust,Ruby,PHP,Perl,GoLang</t>
  </si>
  <si>
    <t>Ethernet, WiFi, NFC, USB OTG+ROM/SDRAM/SRAM, SDIO/SD control, ; 32-bit ARM: Windows/OSX &amp; Arduino IDE</t>
  </si>
  <si>
    <t>WiFi, BT4.0,USB OTG+1 GB LPDDR3/4GB eMMC  SD; Intel CPU+MCU (Atom/Quark): Yocto Linux, Arduino, C/C++, Python, Node.js, Wolfram,HTML5</t>
  </si>
  <si>
    <t>WiFi, BT4.0,USB OTG+1 GB LPDDR3/4GB eMMC/SD; Intel CPU+MCU (Atom/Quark): Yocto Linux, Arduino, C/C++, Python, Node.js, Wolfram,HTML5</t>
  </si>
  <si>
    <t>Ethernet, WiFi, BT4.0 + 4GB eMMC; MIPS CPU+ARM MCU: Linino (OpenWRT Linux derivative) &amp; Arduino IDE</t>
  </si>
  <si>
    <t>OLED+Flash; MCU: Arduino IDE</t>
  </si>
  <si>
    <t>Used to define a bounded region of space and raises an alert when the object of interest crosses over its boundary</t>
  </si>
  <si>
    <t xml:space="preserve">Maintain a record of GPS location </t>
  </si>
  <si>
    <t>Acquire detailed object/environment mapping</t>
  </si>
  <si>
    <t>Measuring user movement, accumulating then helps assess user activity level and patterns and potentially detect falls/etc.</t>
  </si>
  <si>
    <t>Touchscreen for easier interaction with walker system: set user preferences, access local/remote data, family/doctor FaceTime/Skype calls, etc.</t>
  </si>
  <si>
    <t>Make some features particularly emergency services able to be initiated via voice commands alone, perhaps some features restricted only to user voice</t>
  </si>
  <si>
    <t xml:space="preserve">System/kit of vitals/health status sensors measuring EMG/ECG/EEG, EDA; requires electrodes/biomedical sensor pads be attached to user body </t>
  </si>
  <si>
    <t>Antenna to be attached to GPS devices' SMA connectors</t>
  </si>
  <si>
    <t>Allows full/continuous Lidar rotation</t>
  </si>
  <si>
    <t>Required for Scanse Sweep</t>
  </si>
  <si>
    <t>MicroView Watch/Relay</t>
  </si>
  <si>
    <t>Realtek Ameba Handheld</t>
  </si>
  <si>
    <t>Linux + Arduino Home Base Station</t>
  </si>
  <si>
    <t>Smart Phone &amp; Computer App Companion</t>
  </si>
  <si>
    <t>Advanced &amp; Optional Components</t>
  </si>
  <si>
    <t>Vitals/Health Status Sensing</t>
  </si>
  <si>
    <t>Remote/Home IoT Communication</t>
  </si>
  <si>
    <t>User-System Interaction: Access/Control</t>
  </si>
  <si>
    <t>Successful Queuing Verification/Response</t>
  </si>
  <si>
    <t>Onion Omega2+ Handheld</t>
  </si>
  <si>
    <t>DEV-14439</t>
  </si>
  <si>
    <t>https://www.sparkfun.com/products/14439</t>
  </si>
  <si>
    <t>https://cdn.sparkfun.com/r/92-92/assets/parts/1/2/4/6/9/14439-03.jpg</t>
  </si>
  <si>
    <t>Expansion Dock for Onion Omega</t>
  </si>
  <si>
    <t>PRT-09771</t>
  </si>
  <si>
    <t>https://www.sparkfun.com/products/9771</t>
  </si>
  <si>
    <t>https://cdn.sparkfun.com/r/92-92/assets/parts/3/7/4/5/09771-04.jpg</t>
  </si>
  <si>
    <t>Theragrip Thermal Tape</t>
  </si>
  <si>
    <t>PRT-00121</t>
  </si>
  <si>
    <t>https://www.sparkfun.com/products/121</t>
  </si>
  <si>
    <t>https://cdn.sparkfun.com/r/92-92/assets/parts/1/1/0/00121-02.jpg</t>
  </si>
  <si>
    <t>Heatsink TO-220</t>
  </si>
  <si>
    <t>PRT-11510</t>
  </si>
  <si>
    <t>https://www.sparkfun.com/products/11510</t>
  </si>
  <si>
    <t>https://cdn.sparkfun.com/r/92-92/assets/parts/5/7/0/4/10746-02a.jpg</t>
  </si>
  <si>
    <t>Small Heatsink</t>
  </si>
  <si>
    <t>SEN-08733</t>
  </si>
  <si>
    <t>https://www.sparkfun.com/products/8733</t>
  </si>
  <si>
    <t>https://cdn.sparkfun.com/r/92-92/assets/parts/1/9/2/0/08733-03-L.jpg</t>
  </si>
  <si>
    <t>Infrared Sensor Jumper Wire - 3-Pin JST</t>
  </si>
  <si>
    <t>COM-00317</t>
  </si>
  <si>
    <t>https://www.sparkfun.com/products/317</t>
  </si>
  <si>
    <t>https://cdn.sparkfun.com/r/92-92/assets/parts/2/5/3/dc_dc_regulator.jpg</t>
  </si>
  <si>
    <t>Step Up/Down Inverting Switching Regulator</t>
  </si>
  <si>
    <t>PRT-12044</t>
  </si>
  <si>
    <t>https://www.sparkfun.com/products/12044</t>
  </si>
  <si>
    <t>https://cdn.sparkfun.com/r/92-92/assets/parts/8/6/2/7/12044-01.jpg</t>
  </si>
  <si>
    <t>Breadboard - Mini Modular (Red)</t>
  </si>
  <si>
    <t>DEV-11632</t>
  </si>
  <si>
    <t>https://www.sparkfun.com/products/11632</t>
  </si>
  <si>
    <t>https://cdn.sparkfun.com/r/92-92/assets/parts/7/6/8/8/11632-01.jpg</t>
  </si>
  <si>
    <t>IOIO and Breadboard Holder</t>
  </si>
  <si>
    <t>DEV-11723</t>
  </si>
  <si>
    <t>https://www.sparkfun.com/products/11723</t>
  </si>
  <si>
    <t>https://cdn.sparkfun.com/r/92-92/assets/parts/7/9/3/4/11723-01.jpg</t>
  </si>
  <si>
    <t>Mux Shield II</t>
  </si>
  <si>
    <t>TOL-12890</t>
  </si>
  <si>
    <t>https://www.sparkfun.com/products/12890</t>
  </si>
  <si>
    <t>https://cdn.sparkfun.com/r/92-92/assets/parts/9/7/8/2/12890-01.jpg</t>
  </si>
  <si>
    <t>Wall Adapter Power Supply - 5V DC 2A (USB Micro-B)</t>
  </si>
  <si>
    <t>BOB-13098</t>
  </si>
  <si>
    <t>https://www.sparkfun.com/products/13098</t>
  </si>
  <si>
    <t>https://cdn.sparkfun.com/r/92-92/assets/parts/1/0/1/4/0/13098-03.jpg</t>
  </si>
  <si>
    <t>SparkFun Rotary Switch Breakout</t>
  </si>
  <si>
    <t>COM-13253</t>
  </si>
  <si>
    <t>https://www.sparkfun.com/products/13253</t>
  </si>
  <si>
    <t>https://cdn.sparkfun.com/r/92-92/assets/parts/9/8/3/4/13253-01.jpg</t>
  </si>
  <si>
    <t>Rotary Switch - 10 Position</t>
  </si>
  <si>
    <t>BOB-13099</t>
  </si>
  <si>
    <t>https://www.sparkfun.com/products/13099</t>
  </si>
  <si>
    <t>https://cdn.sparkfun.com/r/92-92/assets/parts/1/0/1/4/1/13099-01.jpg</t>
  </si>
  <si>
    <t>SparkFun Rotary Switch Potentiometer Breakout</t>
  </si>
  <si>
    <t>DEV-13035</t>
  </si>
  <si>
    <t>https://www.sparkfun.com/products/13035</t>
  </si>
  <si>
    <t>https://cdn.sparkfun.com/r/92-92/assets/parts/1/0/0/3/6/13035-01.jpg</t>
  </si>
  <si>
    <t>SparkFun Block for IntelÂ® Edison - OLED</t>
  </si>
  <si>
    <t>BOB-13884</t>
  </si>
  <si>
    <t>https://www.sparkfun.com/products/13884</t>
  </si>
  <si>
    <t>https://cdn.sparkfun.com/r/92-92/assets/parts/1/1/5/2/0/13884-02.jpg</t>
  </si>
  <si>
    <t xml:space="preserve">SparkFun LED Driver Breakout - LP55231 </t>
  </si>
  <si>
    <t>BOB-13282</t>
  </si>
  <si>
    <t>https://www.sparkfun.com/products/13282</t>
  </si>
  <si>
    <t>https://cdn.sparkfun.com/r/92-92/assets/parts/1/0/5/2/2/13282-03.jpg</t>
  </si>
  <si>
    <t>SparkFun RGB LED Breakout - WS2812B</t>
  </si>
  <si>
    <t>COM-12014</t>
  </si>
  <si>
    <t>https://www.sparkfun.com/products/12014</t>
  </si>
  <si>
    <t>https://cdn.sparkfun.com/r/92-92/assets/parts/8/5/3/5/12014-01.jpg</t>
  </si>
  <si>
    <t>LED Light Bar - White (SMD)</t>
  </si>
  <si>
    <t>TOL-11784</t>
  </si>
  <si>
    <t>https://www.sparkfun.com/products/11784</t>
  </si>
  <si>
    <t>https://cdn.sparkfun.com/r/92-92/assets/parts/8/0/3/1/11784-05.jpg</t>
  </si>
  <si>
    <t>SparkFun Third Hand Kit</t>
  </si>
  <si>
    <t>DEV-13770</t>
  </si>
  <si>
    <t>https://www.sparkfun.com/products/13770</t>
  </si>
  <si>
    <t>https://cdn.sparkfun.com/r/92-92/assets/parts/1/1/3/2/1/13770-00.jpg</t>
  </si>
  <si>
    <t>SparkFun Block for Intel Edison - ADC</t>
  </si>
  <si>
    <t>DEV-14431</t>
  </si>
  <si>
    <t>https://www.sparkfun.com/products/14431</t>
  </si>
  <si>
    <t>https://cdn.sparkfun.com/r/92-92/assets/parts/1/2/4/6/1/14431-01.jpg</t>
  </si>
  <si>
    <t>Onion Omega2+ IoT Computer</t>
  </si>
  <si>
    <t>DEV-14443</t>
  </si>
  <si>
    <t>https://www.sparkfun.com/products/14443</t>
  </si>
  <si>
    <t>https://cdn.sparkfun.com/r/92-92/assets/parts/1/2/4/7/3/14443-01.jpg</t>
  </si>
  <si>
    <t>Proto Expansion Board for Onion Omega</t>
  </si>
  <si>
    <t>DEV-14446</t>
  </si>
  <si>
    <t>https://www.sparkfun.com/products/14446</t>
  </si>
  <si>
    <t>https://cdn.sparkfun.com/r/92-92/assets/parts/1/2/4/7/6/14446-01.jpg</t>
  </si>
  <si>
    <t>GPS Expansion Board for Onion Omega</t>
  </si>
  <si>
    <t>DEV-14442</t>
  </si>
  <si>
    <t>https://www.sparkfun.com/products/14442</t>
  </si>
  <si>
    <t>https://cdn.sparkfun.com/r/92-92/assets/parts/1/2/4/7/2/14442-01.jpg</t>
  </si>
  <si>
    <t>OLED Expansion Board for Onion Omega</t>
  </si>
  <si>
    <t>DEV-14441</t>
  </si>
  <si>
    <t>https://www.sparkfun.com/products/14441</t>
  </si>
  <si>
    <t>https://cdn.sparkfun.com/r/92-92/assets/parts/1/2/4/7/1/14441-02.jpg</t>
  </si>
  <si>
    <t>Ethernet Expansion Board for Onion Omega</t>
  </si>
  <si>
    <t>DEV-14438</t>
  </si>
  <si>
    <t>https://www.sparkfun.com/products/14438</t>
  </si>
  <si>
    <t>https://cdn.sparkfun.com/r/92-92/assets/parts/1/2/4/6/8/14438-01.jpg</t>
  </si>
  <si>
    <t>Arduino Dock R2 for Onion Omega</t>
  </si>
  <si>
    <t>TOL-10325</t>
  </si>
  <si>
    <t>https://www.sparkfun.com/products/10325</t>
  </si>
  <si>
    <t>https://cdn.sparkfun.com/r/92-92/assets/parts/4/7/3/3/10325-02.jpg</t>
  </si>
  <si>
    <t>Hobby Knife Replacement Blades</t>
  </si>
  <si>
    <t>Onion Omega2+ + Arduino Base Station</t>
  </si>
  <si>
    <t>LCD-00710</t>
  </si>
  <si>
    <t>https://www.sparkfun.com/products/710</t>
  </si>
  <si>
    <t>https://cdn.sparkfun.com/r/92-92/assets/parts/4/9/2/00710-01.jpg</t>
  </si>
  <si>
    <t>Graphic LCD 128x64 STN LED Backlight</t>
  </si>
  <si>
    <t>SPX-14257</t>
  </si>
  <si>
    <t>https://www.sparkfun.com/products/14257</t>
  </si>
  <si>
    <t>https://cdn.sparkfun.com/r/92-92/assets/parts/1/2/2/0/5/Qwiic_Mux_Shield_Arduino_04.jpg</t>
  </si>
  <si>
    <t>Qwiic Mux Shield for Arduino - PCA9548A</t>
  </si>
  <si>
    <t>SPX-14293</t>
  </si>
  <si>
    <t>https://www.sparkfun.com/products/14293</t>
  </si>
  <si>
    <t>https://cdn.sparkfun.com/r/92-92/assets/parts/1/2/2/5/2/Qwiic-Mux-PCA9548A-3.jpg</t>
  </si>
  <si>
    <t>Qwiic Mux - PCA9548A</t>
  </si>
  <si>
    <t>KIT-11734</t>
  </si>
  <si>
    <t>https://www.sparkfun.com/products/11734</t>
  </si>
  <si>
    <t>https://cdn.sparkfun.com/r/92-92/assets/parts/7/9/4/6/11734-01.jpg</t>
  </si>
  <si>
    <t>SparkFun BigTime Watch Kit</t>
  </si>
  <si>
    <t>TOL-13086</t>
  </si>
  <si>
    <t>https://www.sparkfun.com/products/13086</t>
  </si>
  <si>
    <t>https://cdn.sparkfun.com/r/92-92/assets/parts/1/0/1/2/0/13086-02.jpg</t>
  </si>
  <si>
    <t>Tool Kit - Beginner</t>
  </si>
  <si>
    <t>KIT-11488</t>
  </si>
  <si>
    <t>https://www.sparkfun.com/products/11488</t>
  </si>
  <si>
    <t>https://cdn.sparkfun.com/r/92-92/assets/parts/7/3/7/9/11488-04b.jpg</t>
  </si>
  <si>
    <t>Solder : Time II Watch Kit</t>
  </si>
  <si>
    <t>PRT-00114</t>
  </si>
  <si>
    <t>https://www.sparkfun.com/products/114</t>
  </si>
  <si>
    <t>https://cdn.sparkfun.com/r/92-92/assets/parts/1/0/4/00114-05.jpg</t>
  </si>
  <si>
    <t>SparkFun Breadboard Power Supply 5V/3.3V</t>
  </si>
  <si>
    <t>Comes in "Tool Kit - Beginner" TOL-13086</t>
  </si>
  <si>
    <t>For Luxeon Rebel High Power LED COM-09637</t>
  </si>
  <si>
    <t># &gt; 0 ? T/F</t>
  </si>
  <si>
    <t>COM-10994</t>
  </si>
  <si>
    <t>https://www.sparkfun.com/products/10994</t>
  </si>
  <si>
    <t>https://cdn.sparkfun.com/r/92-92/assets/parts/6/2/3/7/10994-01b.jpg</t>
  </si>
  <si>
    <t>Bare Conductive - Electric Paint (50ml)</t>
  </si>
  <si>
    <t>SEN-12041</t>
  </si>
  <si>
    <t>https://www.sparkfun.com/products/12041</t>
  </si>
  <si>
    <t>https://cdn.sparkfun.com/r/92-92/assets/parts/8/6/1/8/12041-01a.jpg</t>
  </si>
  <si>
    <t>SparkFun Capacitive Touch Breakout - AT42QT1010</t>
  </si>
  <si>
    <t>PRT-13144</t>
  </si>
  <si>
    <t>https://www.sparkfun.com/products/13144</t>
  </si>
  <si>
    <t>https://cdn.sparkfun.com/r/92-92/assets/parts/1/0/2/1/8/13144-02.jpg</t>
  </si>
  <si>
    <t>SparkFun Touch Potentiometer</t>
  </si>
  <si>
    <t>DEV-13298</t>
  </si>
  <si>
    <t>https://www.sparkfun.com/products/13298</t>
  </si>
  <si>
    <t>https://cdn.sparkfun.com/r/92-92/assets/parts/1/0/5/5/4/13298-02.jpg</t>
  </si>
  <si>
    <t>Bare Conductive Touch Board</t>
  </si>
  <si>
    <t>COM-13254</t>
  </si>
  <si>
    <t>https://www.sparkfun.com/products/13254</t>
  </si>
  <si>
    <t>https://cdn.sparkfun.com/r/92-92/assets/parts/1/0/4/5/5/13254-01.jpg</t>
  </si>
  <si>
    <t>Circuit Scribe Conductive Ink Pen</t>
  </si>
  <si>
    <t>PRT-13828</t>
  </si>
  <si>
    <t>https://www.sparkfun.com/products/13828</t>
  </si>
  <si>
    <t>https://cdn.sparkfun.com/r/92-92/assets/parts/1/1/4/2/3/13828-01.jpg</t>
  </si>
  <si>
    <t>Copper Tape - Conductive Adhesive, 2\" (50ft)</t>
  </si>
  <si>
    <t>PRT-11081</t>
  </si>
  <si>
    <t>https://www.sparkfun.com/products/11081</t>
  </si>
  <si>
    <t>https://cdn.sparkfun.com/r/92-92/assets/parts/6/4/7/1/11081-02.jpg</t>
  </si>
  <si>
    <t>Copper Tape - 2\" (50ft)</t>
  </si>
  <si>
    <t>PRT-10561</t>
  </si>
  <si>
    <t>https://www.sparkfun.com/products/10561</t>
  </si>
  <si>
    <t>https://cdn.sparkfun.com/r/92-92/assets/parts/5/1/8/1/10561-01.jpg</t>
  </si>
  <si>
    <t>Copper Tape - 5mm (50ft)</t>
  </si>
  <si>
    <t>PRT-13827</t>
  </si>
  <si>
    <t>https://www.sparkfun.com/products/13827</t>
  </si>
  <si>
    <t>https://cdn.sparkfun.com/r/92-92/assets/parts/1/1/4/2/2/13827-01.jpg</t>
  </si>
  <si>
    <t>Copper Tape - Conductive Adhesive, 5mm (50ft)</t>
  </si>
  <si>
    <t>PRT-09353</t>
  </si>
  <si>
    <t>https://www.sparkfun.com/products/9353</t>
  </si>
  <si>
    <t>https://cdn.sparkfun.com/r/92-92/assets/parts/2/9/2/3/09353-01.jpg</t>
  </si>
  <si>
    <t>Heat Shrink Kit</t>
  </si>
  <si>
    <t>COM-11521</t>
  </si>
  <si>
    <t>https://www.sparkfun.com/products/11521</t>
  </si>
  <si>
    <t>https://cdn.sparkfun.com/r/92-92/assets/parts/7/4/4/1/11521-02_1.jpg</t>
  </si>
  <si>
    <t>Bare Conductive - Electric Paint Pen (10ml)</t>
  </si>
  <si>
    <t>TOL-10951</t>
  </si>
  <si>
    <t>https://www.sparkfun.com/products/10951</t>
  </si>
  <si>
    <t>https://cdn.sparkfun.com/r/92-92/assets/parts/6/1/2/8/10951-01a.jpg</t>
  </si>
  <si>
    <t>Polymorph - 1000g</t>
  </si>
  <si>
    <t>TOL-10950</t>
  </si>
  <si>
    <t>https://www.sparkfun.com/products/10950</t>
  </si>
  <si>
    <t>https://cdn.sparkfun.com/r/92-92/assets/parts/6/1/2/7/10950-01.jpg</t>
  </si>
  <si>
    <t>Polymorph - 250g</t>
  </si>
  <si>
    <t>PRT-09599</t>
  </si>
  <si>
    <t>https://www.sparkfun.com/products/9599</t>
  </si>
  <si>
    <t>https://cdn.sparkfun.com/r/92-92/assets/parts/3/4/2/2/09599-01.jpg</t>
  </si>
  <si>
    <t>Heatsink Compound</t>
  </si>
  <si>
    <t>PRT-14340</t>
  </si>
  <si>
    <t>https://www.sparkfun.com/products/14340</t>
  </si>
  <si>
    <t>https://cdn.sparkfun.com/r/92-92/assets/parts/1/2/3/1/6/14340-01.jpg</t>
  </si>
  <si>
    <t>Medium Heatsink</t>
  </si>
  <si>
    <t>COM-12766</t>
  </si>
  <si>
    <t>https://www.sparkfun.com/products/12766</t>
  </si>
  <si>
    <t>https://cdn.sparkfun.com/r/92-92/assets/parts/4/4/2/4/12766-01.jpg</t>
  </si>
  <si>
    <t>Voltage Regulator - 12V</t>
  </si>
  <si>
    <t>COM-10827</t>
  </si>
  <si>
    <t>https://www.sparkfun.com/products/10827</t>
  </si>
  <si>
    <t>https://cdn.sparkfun.com/r/92-92/assets/parts/3/0/2/2/10827-02.jpg</t>
  </si>
  <si>
    <t>Voltage Regulator - BD10KA5W (500mA)</t>
  </si>
  <si>
    <t>BOB-00717</t>
  </si>
  <si>
    <t>https://www.sparkfun.com/products/717</t>
  </si>
  <si>
    <t>https://cdn.sparkfun.com/r/92-92/assets/parts/4/7/9/00717-01.jpg</t>
  </si>
  <si>
    <t>SparkFun SOT23 to DIP Adapter</t>
  </si>
  <si>
    <t>COM-10828</t>
  </si>
  <si>
    <t>https://www.sparkfun.com/products/10828</t>
  </si>
  <si>
    <t>https://cdn.sparkfun.com/r/92-92/assets/parts/3/0/2/1/10828-00.jpg</t>
  </si>
  <si>
    <t>Voltage Detector - NCP303</t>
  </si>
  <si>
    <t>COM-00595</t>
  </si>
  <si>
    <t>https://www.sparkfun.com/products/595</t>
  </si>
  <si>
    <t>https://cdn.sparkfun.com/r/92-92/assets/parts/4/1/4/LM1117.jpg</t>
  </si>
  <si>
    <t>Voltage Regulator - Adjustable LM1117 SMD</t>
  </si>
  <si>
    <t>Extras &amp; Alternatives</t>
  </si>
  <si>
    <t>COM-10442</t>
  </si>
  <si>
    <t>LED Tactile Button - Red</t>
  </si>
  <si>
    <t>BOB-10467</t>
  </si>
  <si>
    <t>https://www.sparkfun.com/products/10467</t>
  </si>
  <si>
    <t>https://cdn.sparkfun.com/r/92-92/assets/parts/4/9/5/9/10467-01.jpg</t>
  </si>
  <si>
    <t>LED Tactile Button Breakout</t>
  </si>
  <si>
    <t>https://www.sparkfun.com/products/10442</t>
  </si>
  <si>
    <t>https://cdn.sparkfun.com/r/92-92/assets/parts/4/9/3/0/10442-01.jpg</t>
  </si>
  <si>
    <t>Enclosures/Mounts</t>
  </si>
  <si>
    <t>Heat Insulation/Dissipation</t>
  </si>
  <si>
    <t>Trace/Shielding Construction</t>
  </si>
  <si>
    <t>COM-10095</t>
  </si>
  <si>
    <t>https://www.sparkfun.com/products/10095</t>
  </si>
  <si>
    <t>https://cdn.sparkfun.com/r/92-92/assets/parts/4/3/1/9/10095-01.jpg</t>
  </si>
  <si>
    <t>Break Away Headers - Right Angle 3x40</t>
  </si>
  <si>
    <t>Not needed if purchasing Hat-air Rework Station TOL-10706</t>
  </si>
  <si>
    <t>47 x 35 x 10mm</t>
  </si>
  <si>
    <t>PRT-12047</t>
  </si>
  <si>
    <t>https://www.sparkfun.com/products/12047</t>
  </si>
  <si>
    <t>https://cdn.sparkfun.com/r/92-92/assets/parts/8/6/3/0/12047-01.jpg</t>
  </si>
  <si>
    <t>Breadboard - Mini Modular (Black)</t>
  </si>
  <si>
    <t>PRT-12842</t>
  </si>
  <si>
    <t>https://www.sparkfun.com/products/12842</t>
  </si>
  <si>
    <t>https://cdn.sparkfun.com/r/92-92/assets/parts/9/6/9/2/12842-01.jpg</t>
  </si>
  <si>
    <t>BeagleBone Black Enclosure - Clear Plastic</t>
  </si>
  <si>
    <t>DEV-12774</t>
  </si>
  <si>
    <t>https://www.sparkfun.com/products/12774</t>
  </si>
  <si>
    <t>https://cdn.sparkfun.com/r/92-92/assets/parts/9/5/5/9/12774-02.jpg</t>
  </si>
  <si>
    <t>SparkFun BeagleBone Black Proto Cape</t>
  </si>
  <si>
    <t>DEV-12086</t>
  </si>
  <si>
    <t>https://www.sparkfun.com/products/12086</t>
  </si>
  <si>
    <t>https://cdn.sparkfun.com/r/92-92/assets/parts/8/7/1/8/12086-01.jpg</t>
  </si>
  <si>
    <t>BeagleBone Black Cape - LCD (7.0\")</t>
  </si>
  <si>
    <t>DEV-12085</t>
  </si>
  <si>
    <t>https://www.sparkfun.com/products/12085</t>
  </si>
  <si>
    <t>https://cdn.sparkfun.com/r/92-92/assets/parts/8/7/1/7/12085-01.jpg</t>
  </si>
  <si>
    <t>BeagleBone Black Cape - LCD (4.3\")</t>
  </si>
  <si>
    <t>DEV-14162</t>
  </si>
  <si>
    <t>https://www.sparkfun.com/products/14162</t>
  </si>
  <si>
    <t>https://cdn.sparkfun.com/r/92-92/assets/parts/1/2/0/7/6/14162-02.jpg</t>
  </si>
  <si>
    <t>BeagleBone Black Wireless</t>
  </si>
  <si>
    <t>COM-09609</t>
  </si>
  <si>
    <t>https://www.sparkfun.com/products/9609</t>
  </si>
  <si>
    <t>https://cdn.sparkfun.com/r/92-92/assets/parts/3/4/3/1/09609-01.jpg</t>
  </si>
  <si>
    <t>SPDT Slide Switch</t>
  </si>
  <si>
    <t>SEN-09197</t>
  </si>
  <si>
    <t>https://www.sparkfun.com/products/9197</t>
  </si>
  <si>
    <t>https://cdn.sparkfun.com/r/92-92/assets/parts/2/6/4/3/09197-02-L.jpg</t>
  </si>
  <si>
    <t>Piezo Vibration Sensor - Large with Mass</t>
  </si>
  <si>
    <t>SEN-09198</t>
  </si>
  <si>
    <t>https://www.sparkfun.com/products/9198</t>
  </si>
  <si>
    <t>https://cdn.sparkfun.com/r/92-92/assets/parts/2/6/4/4/09198-03-L.jpg</t>
  </si>
  <si>
    <t>Piezo Vibration Sensor - Small Horizontal</t>
  </si>
  <si>
    <t>SEN-09199</t>
  </si>
  <si>
    <t>https://www.sparkfun.com/products/9199</t>
  </si>
  <si>
    <t>https://cdn.sparkfun.com/r/92-92/assets/parts/2/6/4/5/09199-03-L.jpg</t>
  </si>
  <si>
    <t>Piezo Vibration Sensor - Small Vertical</t>
  </si>
  <si>
    <t xml:space="preserve">WiFi, BT4.0,USB,HDMI+512MB DDR3/4GB eMMC  SD,3D; 1GHz ARM+2xPRU 32b-MCU: Debian/Android + WinCE/Ubuntu/Yocto/Linaro/TI/Fedora &amp; Node.js + C/C++,HTML, CSS, PHP, Java, Ruby </t>
  </si>
  <si>
    <t>Jumper Wires Premium 6\" M/M - 20 AWG (10 Pack)</t>
  </si>
  <si>
    <t>PRT-11709</t>
  </si>
  <si>
    <t>PRT-09915</t>
  </si>
  <si>
    <t>https://www.sparkfun.com/products/9915</t>
  </si>
  <si>
    <t>https://cdn.sparkfun.com/r/92-92/assets/parts/4/0/2/1/09915-02b.jpg</t>
  </si>
  <si>
    <t>JST Jumper 3 Wire Assembly</t>
  </si>
  <si>
    <t>PRT-08097</t>
  </si>
  <si>
    <t>https://www.sparkfun.com/products/8097</t>
  </si>
  <si>
    <t>https://cdn.sparkfun.com/r/92-92/assets/parts/6/6/3/Connectors.jpg</t>
  </si>
  <si>
    <t>Polarized Connectors - Housing (4-Pin)</t>
  </si>
  <si>
    <t>PRT-10501</t>
  </si>
  <si>
    <t>https://www.sparkfun.com/products/10501</t>
  </si>
  <si>
    <t>https://cdn.sparkfun.com/r/92-92/assets/parts/5/0/3/5/10501-01.jpg</t>
  </si>
  <si>
    <t>JST RCY Connector - Male/Female Set (2-pin)</t>
  </si>
  <si>
    <t>PRT-08233</t>
  </si>
  <si>
    <t>https://www.sparkfun.com/products/8233</t>
  </si>
  <si>
    <t>https://cdn.sparkfun.com/r/92-92/assets/parts/5/5/8/Connectors.jpg</t>
  </si>
  <si>
    <t>Polarized Connectors - Header (2-Pin)</t>
  </si>
  <si>
    <t>PRT-08231</t>
  </si>
  <si>
    <t>https://www.sparkfun.com/products/8231</t>
  </si>
  <si>
    <t>https://cdn.sparkfun.com/r/92-92/assets/parts/4/9/9/Connectors.jpg</t>
  </si>
  <si>
    <t>Polarized Connectors - Header (4-Pin)</t>
  </si>
  <si>
    <t>PRT-08095</t>
  </si>
  <si>
    <t>https://www.sparkfun.com/products/8095</t>
  </si>
  <si>
    <t>https://cdn.sparkfun.com/r/92-92/assets/parts/6/6/1/08095-03-L.jpg</t>
  </si>
  <si>
    <t>Polarized Connectors - Housing (2-Pin)</t>
  </si>
  <si>
    <t>PRT-08073</t>
  </si>
  <si>
    <t>https://www.sparkfun.com/products/8073</t>
  </si>
  <si>
    <t>https://cdn.sparkfun.com/r/92-92/assets/parts/6/5/2/08073-01.jpg</t>
  </si>
  <si>
    <t>Spring Terminals - PCB Mount (2-Pin)</t>
  </si>
  <si>
    <t>PRT-08232</t>
  </si>
  <si>
    <t>https://www.sparkfun.com/products/8232</t>
  </si>
  <si>
    <t>https://cdn.sparkfun.com/r/92-92/assets/parts/1/7/0/8/Connectors.jpg</t>
  </si>
  <si>
    <t>Polarized Connectors - Header (3-Pin)</t>
  </si>
  <si>
    <t>PRT-08096</t>
  </si>
  <si>
    <t>https://www.sparkfun.com/products/8096</t>
  </si>
  <si>
    <t>https://cdn.sparkfun.com/r/92-92/assets/parts/6/6/2/Connectors.jpg</t>
  </si>
  <si>
    <t>Polarized Connectors - Housing (3-Pin)</t>
  </si>
  <si>
    <t>PRT-08026</t>
  </si>
  <si>
    <t>https://www.sparkfun.com/products/8026</t>
  </si>
  <si>
    <t>https://cdn.sparkfun.com/r/92-92/assets/parts/6/4/6/08026-01.jpg</t>
  </si>
  <si>
    <t>Hook-up Wire - White (22 AWG)</t>
  </si>
  <si>
    <t>PRT-08024</t>
  </si>
  <si>
    <t>https://www.sparkfun.com/products/8024</t>
  </si>
  <si>
    <t>https://cdn.sparkfun.com/r/92-92/assets/parts/6/4/4/08024-01a.jpg</t>
  </si>
  <si>
    <t>Hook-up Wire - Yellow (22 AWG)</t>
  </si>
  <si>
    <t>PRT-08022</t>
  </si>
  <si>
    <t>https://www.sparkfun.com/products/8022</t>
  </si>
  <si>
    <t>https://cdn.sparkfun.com/r/92-92/assets/parts/6/4/2/08022-01.jpg</t>
  </si>
  <si>
    <t>Hook-up Wire - Black (22 AWG)</t>
  </si>
  <si>
    <t>PRT-08023</t>
  </si>
  <si>
    <t>https://www.sparkfun.com/products/8023</t>
  </si>
  <si>
    <t>https://cdn.sparkfun.com/r/92-92/assets/parts/6/4/3/08023-01.jpg</t>
  </si>
  <si>
    <t>Hook-up Wire - Red (22 AWG)</t>
  </si>
  <si>
    <t>SEN-12916</t>
  </si>
  <si>
    <t>https://www.sparkfun.com/products/12916</t>
  </si>
  <si>
    <t>https://cdn.sparkfun.com/r/92-92/assets/parts/9/8/2/8/12916-01.jpg</t>
  </si>
  <si>
    <t>SparkFun HMC6343 Breakout</t>
  </si>
  <si>
    <t>BeagleBone Black Iot/Base Station</t>
  </si>
  <si>
    <t>Wall/Breadboard Power Supply</t>
  </si>
  <si>
    <t>Total</t>
  </si>
  <si>
    <t>Total Price</t>
  </si>
  <si>
    <t>PRT-08433</t>
  </si>
  <si>
    <t>https://www.sparkfun.com/products/8433</t>
  </si>
  <si>
    <t>https://cdn.sparkfun.com/r/92-92/assets/parts/1/3/6/4/3PinScrewTerminal-01-L.jpg</t>
  </si>
  <si>
    <t>Screw Terminals 5mm Pitch (3-Pin)</t>
  </si>
  <si>
    <t>PRT-08074</t>
  </si>
  <si>
    <t>https://www.sparkfun.com/products/8074</t>
  </si>
  <si>
    <t>https://cdn.sparkfun.com/r/92-92/assets/parts/6/5/3/08074-01.jpg</t>
  </si>
  <si>
    <t>Spring Terminals - PCB Mount (3-Pin)</t>
  </si>
  <si>
    <t>SEN-09375</t>
  </si>
  <si>
    <t>https://www.sparkfun.com/products/9375</t>
  </si>
  <si>
    <t>https://cdn.sparkfun.com/r/92-92/assets/parts/2/9/6/7/09375-1.jpg</t>
  </si>
  <si>
    <t>Force Sensitive Resistor 0.5\"</t>
  </si>
  <si>
    <t>SEN-08606</t>
  </si>
  <si>
    <t>https://www.sparkfun.com/products/8606</t>
  </si>
  <si>
    <t>https://cdn.sparkfun.com/r/92-92/assets/parts/1/6/8/6/08606-03-L.jpg</t>
  </si>
  <si>
    <t>Flex Sensor 4.5\"</t>
  </si>
  <si>
    <t>SEN-09674</t>
  </si>
  <si>
    <t>https://www.sparkfun.com/products/9674</t>
  </si>
  <si>
    <t>https://cdn.sparkfun.com/r/92-92/assets/parts/3/5/3/8/09674-01.jpg</t>
  </si>
  <si>
    <t>Force Sensitive Resistor - Long</t>
  </si>
  <si>
    <t>SEN-09673</t>
  </si>
  <si>
    <t>https://www.sparkfun.com/products/9673</t>
  </si>
  <si>
    <t>https://cdn.sparkfun.com/r/92-92/assets/parts/3/5/3/7/09673-01.jpg</t>
  </si>
  <si>
    <t>Force Sensitive Resistor - Small</t>
  </si>
  <si>
    <t>Voice Recognition</t>
  </si>
  <si>
    <t>Touchscreen</t>
  </si>
  <si>
    <t>High-Precision Compass</t>
  </si>
  <si>
    <t>Equipment PO List</t>
  </si>
  <si>
    <t>TOL-12878</t>
  </si>
  <si>
    <t>https://www.sparkfun.com/products/12878</t>
  </si>
  <si>
    <t>https://cdn.sparkfun.com/r/92-92/assets/parts/9/7/6/3/12878-01.jpg</t>
  </si>
  <si>
    <t>Solder Paste - 50g (Lead Free)</t>
  </si>
  <si>
    <t>COM-09938</t>
  </si>
  <si>
    <t>https://www.sparkfun.com/products/9938</t>
  </si>
  <si>
    <t>https://cdn.sparkfun.com/r/92-92/assets/parts/3/9/3/1/09935-01.jpg</t>
  </si>
  <si>
    <t>10 Segment LED Bar Graph - Green</t>
  </si>
  <si>
    <t>COM-00312</t>
  </si>
  <si>
    <t>https://www.sparkfun.com/products/312</t>
  </si>
  <si>
    <t>https://cdn.sparkfun.com/r/92-92/assets/parts/2/4/7/ULN2803A.jpg</t>
  </si>
  <si>
    <t>Darlington Driver 8-Channel ULN2803 DIP</t>
  </si>
  <si>
    <t>COM-13885</t>
  </si>
  <si>
    <t>https://www.sparkfun.com/products/13885</t>
  </si>
  <si>
    <t>https://cdn.sparkfun.com/r/92-92/assets/parts/1/1/5/2/2/13885-01.jpg</t>
  </si>
  <si>
    <t>Transistor Array - ULN2803 (3 Pack)</t>
  </si>
  <si>
    <t>BOB-13655</t>
  </si>
  <si>
    <t>https://www.sparkfun.com/products/13655</t>
  </si>
  <si>
    <t>https://cdn.sparkfun.com/r/92-92/assets/parts/1/1/0/6/6/13655-01.jpg</t>
  </si>
  <si>
    <t>SparkFun SOIC to DIP Adapter - 8-Pin</t>
  </si>
  <si>
    <t>BOB-00495</t>
  </si>
  <si>
    <t>https://www.sparkfun.com/products/495</t>
  </si>
  <si>
    <t>https://cdn.sparkfun.com/r/92-92/assets/parts/2/8/1/00495-01.jpg</t>
  </si>
  <si>
    <t>SparkFun SOIC to DIP Adapter - 20-Pin</t>
  </si>
  <si>
    <t>BOB-13994</t>
  </si>
  <si>
    <t>https://www.sparkfun.com/products/13994</t>
  </si>
  <si>
    <t>https://cdn.sparkfun.com/r/92-92/assets/parts/1/1/7/6/7/13994-01.jpg</t>
  </si>
  <si>
    <t>SparkFun SSOP to DIP Adapter - 16-Pin</t>
  </si>
  <si>
    <t>BOB-00497</t>
  </si>
  <si>
    <t>https://www.sparkfun.com/products/497</t>
  </si>
  <si>
    <t>https://cdn.sparkfun.com/r/92-92/assets/parts/2/8/2/00497-01b.jpg</t>
  </si>
  <si>
    <t>SparkFun SSOP to DIP Adapter - 8-Pin</t>
  </si>
  <si>
    <t>BOB-00500</t>
  </si>
  <si>
    <t>https://www.sparkfun.com/products/500</t>
  </si>
  <si>
    <t>https://cdn.sparkfun.com/r/92-92/assets/parts/3/4/0/00500-01.jpg</t>
  </si>
  <si>
    <t>SparkFun SSOP to DIP Adapter - 28-Pin</t>
  </si>
  <si>
    <t>BOB-00496</t>
  </si>
  <si>
    <t>https://www.sparkfun.com/products/496</t>
  </si>
  <si>
    <t>https://cdn.sparkfun.com/r/92-92/assets/parts/1/6/2/00496-1.jpg</t>
  </si>
  <si>
    <t>SparkFun SOIC to DIP Adapter - 28-Pin</t>
  </si>
  <si>
    <t>COM-11107</t>
  </si>
  <si>
    <t>https://www.sparkfun.com/products/11107</t>
  </si>
  <si>
    <t>https://cdn.sparkfun.com/r/92-92/assets/parts/9/1/1/11107-01.jpg</t>
  </si>
  <si>
    <t>MSP430 SMD IC</t>
  </si>
  <si>
    <t>BOB-00499</t>
  </si>
  <si>
    <t>https://www.sparkfun.com/products/499</t>
  </si>
  <si>
    <t>https://cdn.sparkfun.com/r/92-92/assets/parts/2/8/3/00499-01.jpg</t>
  </si>
  <si>
    <t>SparkFun SSOP to DIP Adapter - 20-Pin</t>
  </si>
  <si>
    <t>Play .wav files from uSD, drives speakers</t>
  </si>
  <si>
    <t>WRL-11924</t>
  </si>
  <si>
    <t>https://www.sparkfun.com/products/11924</t>
  </si>
  <si>
    <t>https://cdn.sparkfun.com/r/92-92/assets/parts/8/3/8/0/11924-01.jpg</t>
  </si>
  <si>
    <t>SparkFun Purpletooth Jamboree - BC127 Development Board</t>
  </si>
  <si>
    <t>WRL-11927</t>
  </si>
  <si>
    <t>https://www.sparkfun.com/products/11927</t>
  </si>
  <si>
    <t>https://cdn.sparkfun.com/r/92-92/assets/parts/8/3/8/7/11927-01.jpg</t>
  </si>
  <si>
    <t>SparkFun Bluetooth Audio Breakout - BC127</t>
  </si>
  <si>
    <t>BOB-09868</t>
  </si>
  <si>
    <t>https://www.sparkfun.com/products/9868</t>
  </si>
  <si>
    <t>https://cdn.sparkfun.com/r/92-92/assets/parts/3/9/5/1/09868-01a.jpg</t>
  </si>
  <si>
    <t>SparkFun MEMS Microphone Breakout - INMP401 (ADMP401)</t>
  </si>
  <si>
    <t>Bluetooth Audio</t>
  </si>
  <si>
    <t>CAB-11604</t>
  </si>
  <si>
    <t>https://www.sparkfun.com/products/11604</t>
  </si>
  <si>
    <t>https://cdn.sparkfun.com/r/92-92/assets/parts/7/6/2/8/11604-01.jpg</t>
  </si>
  <si>
    <t>USB OTG Cable - Female A to Micro A - 4\"</t>
  </si>
  <si>
    <t>CAB-10215</t>
  </si>
  <si>
    <t>https://www.sparkfun.com/products/10215</t>
  </si>
  <si>
    <t>https://cdn.sparkfun.com/r/92-92/assets/parts/4/5/5/8/10215-01.jpg</t>
  </si>
  <si>
    <t>USB micro-B Cable - 6 Foot</t>
  </si>
  <si>
    <t>CAB-13244</t>
  </si>
  <si>
    <t>https://www.sparkfun.com/products/13244</t>
  </si>
  <si>
    <t>https://cdn.sparkfun.com/r/92-92/assets/parts/1/0/4/3/0/13244-01.jpg</t>
  </si>
  <si>
    <t>USB Micro-B Cable - 6\"</t>
  </si>
  <si>
    <t>CAB-14276</t>
  </si>
  <si>
    <t>https://www.sparkfun.com/products/14276</t>
  </si>
  <si>
    <t>https://cdn.sparkfun.com/r/92-92/assets/parts/1/2/2/3/1/14276-01.jpg</t>
  </si>
  <si>
    <t>USB OTG Cable - Female A to Micro B - 5in</t>
  </si>
  <si>
    <t>COM-08635</t>
  </si>
  <si>
    <t>https://www.sparkfun.com/products/8635</t>
  </si>
  <si>
    <t>https://cdn.sparkfun.com/r/92-92/assets/parts/1/7/6/9/08635-03-L.jpg</t>
  </si>
  <si>
    <t>Electret Microphone</t>
  </si>
  <si>
    <t>LCD-09568</t>
  </si>
  <si>
    <t>https://www.sparkfun.com/products/9568</t>
  </si>
  <si>
    <t>https://cdn.sparkfun.com/r/92-92/assets/parts/3/3/4/6/09568Actiona.jpg</t>
  </si>
  <si>
    <t>Serial Enabled 20x4 LCD - Black on Green 5V</t>
  </si>
  <si>
    <t>PRT-12885</t>
  </si>
  <si>
    <t>https://www.sparkfun.com/products/12885</t>
  </si>
  <si>
    <t>https://cdn.sparkfun.com/r/92-92/assets/parts/9/7/7/2/12885-01.jpg</t>
  </si>
  <si>
    <t>SparkFun Sunny Buddy - MPPT Solar Charger</t>
  </si>
  <si>
    <t>PRT-08535</t>
  </si>
  <si>
    <t>https://www.sparkfun.com/products/8535</t>
  </si>
  <si>
    <t>https://cdn.sparkfun.com/r/92-92/assets/parts/1/2/4/8/CAB-08535-03-L.jpg</t>
  </si>
  <si>
    <t>2x5 Pin IDC Ribbon Cable</t>
  </si>
  <si>
    <t>PRT-10877</t>
  </si>
  <si>
    <t>https://www.sparkfun.com/products/10877</t>
  </si>
  <si>
    <t>https://cdn.sparkfun.com/r/92-92/assets/parts/5/9/3/3/10877-01b.jpg</t>
  </si>
  <si>
    <t>2x3 Pin Shrouded Header</t>
  </si>
  <si>
    <t>PRT-08506</t>
  </si>
  <si>
    <t>https://www.sparkfun.com/products/8506</t>
  </si>
  <si>
    <t>https://cdn.sparkfun.com/r/92-92/assets/parts/1/1/7/4/08506-02.jpg</t>
  </si>
  <si>
    <t>2x5 Pin Shrouded Header</t>
  </si>
  <si>
    <t>DEV-09215</t>
  </si>
  <si>
    <t>https://www.sparkfun.com/products/9215</t>
  </si>
  <si>
    <t>https://cdn.sparkfun.com/r/92-92/assets/parts/2/6/7/5/09215-3.jpg</t>
  </si>
  <si>
    <t>AVR Programming Cable</t>
  </si>
  <si>
    <t>KIT-11591</t>
  </si>
  <si>
    <t>https://www.sparkfun.com/products/11591</t>
  </si>
  <si>
    <t>https://cdn.sparkfun.com/r/92-92/assets/parts/7/5/9/7/11591-02.jpg</t>
  </si>
  <si>
    <t>SparkFun ISP Pogo Adapter</t>
  </si>
  <si>
    <t>PRT-09739</t>
  </si>
  <si>
    <t>https://www.sparkfun.com/products/9739</t>
  </si>
  <si>
    <t>https://cdn.sparkfun.com/r/92-92/assets/parts/3/6/9/3/09739-01.jpg</t>
  </si>
  <si>
    <t>Binding Post - Red</t>
  </si>
  <si>
    <t>COM-08928</t>
  </si>
  <si>
    <t>https://www.sparkfun.com/products/8928</t>
  </si>
  <si>
    <t>https://cdn.sparkfun.com/r/92-92/assets/parts/2/2/0/7/08928-03-L.jpg</t>
  </si>
  <si>
    <t>Transistor - NPN (BC547)</t>
  </si>
  <si>
    <t>COM-10213</t>
  </si>
  <si>
    <t>https://www.sparkfun.com/products/10213</t>
  </si>
  <si>
    <t>https://cdn.sparkfun.com/r/92-92/assets/parts/4/5/5/5/10213-01.jpg</t>
  </si>
  <si>
    <t>N-Channel MOSFET 60V 30A</t>
  </si>
  <si>
    <t>COM-10349</t>
  </si>
  <si>
    <t>https://www.sparkfun.com/products/10349</t>
  </si>
  <si>
    <t>https://cdn.sparkfun.com/r/92-92/assets/parts/4/7/7/8/10349-01.jpg</t>
  </si>
  <si>
    <t>P-Channel MOSFET 60V 27A</t>
  </si>
  <si>
    <t>COM-00522</t>
  </si>
  <si>
    <t>https://www.sparkfun.com/products/522</t>
  </si>
  <si>
    <t>https://cdn.sparkfun.com/r/92-92/assets/parts/1/6/5/00522-1.jpg</t>
  </si>
  <si>
    <t>Transistor - PNP (2N3906)</t>
  </si>
  <si>
    <t>COM-00521</t>
  </si>
  <si>
    <t>https://www.sparkfun.com/products/521</t>
  </si>
  <si>
    <t>https://cdn.sparkfun.com/r/92-92/assets/parts/2/9/9/00521-1.jpg</t>
  </si>
  <si>
    <t>Transistor - NPN (2N3904)</t>
  </si>
  <si>
    <t>COM-12901</t>
  </si>
  <si>
    <t>https://www.sparkfun.com/products/12901</t>
  </si>
  <si>
    <t>https://cdn.sparkfun.com/r/92-92/assets/parts/9/8/0/2/12901-01.jpg</t>
  </si>
  <si>
    <t>P-Channel MOSFET 20V 24A - low Vgs(th)</t>
  </si>
  <si>
    <t>PRT-09740</t>
  </si>
  <si>
    <t>https://www.sparkfun.com/products/9740</t>
  </si>
  <si>
    <t>https://cdn.sparkfun.com/r/92-92/assets/parts/3/6/9/4/09740-01.jpg</t>
  </si>
  <si>
    <t>Binding Post - Black</t>
  </si>
  <si>
    <t>PRT-10650</t>
  </si>
  <si>
    <t>https://www.sparkfun.com/products/10650</t>
  </si>
  <si>
    <t>https://cdn.sparkfun.com/r/92-92/assets/parts/5/4/2/5/10650-02.jpg</t>
  </si>
  <si>
    <t>Ribbon Crimp Connector - 10-pin (2x5, Female)</t>
  </si>
  <si>
    <t>PRT-10651</t>
  </si>
  <si>
    <t>https://www.sparkfun.com/products/10651</t>
  </si>
  <si>
    <t>https://cdn.sparkfun.com/r/92-92/assets/parts/5/4/2/6/10651-02.jpg</t>
  </si>
  <si>
    <t>Ribbon Crimp Connector - 6-pin (2x3, Female)</t>
  </si>
  <si>
    <t>CAB-10649</t>
  </si>
  <si>
    <t>https://www.sparkfun.com/products/10649</t>
  </si>
  <si>
    <t>https://cdn.sparkfun.com/r/92-92/assets/parts/5/4/2/4/10649-01.jpg</t>
  </si>
  <si>
    <t>Ribbon Cable - 10 wire (3ft)</t>
  </si>
  <si>
    <t>CAB-10646</t>
  </si>
  <si>
    <t>https://www.sparkfun.com/products/10646</t>
  </si>
  <si>
    <t>https://cdn.sparkfun.com/r/92-92/assets/parts/5/4/2/1/10646-02.jpg</t>
  </si>
  <si>
    <t>Ribbon Cable - 6 wire (15ft)</t>
  </si>
  <si>
    <t>CAB-10647</t>
  </si>
  <si>
    <t>https://www.sparkfun.com/products/10647</t>
  </si>
  <si>
    <t>https://cdn.sparkfun.com/r/92-92/assets/parts/5/4/2/2/10647-04.jpg</t>
  </si>
  <si>
    <t>Ribbon Cable - 10 wire (15ft)</t>
  </si>
  <si>
    <t>Energy Harvesting</t>
  </si>
  <si>
    <t>USB/Serial Interface Breakouts</t>
  </si>
  <si>
    <t>Communication/Power Cables</t>
  </si>
  <si>
    <t>AVR/ISP Programmer Adapters/Cables</t>
  </si>
  <si>
    <t>Signal Multiplexing/Conditioning</t>
  </si>
  <si>
    <t>Jumper Wires, PTH</t>
  </si>
  <si>
    <t>Jumper Wires, JST</t>
  </si>
  <si>
    <t>Ribbon Cables</t>
  </si>
  <si>
    <t>Jumper Wires, Mixed</t>
  </si>
  <si>
    <t>Solid/Stranded Hookup Wire</t>
  </si>
  <si>
    <t>Hand Tools</t>
  </si>
  <si>
    <t>Solder/SMD Rework Tools</t>
  </si>
  <si>
    <t>PCB/Breadboard Work Tools</t>
  </si>
  <si>
    <t>MCU/Development Board</t>
  </si>
  <si>
    <t>DIP/TO-#/SMD Components</t>
  </si>
  <si>
    <t>Phone/Computer App Companion</t>
  </si>
  <si>
    <r>
      <t>Onion Omega2</t>
    </r>
    <r>
      <rPr>
        <vertAlign val="superscript"/>
        <sz val="11"/>
        <color theme="1"/>
        <rFont val="Calibri"/>
        <family val="2"/>
        <scheme val="minor"/>
      </rPr>
      <t>+</t>
    </r>
    <r>
      <rPr>
        <sz val="11"/>
        <color theme="1"/>
        <rFont val="Calibri"/>
        <family val="2"/>
        <scheme val="minor"/>
      </rPr>
      <t xml:space="preserve"> + Arduino Base Station</t>
    </r>
  </si>
  <si>
    <r>
      <t>Onion Omega2</t>
    </r>
    <r>
      <rPr>
        <vertAlign val="superscript"/>
        <sz val="11"/>
        <color theme="1"/>
        <rFont val="Calibri"/>
        <family val="2"/>
        <scheme val="minor"/>
      </rPr>
      <t>+</t>
    </r>
    <r>
      <rPr>
        <sz val="11"/>
        <color theme="1"/>
        <rFont val="Calibri"/>
        <family val="2"/>
        <scheme val="minor"/>
      </rPr>
      <t xml:space="preserve"> Handheld</t>
    </r>
  </si>
  <si>
    <t>Description/Comments</t>
  </si>
  <si>
    <t>TOL-08964</t>
  </si>
  <si>
    <t>https://www.sparkfun.com/products/8964</t>
  </si>
  <si>
    <t>https://cdn.sparkfun.com/r/92-92/assets/parts/2/2/6/8/08964-02-L.jpg</t>
  </si>
  <si>
    <t>Brass Sponge</t>
  </si>
  <si>
    <t>TOL-12078</t>
  </si>
  <si>
    <t>https://www.sparkfun.com/products/12078</t>
  </si>
  <si>
    <t>https://cdn.sparkfun.com/r/92-92/assets/parts/8/6/9/5/12078-01.jpg</t>
  </si>
  <si>
    <t>Multimeter Probes - Needle Tipped</t>
  </si>
  <si>
    <t>TOL-11528</t>
  </si>
  <si>
    <t>https://www.sparkfun.com/products/11528</t>
  </si>
  <si>
    <t>https://cdn.sparkfun.com/r/92-92/assets/parts/7/4/5/3/11528-01.jpg</t>
  </si>
  <si>
    <t>Modular Plastic Storage Box - Medium (4 pack)</t>
  </si>
  <si>
    <t>TOL-11527</t>
  </si>
  <si>
    <t>https://www.sparkfun.com/products/11527</t>
  </si>
  <si>
    <t>https://cdn.sparkfun.com/r/92-92/assets/parts/7/4/5/2/11527-01.jpg</t>
  </si>
  <si>
    <t>Modular Plastic Storage Box - Small (10 pack)</t>
  </si>
  <si>
    <t>TOL-07925</t>
  </si>
  <si>
    <t>https://www.sparkfun.com/products/7925</t>
  </si>
  <si>
    <t>https://cdn.sparkfun.com/r/92-92/assets/parts/6/0/7/07925-01.jpg</t>
  </si>
  <si>
    <t>Hot-air Rework Nozzles - Y1126</t>
  </si>
  <si>
    <t>TOL-14226</t>
  </si>
  <si>
    <t>https://www.sparkfun.com/products/14226</t>
  </si>
  <si>
    <t>https://cdn.sparkfun.com/r/92-92/assets/parts/1/2/1/7/1/14226-02.jpg</t>
  </si>
  <si>
    <t>Weller Portasol Butane Soldering Iron Kit</t>
  </si>
  <si>
    <t>TOL-08793</t>
  </si>
  <si>
    <t>https://www.sparkfun.com/products/8793</t>
  </si>
  <si>
    <t>https://cdn.sparkfun.com/r/92-92/assets/parts/2/0/3/3/08793-03-L.jpg</t>
  </si>
  <si>
    <t>Needle Nose Pliers</t>
  </si>
  <si>
    <t>TOL-13203</t>
  </si>
  <si>
    <t>https://www.sparkfun.com/products/13203</t>
  </si>
  <si>
    <t>https://cdn.sparkfun.com/r/92-92/assets/parts/1/0/3/4/4/13203-01.jpg</t>
  </si>
  <si>
    <t>Solder Vacuum</t>
  </si>
  <si>
    <t>Storage/Organization</t>
  </si>
  <si>
    <t>PRT-08025</t>
  </si>
  <si>
    <t>https://www.sparkfun.com/products/8025</t>
  </si>
  <si>
    <t>https://cdn.sparkfun.com/r/92-92/assets/parts/6/4/5/08025-01.jpg</t>
  </si>
  <si>
    <t>Hook-up Wire - Gray (22 AWG)</t>
  </si>
  <si>
    <t>PRT-08027</t>
  </si>
  <si>
    <t>https://www.sparkfun.com/products/8027</t>
  </si>
  <si>
    <t>https://cdn.sparkfun.com/r/92-92/assets/parts/6/4/7/08027-01.jpg</t>
  </si>
  <si>
    <t>Hook-up Wire - Brown (22 AWG)</t>
  </si>
  <si>
    <t>PRT-11367</t>
  </si>
  <si>
    <t>https://www.sparkfun.com/products/11367</t>
  </si>
  <si>
    <t>https://cdn.sparkfun.com/r/92-92/assets/parts/7/1/0/8/11367-04a.jpg</t>
  </si>
  <si>
    <t>Hook-Up Wire - Assortment (Solid Core, 22 AWG)</t>
  </si>
  <si>
    <t>Silver Metal Knob - 14x24mm</t>
  </si>
  <si>
    <t>COM-10001</t>
  </si>
  <si>
    <t>PRT-00139</t>
  </si>
  <si>
    <t>https://www.sparkfun.com/products/139</t>
  </si>
  <si>
    <t>https://cdn.sparkfun.com/r/92-92/assets/parts/1/2/3/00139-03-L.jpg</t>
  </si>
  <si>
    <t>USB Female Type B Connector</t>
  </si>
  <si>
    <t>COM-13999</t>
  </si>
  <si>
    <t>https://www.sparkfun.com/products/13999</t>
  </si>
  <si>
    <t>https://cdn.sparkfun.com/r/92-92/assets/parts/1/1/7/7/2/13999-01.jpg</t>
  </si>
  <si>
    <t>Dual 7-Segment Display - LED (RGB)</t>
  </si>
  <si>
    <t>COM-13834</t>
  </si>
  <si>
    <t>https://www.sparkfun.com/products/13834</t>
  </si>
  <si>
    <t>https://cdn.sparkfun.com/r/92-92/assets/parts/1/1/4/3/1/13834-01.jpg</t>
  </si>
  <si>
    <t>Cherry MX Switch</t>
  </si>
  <si>
    <t>COM-11621</t>
  </si>
  <si>
    <t>https://www.sparkfun.com/products/11621</t>
  </si>
  <si>
    <t>https://cdn.sparkfun.com/r/92-92/assets/parts/7/6/5/5/11621-01.jpg</t>
  </si>
  <si>
    <t>Slide Pot - Medium (10k Linear Taper)</t>
  </si>
  <si>
    <t>COM-10982</t>
  </si>
  <si>
    <t>https://www.sparkfun.com/products/10982</t>
  </si>
  <si>
    <t>https://cdn.sparkfun.com/r/92-92/assets/parts/6/2/1/9/10982-01a.jpg</t>
  </si>
  <si>
    <t>Rotary Encoder - Illuminated (RGB)</t>
  </si>
  <si>
    <t>COM-09426</t>
  </si>
  <si>
    <t>https://www.sparkfun.com/products/9426</t>
  </si>
  <si>
    <t>https://cdn.sparkfun.com/r/92-92/assets/parts/3/0/7/2/09426-01.jpg</t>
  </si>
  <si>
    <t>Thumb Slide Joystick</t>
  </si>
  <si>
    <t>COM-10063</t>
  </si>
  <si>
    <t>https://www.sparkfun.com/products/10063</t>
  </si>
  <si>
    <t>https://cdn.sparkfun.com/r/92-92/assets/parts/4/3/3/7/10063-01.jpg</t>
  </si>
  <si>
    <t>5-way Tactile Switch</t>
  </si>
  <si>
    <t>COM-09120</t>
  </si>
  <si>
    <t>https://www.sparkfun.com/products/9120</t>
  </si>
  <si>
    <t>https://cdn.sparkfun.com/r/92-92/assets/parts/2/5/2/5/09120-03-L.jpg</t>
  </si>
  <si>
    <t>Slide Potentiometer Knob</t>
  </si>
  <si>
    <t>COM-11620</t>
  </si>
  <si>
    <t>https://www.sparkfun.com/products/11620</t>
  </si>
  <si>
    <t>https://cdn.sparkfun.com/r/92-92/assets/parts/7/6/5/4/11620-01.jpg</t>
  </si>
  <si>
    <t>Slide Pot - Small (10k Linear Taper)</t>
  </si>
  <si>
    <t>COM-10596</t>
  </si>
  <si>
    <t>https://www.sparkfun.com/products/10596</t>
  </si>
  <si>
    <t>https://cdn.sparkfun.com/r/92-92/assets/parts/5/2/3/9/10596-01.jpg</t>
  </si>
  <si>
    <t>Rotary Encoder - Illuminated (Red/Green)</t>
  </si>
  <si>
    <t>COM-10441</t>
  </si>
  <si>
    <t>https://www.sparkfun.com/products/10441</t>
  </si>
  <si>
    <t>https://cdn.sparkfun.com/r/92-92/assets/parts/4/9/2/9/10441-01b.jpg</t>
  </si>
  <si>
    <t>LED Tactile Button - Orange</t>
  </si>
  <si>
    <t>COM-10439</t>
  </si>
  <si>
    <t>https://www.sparkfun.com/products/10439</t>
  </si>
  <si>
    <t>https://cdn.sparkfun.com/r/92-92/assets/parts/4/9/2/7/10439-01.jpg</t>
  </si>
  <si>
    <t>LED Tactile Button- White</t>
  </si>
  <si>
    <t>BOB-09966</t>
  </si>
  <si>
    <t>https://www.sparkfun.com/products/9966</t>
  </si>
  <si>
    <t>https://cdn.sparkfun.com/r/92-92/assets/parts/4/0/9/9/09966-01.jpg</t>
  </si>
  <si>
    <t>SparkFun USB Mini-B Breakout</t>
  </si>
  <si>
    <t>BOB-12035</t>
  </si>
  <si>
    <t>https://www.sparkfun.com/products/12035</t>
  </si>
  <si>
    <t>https://cdn.sparkfun.com/r/92-92/assets/parts/8/5/7/8/12035-01.jpg</t>
  </si>
  <si>
    <t>SparkFun microB USB Breakout</t>
  </si>
  <si>
    <t>BOB-10031</t>
  </si>
  <si>
    <t>https://www.sparkfun.com/products/10031</t>
  </si>
  <si>
    <t>https://cdn.sparkfun.com/r/92-92/assets/parts/4/2/1/8/10031-01a.jpg</t>
  </si>
  <si>
    <t>SparkFun USB MicroB Plug Breakout</t>
  </si>
  <si>
    <t>COM-11408</t>
  </si>
  <si>
    <t>https://www.sparkfun.com/products/11408</t>
  </si>
  <si>
    <t>https://cdn.sparkfun.com/r/92-92/assets/parts/7/1/9/9/11408-03.jpg</t>
  </si>
  <si>
    <t>7-Segment Display - 20mm (Blue)</t>
  </si>
  <si>
    <t>BOB-11722</t>
  </si>
  <si>
    <t>https://www.sparkfun.com/products/11722</t>
  </si>
  <si>
    <t>https://cdn.sparkfun.com/r/92-92/assets/parts/7/9/3/3/11722-03.jpg</t>
  </si>
  <si>
    <t>SparkFun Rotary Encoder Breakout - Illuminated (RG/RGB)</t>
  </si>
  <si>
    <r>
      <t>Onion Omega2</t>
    </r>
    <r>
      <rPr>
        <vertAlign val="superscript"/>
        <sz val="11"/>
        <color rgb="FF00B0F0"/>
        <rFont val="Calibri"/>
        <family val="2"/>
        <scheme val="minor"/>
      </rPr>
      <t>+</t>
    </r>
    <r>
      <rPr>
        <sz val="11"/>
        <color rgb="FF00B0F0"/>
        <rFont val="Calibri"/>
        <family val="2"/>
        <scheme val="minor"/>
      </rPr>
      <t xml:space="preserve"> + Arduino Base Station</t>
    </r>
  </si>
  <si>
    <r>
      <t>Onion Omega2</t>
    </r>
    <r>
      <rPr>
        <vertAlign val="superscript"/>
        <sz val="11"/>
        <color rgb="FF00B0F0"/>
        <rFont val="Calibri"/>
        <family val="2"/>
        <scheme val="minor"/>
      </rPr>
      <t>+</t>
    </r>
    <r>
      <rPr>
        <sz val="11"/>
        <color rgb="FF00B0F0"/>
        <rFont val="Calibri"/>
        <family val="2"/>
        <scheme val="minor"/>
      </rPr>
      <t xml:space="preserve"> Handheld</t>
    </r>
  </si>
  <si>
    <t>DEV-14082</t>
  </si>
  <si>
    <t>https://www.sparkfun.com/products/14082</t>
  </si>
  <si>
    <t>https://cdn.sparkfun.com/r/92-92/assets/parts/1/1/9/4/5/14082-01.jpg</t>
  </si>
  <si>
    <t>STEMTera (Black)</t>
  </si>
  <si>
    <t>DEV-11814</t>
  </si>
  <si>
    <t>https://www.sparkfun.com/products/11814</t>
  </si>
  <si>
    <t>https://cdn.sparkfun.com/r/92-92/assets/parts/8/1/4/6/11814-01.jpg</t>
  </si>
  <si>
    <t>USB-to-Serial Bridge - ÂµUSB-PA5</t>
  </si>
  <si>
    <t>LCD-11677</t>
  </si>
  <si>
    <t>https://www.sparkfun.com/products/11677</t>
  </si>
  <si>
    <t>https://cdn.sparkfun.com/r/92-92/assets/parts/7/7/7/7/11677-01.jpg</t>
  </si>
  <si>
    <t>Serial TFT LCD - 3.2\" with Touchscreen (uLCD-32PTU-GFX)</t>
  </si>
  <si>
    <t>PRT-08598</t>
  </si>
  <si>
    <t>https://www.sparkfun.com/products/8598</t>
  </si>
  <si>
    <t>https://cdn.sparkfun.com/r/92-92/assets/parts/1/6/3/9/08598-03-L.jpg</t>
  </si>
  <si>
    <t>Jumper Wire - JST to Molex</t>
  </si>
  <si>
    <t>PRT-09918</t>
  </si>
  <si>
    <t>https://www.sparkfun.com/products/9918</t>
  </si>
  <si>
    <t>https://cdn.sparkfun.com/r/92-92/assets/parts/4/0/2/4/09918-01.jpg</t>
  </si>
  <si>
    <t>Molex Jumper 2 Wire Assembly</t>
  </si>
  <si>
    <t>PRT-08612</t>
  </si>
  <si>
    <t>https://www.sparkfun.com/products/8612</t>
  </si>
  <si>
    <t>https://cdn.sparkfun.com/r/92-92/assets/parts/1/6/9/6/08612-04-L.jpg</t>
  </si>
  <si>
    <t>JST Right Angle Connector - White</t>
  </si>
  <si>
    <t>PRT-08613</t>
  </si>
  <si>
    <t>https://www.sparkfun.com/products/8613</t>
  </si>
  <si>
    <t>https://cdn.sparkfun.com/r/92-92/assets/parts/1/6/9/7/08613-04-L.jpg</t>
  </si>
  <si>
    <t>JST Vertical Connector</t>
  </si>
  <si>
    <t>PRT-09922</t>
  </si>
  <si>
    <t>https://www.sparkfun.com/products/9922</t>
  </si>
  <si>
    <t>https://cdn.sparkfun.com/r/92-92/assets/parts/4/0/2/8/09922-01.jpg</t>
  </si>
  <si>
    <t>Molex Jumper 6 Wire Assembly</t>
  </si>
  <si>
    <t>DEV-07914</t>
  </si>
  <si>
    <t>https://www.sparkfun.com/products/7914</t>
  </si>
  <si>
    <t>https://cdn.sparkfun.com/r/92-92/assets/parts/5/6/3/07914-001.jpg</t>
  </si>
  <si>
    <t>SparkFun ProtoShield Kit</t>
  </si>
  <si>
    <t>PRT-12790</t>
  </si>
  <si>
    <t>https://www.sparkfun.com/products/12790</t>
  </si>
  <si>
    <t>https://cdn.sparkfun.com/r/92-92/assets/parts/9/6/0/8/12790-01.jpg</t>
  </si>
  <si>
    <t>Stackable Header - 2x23 Pin Female</t>
  </si>
  <si>
    <t>TOL-09442</t>
  </si>
  <si>
    <t>https://www.sparkfun.com/products/9442</t>
  </si>
  <si>
    <t>https://cdn.sparkfun.com/r/92-92/assets/parts/3/1/2/4/09442-01.jpg</t>
  </si>
  <si>
    <t>Wall Adapter Power Supply - 12VDC 600mA</t>
  </si>
  <si>
    <t>LCD-11741</t>
  </si>
  <si>
    <t>https://www.sparkfun.com/products/11741</t>
  </si>
  <si>
    <t>https://cdn.sparkfun.com/r/92-92/assets/parts/7/9/6/3/11741-01a.jpg</t>
  </si>
  <si>
    <t>Arduino Display Module - 3.2\" Touchscreen LCD</t>
  </si>
  <si>
    <t>SPX-14269</t>
  </si>
  <si>
    <t>https://www.sparkfun.com/products/14269</t>
  </si>
  <si>
    <t>https://cdn.sparkfun.com/r/92-92/assets/parts/1/2/2/2/4/Qwiic_Micro_OLED_04.jpg</t>
  </si>
  <si>
    <t>Qwiic Micro OLED</t>
  </si>
  <si>
    <t>PRT-12791</t>
  </si>
  <si>
    <t>https://www.sparkfun.com/products/12791</t>
  </si>
  <si>
    <t>https://cdn.sparkfun.com/r/92-92/assets/parts/9/6/0/9/12791-01.jpg</t>
  </si>
  <si>
    <t>Header - 2x23-pin Male (PTH, 0.1\")</t>
  </si>
  <si>
    <t>DEV-11649</t>
  </si>
  <si>
    <t>https://www.sparkfun.com/products/11649</t>
  </si>
  <si>
    <t>https://cdn.sparkfun.com/r/92-92/assets/parts/7/7/2/8/11649-Built_Up.jpg</t>
  </si>
  <si>
    <t>SparkFun Danger Shield</t>
  </si>
  <si>
    <t>COM-11477</t>
  </si>
  <si>
    <t>https://www.sparkfun.com/products/11477</t>
  </si>
  <si>
    <t>https://cdn.sparkfun.com/r/92-92/assets/parts/7/3/6/4/11477-03.jpg</t>
  </si>
  <si>
    <t>Lamp Switch - SPST (inline)</t>
  </si>
  <si>
    <t>PRT-10361</t>
  </si>
  <si>
    <t>https://www.sparkfun.com/products/10361</t>
  </si>
  <si>
    <t>https://cdn.sparkfun.com/r/92-92/assets/parts/4/8/1/3/10361-01.jpg</t>
  </si>
  <si>
    <t>JST SH Jumper 6 Wire Assembly - 8\"</t>
  </si>
  <si>
    <t>SPX-14324</t>
  </si>
  <si>
    <t>https://www.sparkfun.com/products/14324</t>
  </si>
  <si>
    <t>https://cdn.sparkfun.com/r/92-92/assets/parts/1/2/2/9/0/Qwiic_Connector_SMD-White-2.jpg</t>
  </si>
  <si>
    <t>Qwiic Connector SMD - White 10 Pcs</t>
  </si>
  <si>
    <t>GPS-00574</t>
  </si>
  <si>
    <t>https://www.sparkfun.com/products/574</t>
  </si>
  <si>
    <t>https://cdn.sparkfun.com/r/92-92/assets/parts/3/9/3/GPS-Cable.jpg</t>
  </si>
  <si>
    <t>JST SH Jumper 6 Wire  - 1.75\"</t>
  </si>
  <si>
    <t>GPS-09123</t>
  </si>
  <si>
    <t>https://www.sparkfun.com/products/9123</t>
  </si>
  <si>
    <t>https://cdn.sparkfun.com/r/92-92/assets/parts/2/5/3/7/09123-03-L.jpg</t>
  </si>
  <si>
    <t>JST SH Jumper 6 Wire  - 1 Foot</t>
  </si>
  <si>
    <t>PRT-10359</t>
  </si>
  <si>
    <t>https://www.sparkfun.com/products/10359</t>
  </si>
  <si>
    <t>https://cdn.sparkfun.com/r/92-92/assets/parts/4/8/1/1/10359-01.jpg</t>
  </si>
  <si>
    <t>JST SH Jumper 4 Wire Assembly - 8\"</t>
  </si>
  <si>
    <t>PRT-14429</t>
  </si>
  <si>
    <t>https://www.sparkfun.com/products/14429</t>
  </si>
  <si>
    <t>https://cdn.sparkfun.com/r/92-92/assets/parts/1/2/4/5/5/14429-01.jpg</t>
  </si>
  <si>
    <t>Qwiic Cable - 500mm</t>
  </si>
  <si>
    <t>SPX-14289</t>
  </si>
  <si>
    <t>https://www.sparkfun.com/products/14289</t>
  </si>
  <si>
    <t>https://cdn.sparkfun.com/r/92-92/assets/parts/1/2/2/4/8/Qwiic-AK9750-3.jpg</t>
  </si>
  <si>
    <t>Qwiic Human Presence Sensor - AK9750</t>
  </si>
  <si>
    <t>DEV-13712</t>
  </si>
  <si>
    <t>https://www.sparkfun.com/products/13712</t>
  </si>
  <si>
    <t>https://cdn.sparkfun.com/r/92-92/assets/parts/1/1/2/0/2/13712-01a.jpg</t>
  </si>
  <si>
    <t>SparkFun OpenLog</t>
  </si>
  <si>
    <t>COM-09119</t>
  </si>
  <si>
    <t>https://www.sparkfun.com/products/9119</t>
  </si>
  <si>
    <t>https://cdn.sparkfun.com/r/92-92/assets/parts/2/5/2/4/09119-01a.jpg</t>
  </si>
  <si>
    <t>Slide Pot - X-Large (10k Linear Taper)</t>
  </si>
  <si>
    <t>PRT-12070</t>
  </si>
  <si>
    <t>https://www.sparkfun.com/products/12070</t>
  </si>
  <si>
    <t>https://cdn.sparkfun.com/r/92-92/assets/parts/8/6/7/7/12070-01.jpg</t>
  </si>
  <si>
    <t>SparkFun Solder-able Breadboard</t>
  </si>
  <si>
    <t>PRT-07937</t>
  </si>
  <si>
    <t>https://www.sparkfun.com/products/7937</t>
  </si>
  <si>
    <t>https://cdn.sparkfun.com/r/92-92/assets/parts/2/2/4/DIP-8.jpg</t>
  </si>
  <si>
    <t>DIP Sockets Solder Tail - 8-Pin</t>
  </si>
  <si>
    <t>PRT-12702</t>
  </si>
  <si>
    <t>https://www.sparkfun.com/products/12702</t>
  </si>
  <si>
    <t>https://cdn.sparkfun.com/r/92-92/assets/parts/9/4/4/3/12702-01.jpg</t>
  </si>
  <si>
    <t>SparkFun Solder-able Breadboard - Mini</t>
  </si>
  <si>
    <t>BOB-12758</t>
  </si>
  <si>
    <t>https://www.sparkfun.com/products/12758</t>
  </si>
  <si>
    <t>https://cdn.sparkfun.com/r/92-92/assets/parts/9/5/2/0/12758-02.jpg</t>
  </si>
  <si>
    <t>SparkFun Electret Microphone Breakout</t>
  </si>
  <si>
    <t>PRT-09750</t>
  </si>
  <si>
    <t>https://www.sparkfun.com/products/9750</t>
  </si>
  <si>
    <t>https://cdn.sparkfun.com/r/92-92/assets/parts/3/7/1/0/09750-01.jpg</t>
  </si>
  <si>
    <t>JST Right Angle Connector - Through-Hole 3-Pin</t>
  </si>
  <si>
    <t>PRT-12978</t>
  </si>
  <si>
    <t>https://www.sparkfun.com/products/12978</t>
  </si>
  <si>
    <t>https://cdn.sparkfun.com/r/92-92/assets/parts/9/9/1/9/12978-01.jpg</t>
  </si>
  <si>
    <t>Alligator Test Leads - Multicolored (10 Pack)</t>
  </si>
  <si>
    <t>CAB-00509</t>
  </si>
  <si>
    <t>https://www.sparkfun.com/products/509</t>
  </si>
  <si>
    <t>https://cdn.sparkfun.com/r/92-92/assets/parts/3/4/9/00509-1.jpg</t>
  </si>
  <si>
    <t>Banana to Alligator Cable</t>
  </si>
  <si>
    <t>CAB-00506</t>
  </si>
  <si>
    <t>https://www.sparkfun.com/products/506</t>
  </si>
  <si>
    <t>https://cdn.sparkfun.com/r/92-92/assets/parts/3/4/6/00506-02-L.jpg</t>
  </si>
  <si>
    <t>Banana to IC Hook Cables</t>
  </si>
  <si>
    <t>CAB-09486</t>
  </si>
  <si>
    <t>https://www.sparkfun.com/products/9486</t>
  </si>
  <si>
    <t>https://cdn.sparkfun.com/r/92-92/assets/parts/3/2/1/7/09486-01.jpg</t>
  </si>
  <si>
    <t>BNC Probe Kit</t>
  </si>
  <si>
    <t>CAB-00508</t>
  </si>
  <si>
    <t>https://www.sparkfun.com/products/508</t>
  </si>
  <si>
    <t>https://cdn.sparkfun.com/r/92-92/assets/parts/3/4/8/00508-02-L.jpg</t>
  </si>
  <si>
    <t>Banana to Alligator Coax Cable</t>
  </si>
  <si>
    <t>TOL-10829</t>
  </si>
  <si>
    <t>https://www.sparkfun.com/products/10829</t>
  </si>
  <si>
    <t>https://cdn.sparkfun.com/r/92-92/assets/parts/5/8/3/0/10829-01.jpg</t>
  </si>
  <si>
    <t>Smart SMD Tester</t>
  </si>
  <si>
    <t>Jumper Wires, Molex</t>
  </si>
  <si>
    <t>Connectors, JST</t>
  </si>
  <si>
    <t>Connectors, Ribbon Crimp</t>
  </si>
  <si>
    <t>Connectors, Polarized (Molex)</t>
  </si>
  <si>
    <t>Connectors, USB</t>
  </si>
  <si>
    <t>Connectors, Spring/Screw Terminals</t>
  </si>
  <si>
    <t>Connectors/Sockets/Terminals, Other</t>
  </si>
  <si>
    <t>Flip-Pins</t>
  </si>
  <si>
    <t>Headers, Male</t>
  </si>
  <si>
    <t>Headers, Female</t>
  </si>
  <si>
    <t>Headers, Stackable</t>
  </si>
  <si>
    <t>Plugs/Jacks/Adapters, Audio</t>
  </si>
  <si>
    <t>Plugs/Jacks/Adapters, Barrel Jack</t>
  </si>
  <si>
    <t>Data &amp; Signal Logging/Monitoring</t>
  </si>
  <si>
    <t>Vendors</t>
  </si>
  <si>
    <t>Adafruit</t>
  </si>
  <si>
    <t>Seeed Studio</t>
  </si>
  <si>
    <t>DFRobot</t>
  </si>
  <si>
    <t>Arduino</t>
  </si>
  <si>
    <t>RobotShop</t>
  </si>
  <si>
    <t>LynxMotion</t>
  </si>
  <si>
    <t>MCPros</t>
  </si>
  <si>
    <t>Digi-Key</t>
  </si>
  <si>
    <t>Mouser</t>
  </si>
  <si>
    <t>Out of Stock</t>
  </si>
  <si>
    <t>Single Unit Purchase Item</t>
  </si>
  <si>
    <t>Standard Item</t>
  </si>
  <si>
    <t>A</t>
  </si>
  <si>
    <t>B</t>
  </si>
  <si>
    <t>C</t>
  </si>
  <si>
    <t>D</t>
  </si>
  <si>
    <t>E</t>
  </si>
  <si>
    <t>Key :</t>
  </si>
  <si>
    <t>Row Formatting</t>
  </si>
  <si>
    <t>Format Shortcut Tag</t>
  </si>
  <si>
    <t>Tag</t>
  </si>
  <si>
    <t>Per Customer QTY Restriction</t>
  </si>
  <si>
    <t>Format Encoded Info Definitions</t>
  </si>
  <si>
    <r>
      <t xml:space="preserve">Qty = </t>
    </r>
    <r>
      <rPr>
        <b/>
        <sz val="11"/>
        <color theme="0"/>
        <rFont val="Calibri"/>
        <family val="2"/>
      </rPr>
      <t>ƒ(</t>
    </r>
    <r>
      <rPr>
        <b/>
        <sz val="11"/>
        <color theme="0"/>
        <rFont val="Calibri"/>
        <family val="2"/>
        <scheme val="minor"/>
      </rPr>
      <t># Walker Units)</t>
    </r>
  </si>
  <si>
    <t>MAX(Qty.) = 1</t>
  </si>
  <si>
    <t>Qty = 0</t>
  </si>
  <si>
    <t>uSD</t>
  </si>
  <si>
    <t>Pri mary</t>
  </si>
  <si>
    <t>Secondary</t>
  </si>
  <si>
    <t>USB</t>
  </si>
  <si>
    <t>BarrelJack</t>
  </si>
  <si>
    <t>LiPO Battery</t>
  </si>
  <si>
    <t>Column5</t>
  </si>
  <si>
    <t>Column6</t>
  </si>
  <si>
    <t>Column7</t>
  </si>
  <si>
    <t>Column8</t>
  </si>
  <si>
    <t>Column9</t>
  </si>
  <si>
    <t>Column10</t>
  </si>
  <si>
    <t>Column11</t>
  </si>
  <si>
    <t>Column12</t>
  </si>
  <si>
    <t>Column13</t>
  </si>
  <si>
    <t>Column14</t>
  </si>
  <si>
    <t>Column15</t>
  </si>
  <si>
    <t>Column16</t>
  </si>
  <si>
    <t>Column17</t>
  </si>
  <si>
    <t>3.3V/5V</t>
  </si>
  <si>
    <t>OUT</t>
  </si>
  <si>
    <t>Qty</t>
  </si>
  <si>
    <t>CHG</t>
  </si>
  <si>
    <t xml:space="preserve"> DIP/TO-#/SMD Components</t>
  </si>
  <si>
    <t xml:space="preserve"> Headers</t>
  </si>
  <si>
    <t xml:space="preserve"> Male</t>
  </si>
  <si>
    <t>0</t>
  </si>
  <si>
    <t xml:space="preserve"> Jumper Wires</t>
  </si>
  <si>
    <t xml:space="preserve"> Molex</t>
  </si>
  <si>
    <t xml:space="preserve"> Passive Components</t>
  </si>
  <si>
    <t>FALSE</t>
  </si>
  <si>
    <t>Value=Breadboard/Protoboard</t>
  </si>
  <si>
    <t>Value=Buttons/Switches/Knobs</t>
  </si>
  <si>
    <t>Value=Connectors, JST</t>
  </si>
  <si>
    <t>Value=Connectors, Polarized (Molex)</t>
  </si>
  <si>
    <t>Value=Connectors, Ribbon Crimp</t>
  </si>
  <si>
    <t>Value=Connectors, Spring/Screw Terminals</t>
  </si>
  <si>
    <t>Value=Connectors, USB</t>
  </si>
  <si>
    <t>Value=Connectors/Sockets/Terminals, Other</t>
  </si>
  <si>
    <t>Value=DIP/TO-#/SMD Components</t>
  </si>
  <si>
    <t>Value=Enclosures/Mounts</t>
  </si>
  <si>
    <t>Value=Flip-Pins</t>
  </si>
  <si>
    <t>Value=Hardware Components/Accessories</t>
  </si>
  <si>
    <t>Value=Headers, Female</t>
  </si>
  <si>
    <t>Value=Headers, Male</t>
  </si>
  <si>
    <t>Value=Headers, Stackable</t>
  </si>
  <si>
    <t>Value=Heat Insulation/Dissipation</t>
  </si>
  <si>
    <t>Value=Jumper Wires, JST</t>
  </si>
  <si>
    <t>Value=Jumper Wires, Mixed</t>
  </si>
  <si>
    <t>Value=Jumper Wires, Molex</t>
  </si>
  <si>
    <t>Value=Jumper Wires, PTH</t>
  </si>
  <si>
    <t>Value=Passive Components</t>
  </si>
  <si>
    <t>Value=Plugs/Jacks/Adapters, Audio</t>
  </si>
  <si>
    <t>Value=Plugs/Jacks/Adapters, Barrel Jack</t>
  </si>
  <si>
    <t>Value=Ribbon Cables</t>
  </si>
  <si>
    <t>Value=Solid/Stranded Hookup Wire</t>
  </si>
  <si>
    <t>Value=Standoffs/Screws</t>
  </si>
  <si>
    <t>Value=Trace/Shielding Construction</t>
  </si>
  <si>
    <t>Value=Audible Notification/Queuing</t>
  </si>
  <si>
    <t>Value=AVR/ISP Programmer Adapters/Cables</t>
  </si>
  <si>
    <t>Value=BeagleBone Black Iot/Base Station</t>
  </si>
  <si>
    <t>Value=Bluetooth</t>
  </si>
  <si>
    <t>Value=Communication/Power Cables</t>
  </si>
  <si>
    <t>Value=Data &amp; Signal Logging/Monitoring</t>
  </si>
  <si>
    <t>Value=Energy Harvesting</t>
  </si>
  <si>
    <t>Value=GPS Logging/Fencing</t>
  </si>
  <si>
    <t>Value=Hand Tools</t>
  </si>
  <si>
    <t>Value=High-Precision Compass</t>
  </si>
  <si>
    <t>Value=Intel Edison Iot/Base Station</t>
  </si>
  <si>
    <t>Value=Interface/Level/Logic Conversion</t>
  </si>
  <si>
    <t>Value=Lidar</t>
  </si>
  <si>
    <t>Value=Linux + Arduino Home Base Station</t>
  </si>
  <si>
    <t>Value=mBed Platform Base Station</t>
  </si>
  <si>
    <t>Value=MCU/Development Board</t>
  </si>
  <si>
    <t>Value=MicroView Watch/Relay</t>
  </si>
  <si>
    <t>Value=Movement/IMU</t>
  </si>
  <si>
    <t>Value=Onion Omega2+ + Arduino Base Station</t>
  </si>
  <si>
    <t>Value=Onion Omega2+ Handheld</t>
  </si>
  <si>
    <t>Value=PCB/Breadboard Work Tools</t>
  </si>
  <si>
    <t>Value=Phone/Computer App Companion</t>
  </si>
  <si>
    <t>Value=Power Supply</t>
  </si>
  <si>
    <t>Value=Proximity/Distance</t>
  </si>
  <si>
    <t>Value=QWIIC System/Components</t>
  </si>
  <si>
    <t>Value=Realtek Ameba Handheld</t>
  </si>
  <si>
    <t>Value=Signal Multiplexing/Conditioning</t>
  </si>
  <si>
    <t>Value=Solder/SMD Rework Tools</t>
  </si>
  <si>
    <t>Value=Storage/Organization</t>
  </si>
  <si>
    <t>Value=Touch/Vibration</t>
  </si>
  <si>
    <t>Value=Touchscreen</t>
  </si>
  <si>
    <t>Value=USB/Serial Interface Breakouts</t>
  </si>
  <si>
    <t>Value=Visual Notification/Queuing</t>
  </si>
  <si>
    <t>Value=Vitals/Environment Sensing</t>
  </si>
  <si>
    <t>Value=Vitals/Health Status Sensing</t>
  </si>
  <si>
    <t>Value=Voice Recognition</t>
  </si>
  <si>
    <t>Value=Wall/Breadboard Power Supply</t>
  </si>
  <si>
    <t>Value=WiFi</t>
  </si>
  <si>
    <t>Buttons/Switches/Knobs, DIP/TO-#/SMD Components, Headers, Male, Jumper Wires, Molex, Passive Components</t>
  </si>
  <si>
    <t>Equipment Type</t>
  </si>
  <si>
    <t>PogoPins</t>
  </si>
  <si>
    <t>Wireless Charging</t>
  </si>
  <si>
    <t>Ribbon/IDC Cables</t>
  </si>
  <si>
    <t>Jumper Wires, DIY</t>
  </si>
  <si>
    <t>Plastics Fabrication</t>
  </si>
  <si>
    <t>Connectors, IDC</t>
  </si>
  <si>
    <t>User Interface, Touchscreen</t>
  </si>
  <si>
    <t>User Interface, Keypad</t>
  </si>
  <si>
    <t>LED Indicators/Lighting</t>
  </si>
  <si>
    <t>User Interface, IO</t>
  </si>
  <si>
    <t>Signal Manipulation, Mux/ADC/DAC/Conditioning</t>
  </si>
  <si>
    <t>Rotary Potentiometers/Encoders/Switches</t>
  </si>
  <si>
    <t>Power Supply, Breadboard</t>
  </si>
  <si>
    <t>Power Supply, Control/Switch</t>
  </si>
  <si>
    <t>Power Supply, USB Cables</t>
  </si>
  <si>
    <t>Power Supply, DIY Cables</t>
  </si>
  <si>
    <t>Power Supply,  USB Wall Wart</t>
  </si>
  <si>
    <t>Power Supply, Barrel Jack Wall Wart</t>
  </si>
  <si>
    <t>Power Supply, LiPO Battery Supply/Management</t>
  </si>
  <si>
    <t>USB Cables/Adapters</t>
  </si>
  <si>
    <t>Power Supply, Controller/Switch</t>
  </si>
  <si>
    <t>Power Supply, Barrel Jack Cables/Adapters</t>
  </si>
  <si>
    <t>Power Supply, Barrel Jack Plugs/Terminations</t>
  </si>
  <si>
    <t>Power Supply, USB Wall Wart</t>
  </si>
  <si>
    <t>+</t>
  </si>
  <si>
    <t>-</t>
  </si>
  <si>
    <t>Group</t>
  </si>
  <si>
    <t>Power Supply, Breadboard Connectors</t>
  </si>
  <si>
    <t>IoT Network Components</t>
  </si>
  <si>
    <t>User Input &amp; Control</t>
  </si>
  <si>
    <t>Power Supply, Supplemental</t>
  </si>
  <si>
    <t>Base Functionality</t>
  </si>
  <si>
    <t>Supplemental Functionality</t>
  </si>
  <si>
    <t>DIY Components</t>
  </si>
  <si>
    <t>Protection</t>
  </si>
  <si>
    <t>Breadboard Connections</t>
  </si>
  <si>
    <t>Design Dependent</t>
  </si>
  <si>
    <t>Power Supply, Wall Warts/LiPO</t>
  </si>
  <si>
    <t>Construction Materials</t>
  </si>
  <si>
    <t>Construction Tools</t>
  </si>
  <si>
    <t>Breadboard Components</t>
  </si>
  <si>
    <t>Jumper Wires/Cables</t>
  </si>
  <si>
    <t>Power Supply, USB + Barrel Jack</t>
  </si>
  <si>
    <t>GSM/Cellular Communication</t>
  </si>
  <si>
    <t>Location/Movement Info</t>
  </si>
  <si>
    <t>Verbal Communication</t>
  </si>
  <si>
    <t>Slim Sticker-type GSM/Cellular Quad-Band Antenna - 3dBi uFL</t>
  </si>
  <si>
    <t>1991</t>
  </si>
  <si>
    <t>GSM 2G SIM Card from Ting &amp; Adafruit - Data/Voice/Text USA Only</t>
  </si>
  <si>
    <t>2505</t>
  </si>
  <si>
    <t>Adafruit FONA 800 Shield - Voice/Data Cellular GSM for Arduino</t>
  </si>
  <si>
    <t>2468</t>
  </si>
  <si>
    <t>Standard LCD 20x4 + extras - white on blue</t>
  </si>
  <si>
    <t>198</t>
  </si>
  <si>
    <t>Tiny Modular Snap Boxes - SMD component storage - 10 pack - White</t>
  </si>
  <si>
    <t>431</t>
  </si>
  <si>
    <t>Pogo Pin Probe Clip</t>
  </si>
  <si>
    <t>1969</t>
  </si>
  <si>
    <t>Small Modular Snap Boxes - SMD component storage - 3 pack - Green</t>
  </si>
  <si>
    <t>432</t>
  </si>
  <si>
    <t>Tiny Modular Snap Boxes - SMD component storage - 10 pack - Blue</t>
  </si>
  <si>
    <t>427</t>
  </si>
  <si>
    <t>Medium Modular Snap Boxes - SMD component storage - 2 pack - Pink</t>
  </si>
  <si>
    <t>433</t>
  </si>
  <si>
    <t>Latching 5-Compartment Storage Box</t>
  </si>
  <si>
    <t>2938</t>
  </si>
  <si>
    <t>Waterproof DC Power Cable Set - 5.5/2.1mm</t>
  </si>
  <si>
    <t>743</t>
  </si>
  <si>
    <t>Extruded Aluminum Enclosure Box - 94mm x 83mm x 30mm</t>
  </si>
  <si>
    <t>2230</t>
  </si>
  <si>
    <t>Extruded Aluminum Enclosure Box - 100mm x 67mm x 26mm</t>
  </si>
  <si>
    <t>2229</t>
  </si>
  <si>
    <t>1272</t>
  </si>
  <si>
    <t>Adafruit Ultimate GPS Logger Shield - Includes GPS Module</t>
  </si>
  <si>
    <t>2090</t>
  </si>
  <si>
    <t>2.8" TFT LCD with Cap Touch Breakout Board w/MicroSD Socket</t>
  </si>
  <si>
    <t>1947</t>
  </si>
  <si>
    <t>2.8" TFT Touch Shield for Arduino w/Capacitive Touch</t>
  </si>
  <si>
    <t>2077</t>
  </si>
  <si>
    <t>Adafruit Proto Shield for Arduino Kit - Stackable Version R3</t>
  </si>
  <si>
    <t>443</t>
  </si>
  <si>
    <t>Large Solderless Breadboard</t>
  </si>
  <si>
    <t>192</t>
  </si>
  <si>
    <t>Mega protoshield for Arduino</t>
  </si>
  <si>
    <t>2017</t>
  </si>
  <si>
    <t>Mini Solderless Breadboard - 2x4 Points</t>
  </si>
  <si>
    <t>2018</t>
  </si>
  <si>
    <t>Mini Solderless Breadboard - 2x8 Points</t>
  </si>
  <si>
    <t>2463</t>
  </si>
  <si>
    <t>Mini Solderless Breadboard - 4x4 Points</t>
  </si>
  <si>
    <t>196</t>
  </si>
  <si>
    <t>Proto-Screwshield (Wingshield) R3 Kit for Arduino</t>
  </si>
  <si>
    <t>65</t>
  </si>
  <si>
    <t>Tiny breadboard</t>
  </si>
  <si>
    <t>550</t>
  </si>
  <si>
    <t xml:space="preserve">Little Rubber Bumper Feet - Pack of 4 </t>
  </si>
  <si>
    <t>977</t>
  </si>
  <si>
    <t xml:space="preserve">TO-220 Clip-On Heatsink </t>
  </si>
  <si>
    <t>2504</t>
  </si>
  <si>
    <t>Hand-Moldable Plastic - Low Temperature Thermoplastic - 100g Bag</t>
  </si>
  <si>
    <t>437</t>
  </si>
  <si>
    <t>Sugru - Black and White Pack</t>
  </si>
  <si>
    <t>3105</t>
  </si>
  <si>
    <t xml:space="preserve">Mini Illuminated Momentary Pushbutton - Blue Power Symbol </t>
  </si>
  <si>
    <t>3104</t>
  </si>
  <si>
    <t>Mini Illuminated Momentary Pushbutton - Red Power Symbol</t>
  </si>
  <si>
    <t>2047</t>
  </si>
  <si>
    <t xml:space="preserve">Potentiometer Knob - Soft Touch T18 - White </t>
  </si>
  <si>
    <t>2055</t>
  </si>
  <si>
    <t xml:space="preserve">Scrubber Knob for Rotary Encoder - 35mm </t>
  </si>
  <si>
    <t>2058</t>
  </si>
  <si>
    <t xml:space="preserve">Slim Metal Potentiometer Knob - 10mm Diameter x 10mm - T18 </t>
  </si>
  <si>
    <t>2056</t>
  </si>
  <si>
    <t xml:space="preserve">Solid Machined Metal Knob - 1" Diameter </t>
  </si>
  <si>
    <t>1119</t>
  </si>
  <si>
    <t xml:space="preserve">Tactile Switch Buttons (12mm square, 6mm tall) x 10 pack </t>
  </si>
  <si>
    <t>2103</t>
  </si>
  <si>
    <t xml:space="preserve">IDC Breakout Helper - 2x16 (32 pin) </t>
  </si>
  <si>
    <t>2270</t>
  </si>
  <si>
    <t>IDC Breakout Helper - 2x20 (40 pin)</t>
  </si>
  <si>
    <t>2102</t>
  </si>
  <si>
    <t>IDC Breakout Helper - 2x5 (10 pin)</t>
  </si>
  <si>
    <t>1862</t>
  </si>
  <si>
    <t xml:space="preserve">JST-PH 2-Pin SMT Right Angle Breakout Board </t>
  </si>
  <si>
    <t>1769</t>
  </si>
  <si>
    <t xml:space="preserve">JST-PH 2-Pin SMT Right Angle Connector </t>
  </si>
  <si>
    <t>1863</t>
  </si>
  <si>
    <t xml:space="preserve">Switched JST-PH 2-Pin SMT Right Angle Breakout Board </t>
  </si>
  <si>
    <t xml:space="preserve">Jumper Shunt with Handle (0.1" / 2.54mm) – 10 Pack </t>
  </si>
  <si>
    <t>1787</t>
  </si>
  <si>
    <t xml:space="preserve">74AHCT125 - Quad Level-Shifter (3V to 5V) - 74AHCT125 </t>
  </si>
  <si>
    <t>2975</t>
  </si>
  <si>
    <t>Adafruit Parts Pal</t>
  </si>
  <si>
    <t>935</t>
  </si>
  <si>
    <t xml:space="preserve">MCP4725 Breakout Board - 12-Bit DAC w/I2C Interface </t>
  </si>
  <si>
    <t>2823</t>
  </si>
  <si>
    <t xml:space="preserve">0.1" 2x20-pin Strip Right Angle Female Header </t>
  </si>
  <si>
    <t>1543</t>
  </si>
  <si>
    <t>0.1" 2x36-pin Strip Right-Angle Socket (Female) Header (5 pack)</t>
  </si>
  <si>
    <t>1544</t>
  </si>
  <si>
    <t>0.1" 2x36-pin Strip Straight Socket (Female) Header (5 pack)</t>
  </si>
  <si>
    <t>1542</t>
  </si>
  <si>
    <t>0.1" 36-pin Strip Right-Angle Female/Socket Header (5 pack)</t>
  </si>
  <si>
    <t>366</t>
  </si>
  <si>
    <t>2mm 10 pin Socket Headers (for XBee) - Pack of 2</t>
  </si>
  <si>
    <t>2672</t>
  </si>
  <si>
    <t>2mm Pitch 25-Pin Female Socket Headers - Pack of 5</t>
  </si>
  <si>
    <t>3342</t>
  </si>
  <si>
    <t xml:space="preserve">2x40 Right Angle Edge Connector for micro:bit </t>
  </si>
  <si>
    <t>598</t>
  </si>
  <si>
    <t>36-pin 0.1" Female header - pack of 5!</t>
  </si>
  <si>
    <t>3008</t>
  </si>
  <si>
    <t xml:space="preserve">36-pin 0.1" Short Female Header - Pack of 5 </t>
  </si>
  <si>
    <t>3366</t>
  </si>
  <si>
    <t>36-pin Stacking header - pack of 5!</t>
  </si>
  <si>
    <t>2886</t>
  </si>
  <si>
    <t xml:space="preserve">Feather Header Kit - 12-pin and 16-pin Female Header Set </t>
  </si>
  <si>
    <t>2671</t>
  </si>
  <si>
    <t>2mm Pitch 40-Pin Break-apart Male Headers - Pack of 5</t>
  </si>
  <si>
    <t>3009</t>
  </si>
  <si>
    <t xml:space="preserve">36-pin 0.1" Short Break-away Male Header - Pack of 10 </t>
  </si>
  <si>
    <t>2822</t>
  </si>
  <si>
    <t>Break-away 0.1" 2x20-pin Strip Dual Male Header</t>
  </si>
  <si>
    <t>1539</t>
  </si>
  <si>
    <t>Break-away 0.1" 2x36-pin strip dual male header (10 pieces)</t>
  </si>
  <si>
    <t>1541</t>
  </si>
  <si>
    <t xml:space="preserve">Break-away 0.1" 2x36-pin strip right-angle male header (5 pack) </t>
  </si>
  <si>
    <t>392</t>
  </si>
  <si>
    <t>Break-away 0.1" 36-pin strip male header (10 pieces)</t>
  </si>
  <si>
    <t>1540</t>
  </si>
  <si>
    <t xml:space="preserve">Break-away 0.1" 36-pin strip right-angle male header (10 pack) </t>
  </si>
  <si>
    <t>85</t>
  </si>
  <si>
    <t>Shield stacking headers for Arduino (R3 Compatible)</t>
  </si>
  <si>
    <t>3144</t>
  </si>
  <si>
    <t>Large Dual Row Wire Housing Pack for DIY Jumper Cables</t>
  </si>
  <si>
    <t>3146</t>
  </si>
  <si>
    <t>Large Single Row Housing Pack for DIY Jumper Cables</t>
  </si>
  <si>
    <t>3141</t>
  </si>
  <si>
    <t>Premium Female/Female Raw Custom Jumper Wires - 40 x 6" (150mm)</t>
  </si>
  <si>
    <t>3142</t>
  </si>
  <si>
    <t>Premium Male/Male Raw Jumper Wires - 40 x 6" (150mm)</t>
  </si>
  <si>
    <t>3143</t>
  </si>
  <si>
    <t>Small Dual Row Wire Housing Pack for DIY Jumper Cables</t>
  </si>
  <si>
    <t>3145</t>
  </si>
  <si>
    <t>Small Single Row Wire Housing Pack for DIY Jumper Cables</t>
  </si>
  <si>
    <t>578</t>
  </si>
  <si>
    <t xml:space="preserve">4-pin JST SM Plug + Receptacle Cable Set </t>
  </si>
  <si>
    <t>3064</t>
  </si>
  <si>
    <t xml:space="preserve">JST 2-pin Extension Cable with On/Off Switch - JST PH2 </t>
  </si>
  <si>
    <t>3568</t>
  </si>
  <si>
    <t>STEMMA Cable - 150mm/6" Long 4 Pin JST-PH Cable–Female/Female</t>
  </si>
  <si>
    <t>2911</t>
  </si>
  <si>
    <t xml:space="preserve">1/4" (6.35mm) Stereo Plug Terminal Block </t>
  </si>
  <si>
    <t>2791</t>
  </si>
  <si>
    <t xml:space="preserve">3.5mm (1/8") Stereo Audio Jack Terminal Block </t>
  </si>
  <si>
    <t>2790</t>
  </si>
  <si>
    <t xml:space="preserve">3.5mm (1/8") Stereo Audio Plug Terminal Block </t>
  </si>
  <si>
    <t>1699</t>
  </si>
  <si>
    <t xml:space="preserve">Breadboard-Friendly 3.5mm Stereo Headphone Jack </t>
  </si>
  <si>
    <t>373</t>
  </si>
  <si>
    <t xml:space="preserve">Breadboard-friendly 2.1mm DC barrel jack </t>
  </si>
  <si>
    <t>368</t>
  </si>
  <si>
    <t>Female DC Power adapter - 2.1mm jack to screw terminal block</t>
  </si>
  <si>
    <t>369</t>
  </si>
  <si>
    <t>Male DC Power adapter - 2.1mm plug to screw terminal block</t>
  </si>
  <si>
    <t>2429</t>
  </si>
  <si>
    <t xml:space="preserve">Pogo Pins "Crown Head" (10 pack) - P75-H2 </t>
  </si>
  <si>
    <t>2428</t>
  </si>
  <si>
    <t xml:space="preserve">Pogo Pins "Cupped Head" (10 pack) - P75-A2 </t>
  </si>
  <si>
    <t>2430</t>
  </si>
  <si>
    <t>Pogo Pins "Needle Head" (10 pack) - P75-B1</t>
  </si>
  <si>
    <t>394</t>
  </si>
  <si>
    <t xml:space="preserve">Pogo Pins "Spear Head" (10 pack) - P75-LM3 </t>
  </si>
  <si>
    <t>370</t>
  </si>
  <si>
    <t xml:space="preserve">10-pin Socket/Socket IDC cable - 6" </t>
  </si>
  <si>
    <t>2925</t>
  </si>
  <si>
    <t xml:space="preserve">Mini 8-Way Rotary Selector Switch - SP8T </t>
  </si>
  <si>
    <t>3392</t>
  </si>
  <si>
    <t xml:space="preserve">Panel Mount 10K Dual Linear Potentiometer - 10K Dual Linear </t>
  </si>
  <si>
    <t>3393</t>
  </si>
  <si>
    <t xml:space="preserve">Panel Mount 10K Dual Linear Potentiometer w/ On-Off Switch - 10K Dual Linear w/ Switch </t>
  </si>
  <si>
    <t>562</t>
  </si>
  <si>
    <t xml:space="preserve">Panel Mount 10K potentiometer (Breadboard Friendly) - 10K Linear </t>
  </si>
  <si>
    <t>1789</t>
  </si>
  <si>
    <t xml:space="preserve">Panel Mount 1K potentiometer (Breadboard Friendly) - 1K Linear </t>
  </si>
  <si>
    <t>3395</t>
  </si>
  <si>
    <t xml:space="preserve">Panel Mount Right Angle 10K Linear Potentiometer w/On-Off Switch - 10K Linear w/ Switch </t>
  </si>
  <si>
    <t>377</t>
  </si>
  <si>
    <t xml:space="preserve">Rotary Encoder + Extras </t>
  </si>
  <si>
    <t>94</t>
  </si>
  <si>
    <t xml:space="preserve">Adafruit Wave Shield for Arduino Kit - v1.1 </t>
  </si>
  <si>
    <t>3369</t>
  </si>
  <si>
    <t xml:space="preserve">Mini External USB Stereo Speaker </t>
  </si>
  <si>
    <t>3367</t>
  </si>
  <si>
    <t xml:space="preserve">Mini USB Microphone </t>
  </si>
  <si>
    <t>3351</t>
  </si>
  <si>
    <t xml:space="preserve">Mono Enclosed Speaker - 3W 4 Ohm </t>
  </si>
  <si>
    <t>1314</t>
  </si>
  <si>
    <t xml:space="preserve">Speaker - 3" Diameter - 4 Ohm 3 Watt </t>
  </si>
  <si>
    <t>1313</t>
  </si>
  <si>
    <t xml:space="preserve">Speaker - 3" Diameter - 8 Ohm 1 Watt </t>
  </si>
  <si>
    <t>1669</t>
  </si>
  <si>
    <t xml:space="preserve">Stereo Enclosed Speaker Set - 3W 4 Ohm </t>
  </si>
  <si>
    <t>1363</t>
  </si>
  <si>
    <t xml:space="preserve">USB Powered Speakers </t>
  </si>
  <si>
    <t>102</t>
  </si>
  <si>
    <t xml:space="preserve">4GB Blank SD/MicroSD Memory Card </t>
  </si>
  <si>
    <t>2693</t>
  </si>
  <si>
    <t xml:space="preserve">SD/MicroSD Memory Card - 16GB Class 10 - Adapter Included </t>
  </si>
  <si>
    <t>1294</t>
  </si>
  <si>
    <t xml:space="preserve">SD/MicroSD Memory Card (8 GB SDHC) </t>
  </si>
  <si>
    <t>327</t>
  </si>
  <si>
    <t>2.1mm female/male barrel jack extension cable - 1.5m / 5 ft</t>
  </si>
  <si>
    <t>411</t>
  </si>
  <si>
    <t>2.1mm to 1.7mm DC jack adapter</t>
  </si>
  <si>
    <t>2897</t>
  </si>
  <si>
    <t>2.1mm to 2.5mm DC Barrel Plug Adapter</t>
  </si>
  <si>
    <t>2788</t>
  </si>
  <si>
    <t>3.5 / 1.3mm or 3.8 / 1.1mm to 5.5 / 2.1mm DC Jack Adapter Cable</t>
  </si>
  <si>
    <t>1125</t>
  </si>
  <si>
    <t>In-line power switch for 2.1mm barrel jack</t>
  </si>
  <si>
    <t>276</t>
  </si>
  <si>
    <t>5V 2A (2000mA) switching power supply - UL Listed</t>
  </si>
  <si>
    <t>1448</t>
  </si>
  <si>
    <t>Compact Switching Power Supply - Selectable Output 3-12VDC</t>
  </si>
  <si>
    <t>184</t>
  </si>
  <si>
    <t>Adjustable breadboard power supply kit - v1.0</t>
  </si>
  <si>
    <t>1829</t>
  </si>
  <si>
    <t>USB DIY Connector - MicroB Female Plug</t>
  </si>
  <si>
    <t>1388</t>
  </si>
  <si>
    <t>USB DIY Connector Shell - Type A Socket</t>
  </si>
  <si>
    <t>1390</t>
  </si>
  <si>
    <t>USB DIY Connector Shell - Type Micro-B Plug</t>
  </si>
  <si>
    <t>1389</t>
  </si>
  <si>
    <t>USB DIY Connector Shell - Type Mini-B Plug</t>
  </si>
  <si>
    <t>1827</t>
  </si>
  <si>
    <t>USB DIY Slim Connector Shell - A-M Plug</t>
  </si>
  <si>
    <t>1826</t>
  </si>
  <si>
    <t>USB DIY Slim Connector Shell - MicroB Plug</t>
  </si>
  <si>
    <t>2727</t>
  </si>
  <si>
    <t>MicroUSB Plug to 5.5/2.1mm DC Barrel Jack Adapter</t>
  </si>
  <si>
    <t>988</t>
  </si>
  <si>
    <t>USB A Jack to 5.5/2.1mm jack adapter</t>
  </si>
  <si>
    <t>2778</t>
  </si>
  <si>
    <t>USB to 2.1mm DC Booster Cable - 12V</t>
  </si>
  <si>
    <t>2777</t>
  </si>
  <si>
    <t>USB to 2.1mm DC Booster Cable - 9V</t>
  </si>
  <si>
    <t>2697</t>
  </si>
  <si>
    <t>USB to 2.1mm Male Barrel Jack Cable - 22AWG &amp; 1 meter</t>
  </si>
  <si>
    <t xml:space="preserve">Power Supply, USB + Barrel Jack </t>
  </si>
  <si>
    <t>2789</t>
  </si>
  <si>
    <t>MicroUSB to 5.5/2.1mm DC Barrel Jack Adapter</t>
  </si>
  <si>
    <t>501</t>
  </si>
  <si>
    <t>5V 1A (1000mA) USB port power supply - UL Listed</t>
  </si>
  <si>
    <t>1994</t>
  </si>
  <si>
    <t>5V 2A Switching Power Supply w/ USB-A Connector</t>
  </si>
  <si>
    <t>3538</t>
  </si>
  <si>
    <t xml:space="preserve">Adafruit AMG8833 IR Thermal Camera Breakout </t>
  </si>
  <si>
    <t>3317</t>
  </si>
  <si>
    <t>Adafruit VL53L0X Time of Flight Distance Sensor - ~30 to 1000mm</t>
  </si>
  <si>
    <t>3316</t>
  </si>
  <si>
    <t>Adafruit VL6180X Time of Flight Distance Ranging Sensor (VL6180)</t>
  </si>
  <si>
    <t>1568</t>
  </si>
  <si>
    <t>IR Distance Sensor - Includes Cable (100cm-500cm) - GP2Y0A710K0F</t>
  </si>
  <si>
    <t>164</t>
  </si>
  <si>
    <t>IR distance sensor includes cable (10cm-80cm) - GP2Y0A21YK0F</t>
  </si>
  <si>
    <t>1031</t>
  </si>
  <si>
    <t>IR distance sensor includes cable (20cm-150cm) - GP2Y0A02YK</t>
  </si>
  <si>
    <t>1917</t>
  </si>
  <si>
    <t>DIY Sensor Film Kit - 4x6" Small Kit</t>
  </si>
  <si>
    <t>1071</t>
  </si>
  <si>
    <t xml:space="preserve">Extra-long force-sensitive resistor (FSR) - Interlink 408 </t>
  </si>
  <si>
    <t>1739</t>
  </si>
  <si>
    <t xml:space="preserve">Large Enclosed Piezo Element w/Wires </t>
  </si>
  <si>
    <t>1361</t>
  </si>
  <si>
    <t>Pressure-Sensitive Conductive Sheet (Velostat/Linqstat)</t>
  </si>
  <si>
    <t>1075</t>
  </si>
  <si>
    <t>Square Force-Sensitive Resistor (FSR) - Interlink 406</t>
  </si>
  <si>
    <t>1168</t>
  </si>
  <si>
    <t>Woven Conductive Fabric - 20cm square</t>
  </si>
  <si>
    <t>3330</t>
  </si>
  <si>
    <t xml:space="preserve">Liquid Crystal Light Valve - LCD Controllable Shutter Glass </t>
  </si>
  <si>
    <t>1621</t>
  </si>
  <si>
    <t xml:space="preserve">White LED Backlight Module - Large 45mm x 86mm </t>
  </si>
  <si>
    <t>1622</t>
  </si>
  <si>
    <t xml:space="preserve">White LED Backlight Module - Medium 23mm x 75mm </t>
  </si>
  <si>
    <t>1407</t>
  </si>
  <si>
    <t>Inductive Charging Set - 5V @ 500mA max</t>
  </si>
  <si>
    <t>2116</t>
  </si>
  <si>
    <t xml:space="preserve">Universal Qi Wireless Charging Module - 20mm Forward MicroUSB </t>
  </si>
  <si>
    <t>2162</t>
  </si>
  <si>
    <t xml:space="preserve">Universal Qi Wireless Charging Transmitter </t>
  </si>
  <si>
    <t>1901</t>
  </si>
  <si>
    <t>Universal Qi Wireless Receiver Module</t>
  </si>
  <si>
    <t>1895</t>
  </si>
  <si>
    <t xml:space="preserve">Adafruit I2C Non-Volatile FRAM Breakout - 256Kbit / 32KByte </t>
  </si>
  <si>
    <t>1897</t>
  </si>
  <si>
    <t xml:space="preserve">Adafruit SPI Non-Volatile FRAM Breakout - 64Kbit / 8KByte </t>
  </si>
  <si>
    <t>1085</t>
  </si>
  <si>
    <t xml:space="preserve">ADS1115 16-Bit ADC - 4 Channel with Programmable Gain Amplifier </t>
  </si>
  <si>
    <t>856</t>
  </si>
  <si>
    <t xml:space="preserve">MCP3008 - 8-Channel 10-Bit ADC With SPI Interface </t>
  </si>
  <si>
    <t>2717</t>
  </si>
  <si>
    <t xml:space="preserve">TCA9548A I2C Multiplexer </t>
  </si>
  <si>
    <t>2910</t>
  </si>
  <si>
    <t>Tiny OTG Adapter - USB Micro to USB</t>
  </si>
  <si>
    <t>1620</t>
  </si>
  <si>
    <t>USB Cable with Switch</t>
  </si>
  <si>
    <t>1099</t>
  </si>
  <si>
    <t>USB OTG Host Cable - MicroB OTG male to A female</t>
  </si>
  <si>
    <t>1332</t>
  </si>
  <si>
    <t xml:space="preserve">Membrane 1x4 Keypad + Extras </t>
  </si>
  <si>
    <t>419</t>
  </si>
  <si>
    <t xml:space="preserve">Membrane 3x4 Matrix Keypad + extras - 3x4 </t>
  </si>
  <si>
    <t>3396</t>
  </si>
  <si>
    <t>4.3" LCD Capacitive Touchscreen Display Cape for BeagleBone</t>
  </si>
  <si>
    <t>1555</t>
  </si>
  <si>
    <t>Adafruit BBB Case - Enclosure for Beagle Bone Black</t>
  </si>
  <si>
    <t>699</t>
  </si>
  <si>
    <t>Adafruit Bone Box - Enclosure for Beagle Bone/Beagle Bone Black</t>
  </si>
  <si>
    <t>572</t>
  </si>
  <si>
    <t>Adafruit Proto Cape Kit for Beagle Bone &amp; Beagle Bone Black</t>
  </si>
  <si>
    <t>702</t>
  </si>
  <si>
    <t>Adafruit Proto Plate for Beagle Bone &amp; Beagle Bone Black</t>
  </si>
  <si>
    <t>2627</t>
  </si>
  <si>
    <t>Anidees Beaglebone Black Case - Black Aluminum with Smoke Top</t>
  </si>
  <si>
    <t>2628</t>
  </si>
  <si>
    <t>Anidees BeagleBoneBlack Case - Silver Aluminum with Crystal Top</t>
  </si>
  <si>
    <t>1810</t>
  </si>
  <si>
    <t>uniBBB - Unibody Aluminum Case for BeagleBone Black</t>
  </si>
  <si>
    <t>1869</t>
  </si>
  <si>
    <t xml:space="preserve">Hot Air Soldering Rework Station w/ Three Nozzles - Quick 957D </t>
  </si>
  <si>
    <t>3019</t>
  </si>
  <si>
    <t>Third Hand Pana Hand Workstation Add-On for Panavise</t>
  </si>
  <si>
    <t>3536</t>
  </si>
  <si>
    <t>Insulated Silicone Rework Mat - 34cm x 23cm x 4mm Work Surface</t>
  </si>
  <si>
    <t>SH</t>
  </si>
  <si>
    <t>PH</t>
  </si>
  <si>
    <t>Column1</t>
  </si>
  <si>
    <t>SF</t>
  </si>
  <si>
    <t>Ada</t>
  </si>
  <si>
    <t xml:space="preserve">3V at 10 cm to 0.4V at 80 cm </t>
  </si>
  <si>
    <t>Good linearity</t>
  </si>
  <si>
    <t>3-100cm</t>
  </si>
  <si>
    <t>Long R Mode: up to 1.2-1.5m</t>
  </si>
  <si>
    <t>3 to 12% (D up/% down)</t>
  </si>
  <si>
    <t>5mm to 100mm</t>
  </si>
  <si>
    <t>PTH</t>
  </si>
  <si>
    <t xml:space="preserve">3V at  100cm to 1.4V at 500cm </t>
  </si>
  <si>
    <t>Non-Linear, 1/L for 100cm-500cm</t>
  </si>
  <si>
    <t>3V  at 20 cm to 0.4V at 150 cm</t>
  </si>
  <si>
    <t>Non-Linear L &amp; 1/L</t>
  </si>
  <si>
    <t>@ 80 cm: ±10 cm</t>
  </si>
  <si>
    <t>Non-Linear L</t>
  </si>
  <si>
    <t>up to 150-200mm</t>
  </si>
  <si>
    <t>small!</t>
  </si>
  <si>
    <t>6 PTH</t>
  </si>
  <si>
    <t>5 PTH</t>
  </si>
  <si>
    <t>up tp 3mm</t>
  </si>
  <si>
    <t>User Interface, Display</t>
  </si>
  <si>
    <t>PRT-11474</t>
  </si>
  <si>
    <t>https://www.sparkfun.com/products/11474</t>
  </si>
  <si>
    <t>https://cdn.sparkfun.com/r/92-92/assets/parts/7/3/6/1/11474-01.jpg</t>
  </si>
  <si>
    <t>Car Adapter Plug - Red LED</t>
  </si>
  <si>
    <t>PRT-08100</t>
  </si>
  <si>
    <t>https://www.sparkfun.com/products/8100</t>
  </si>
  <si>
    <t>https://cdn.sparkfun.com/r/92-92/assets/parts/6/6/6/08100-01a.jpg</t>
  </si>
  <si>
    <t>Polarized Connectors - Crimp Pins</t>
  </si>
  <si>
    <t>PRT-10853</t>
  </si>
  <si>
    <t>https://www.sparkfun.com/products/10853</t>
  </si>
  <si>
    <t>https://cdn.sparkfun.com/r/92-92/assets/parts/5/8/6/5/10853-01b.jpg</t>
  </si>
  <si>
    <t>Mega Pro Mini Cable - 8\" (8-wire)</t>
  </si>
  <si>
    <t>Jumper Wires, JST-PH</t>
  </si>
  <si>
    <t>Jumper Wires, JST-SH</t>
  </si>
  <si>
    <t>Jumper Wires, JST-SM</t>
  </si>
  <si>
    <t>DEV-14437</t>
  </si>
  <si>
    <t>https://www.sparkfun.com/products/14437</t>
  </si>
  <si>
    <t>https://cdn.sparkfun.com/r/92-92/assets/parts/1/2/4/6/7/14437-01.jpg</t>
  </si>
  <si>
    <t>Mini Dock for Onion Omega</t>
  </si>
  <si>
    <t>DEV-14436</t>
  </si>
  <si>
    <t>https://www.sparkfun.com/products/14436</t>
  </si>
  <si>
    <t>https://cdn.sparkfun.com/r/92-92/assets/parts/1/2/4/6/6/14436-01.jpg</t>
  </si>
  <si>
    <t>Breadboard Dock for Onion Omega</t>
  </si>
  <si>
    <t>TOL-12630</t>
  </si>
  <si>
    <t>https://www.sparkfun.com/products/12630</t>
  </si>
  <si>
    <t>https://cdn.sparkfun.com/r/92-92/assets/parts/9/3/1/2/12630-01.jpg</t>
  </si>
  <si>
    <t>Wire Strippers - 30AWG (Hakko)</t>
  </si>
  <si>
    <t>2-pin JST SM Plug + Receptacle Cable Set</t>
  </si>
  <si>
    <t>2880</t>
  </si>
  <si>
    <t>JST 2-pin cable</t>
  </si>
  <si>
    <t>261</t>
  </si>
  <si>
    <t>JST-PH 2-Pin SMT Right Angle Connector</t>
  </si>
  <si>
    <t>10-pin 2x5 Socket-Socket 1.27mm IDC (SWD) Cable - 150mm long</t>
  </si>
  <si>
    <t>1675</t>
  </si>
  <si>
    <t>10-pin IDC Socket Rainbow Breakout Cable</t>
  </si>
  <si>
    <t>1199</t>
  </si>
  <si>
    <t>10-pin Socket/Socket IDC cable - Short 1.5"</t>
  </si>
  <si>
    <t>556</t>
  </si>
  <si>
    <t>6-pin Socket/Socket IDC cable - 6"</t>
  </si>
  <si>
    <t>371</t>
  </si>
  <si>
    <t>4-pin AT/ATX/IDE power cable</t>
  </si>
  <si>
    <t>425</t>
  </si>
  <si>
    <t>Ladyada's Electronics Toolkit</t>
  </si>
  <si>
    <t>136</t>
  </si>
  <si>
    <t>Hook-up Wire Spool Set - 22AWG Solid Core - 10 x 25ft</t>
  </si>
  <si>
    <t>3174</t>
  </si>
  <si>
    <t>Half Size Breadboard + 78 Piece 22AWG Jumper Wire Bundle</t>
  </si>
  <si>
    <t>3314</t>
  </si>
  <si>
    <t>Hakko Professsional Quality 20-30 AWG Wire Strippers - CSP-30-1</t>
  </si>
  <si>
    <t>527</t>
  </si>
  <si>
    <t>Professional IC Extraction Tool</t>
  </si>
  <si>
    <t>1598</t>
  </si>
  <si>
    <t>Hakko Precision Flat Pliers</t>
  </si>
  <si>
    <t>1368</t>
  </si>
  <si>
    <t>IC Socket - for 8-pin 0.3" Chips - Pack of 3</t>
  </si>
  <si>
    <t>2202</t>
  </si>
  <si>
    <t>Heat Shrink Pack</t>
  </si>
  <si>
    <t>344</t>
  </si>
  <si>
    <t>Adafruit 6-pin AVR ISP Breadboard Adapter Mini Kit</t>
  </si>
  <si>
    <t>1465</t>
  </si>
  <si>
    <t>Extra-long break-away 0.1" 16-pin strip male header (5 pieces)</t>
  </si>
  <si>
    <t>400</t>
  </si>
  <si>
    <t>Mega Components</t>
  </si>
  <si>
    <t>Mega Components/Shields</t>
  </si>
  <si>
    <t>Full Equipment              List</t>
  </si>
  <si>
    <t>G</t>
  </si>
  <si>
    <t>Retired</t>
  </si>
  <si>
    <t>Not Available for Backorder</t>
  </si>
  <si>
    <t>H</t>
  </si>
  <si>
    <t>CAB-00512</t>
  </si>
  <si>
    <t>https://www.sparkfun.com/products/512</t>
  </si>
  <si>
    <t>https://cdn.sparkfun.com/r/92-92/assets/parts/2/7/7/00512-1.jpg</t>
  </si>
  <si>
    <t>USB Cable A to B - 6 Foot</t>
  </si>
  <si>
    <t>CAB-11301</t>
  </si>
  <si>
    <t>https://www.sparkfun.com/products/11301</t>
  </si>
  <si>
    <t>https://cdn.sparkfun.com/r/92-92/assets/parts/6/9/8/0/11301-01.jpg</t>
  </si>
  <si>
    <t>SparkFun USB Mini-B Cable - 6 Foot</t>
  </si>
  <si>
    <t>CAB-13243</t>
  </si>
  <si>
    <t>https://www.sparkfun.com/products/13243</t>
  </si>
  <si>
    <t>https://cdn.sparkfun.com/r/92-92/assets/parts/1/0/4/2/9/13243-01.jpg</t>
  </si>
  <si>
    <t>USB Mini-B Cable - 6\"</t>
  </si>
  <si>
    <t>CAB-10177</t>
  </si>
  <si>
    <t>https://www.sparkfun.com/products/10177</t>
  </si>
  <si>
    <t>https://cdn.sparkfun.com/r/92-92/assets/parts/4/4/8/3/10177-01.jpg</t>
  </si>
  <si>
    <t>Panel Mount USB to 4-pin Female Header Cable - 6\'</t>
  </si>
  <si>
    <t>DEV-12761</t>
  </si>
  <si>
    <t>https://www.sparkfun.com/products/12761</t>
  </si>
  <si>
    <t>https://cdn.sparkfun.com/r/92-92/assets/parts/9/5/2/8/12761-05.jpg</t>
  </si>
  <si>
    <t>SparkFun microSD Shield</t>
  </si>
  <si>
    <t>Power</t>
  </si>
  <si>
    <t>Communication</t>
  </si>
  <si>
    <t>Charging</t>
  </si>
  <si>
    <t>Micro-B</t>
  </si>
  <si>
    <t>Bootloading</t>
  </si>
  <si>
    <t>Barrel Jack</t>
  </si>
  <si>
    <t>Barrel Jack
+Micro-B</t>
  </si>
  <si>
    <t>Host/Peripherals</t>
  </si>
  <si>
    <t>USB A</t>
  </si>
  <si>
    <t xml:space="preserve">Barrel Jack+Micro-B
</t>
  </si>
  <si>
    <t>WiFi+Micro-B</t>
  </si>
  <si>
    <t xml:space="preserve"> Micro-B</t>
  </si>
  <si>
    <t>JST+PTH</t>
  </si>
  <si>
    <t>WiFi+BT</t>
  </si>
  <si>
    <t>Mini-B+USB A</t>
  </si>
  <si>
    <t>Mini-B+PTH</t>
  </si>
  <si>
    <t xml:space="preserve">Barrel Jack+Mini-B
</t>
  </si>
  <si>
    <t>3.5mm</t>
  </si>
  <si>
    <t>10-bit</t>
  </si>
  <si>
    <t>12-bit</t>
  </si>
  <si>
    <t>WRL-12579</t>
  </si>
  <si>
    <t>https://www.sparkfun.com/products/12579</t>
  </si>
  <si>
    <t>https://cdn.sparkfun.com/r/92-92/assets/parts/9/2/3/1/10559-01.jpg</t>
  </si>
  <si>
    <t>SparkFun Bluetooth Module Breakout - Roving Networks (RN-41 v6.15)</t>
  </si>
  <si>
    <t>WRL-11048</t>
  </si>
  <si>
    <t>https://www.sparkfun.com/products/11048</t>
  </si>
  <si>
    <t>https://cdn.sparkfun.com/r/92-92/assets/parts/6/4/1/0/11048-01.jpg</t>
  </si>
  <si>
    <t>RN-XV WiFly Module - U.FL Connector</t>
  </si>
  <si>
    <t>WRL-11320</t>
  </si>
  <si>
    <t>https://www.sparkfun.com/products/11320</t>
  </si>
  <si>
    <t>https://cdn.sparkfun.com/r/92-92/assets/parts/7/0/1/7/11320-01.jpg</t>
  </si>
  <si>
    <t>2.4GHz Antenna - Adhesive (U.FL Connector)</t>
  </si>
  <si>
    <t>WRL-13287</t>
  </si>
  <si>
    <t>https://www.sparkfun.com/products/13287</t>
  </si>
  <si>
    <t>https://cdn.sparkfun.com/r/92-92/assets/parts/1/0/5/3/8/13287-01.jpg</t>
  </si>
  <si>
    <t>SparkFun WiFi Shield - ESP8266</t>
  </si>
  <si>
    <t>2217.4135, 1515.5218, 3.0920, -3.1186,  -4.2865, -1.9194, -2.7559, -4.1331, 4111.3763, 3428.6342, 0.0640, -0.4597, -1.7025, 0.3528, -0.7728, -2.5591, 4981.7609, 4321.0805, 1.6899, 0.9201, -0.3884, 1.5522, 0.2834, -1.6734, 5309.5095, 4672.0931, 2.4863, 1.5957, 0.2523, 2.1598, 0.8297, -1.1724, 5350.4742, 4736.3807, 2.8319, 1.8942, 0.5264, 2.4447, 1.0969, -0.8851, 5242.7214, 4651.3430, 2.9332, 1.9902, 0.6042, 2.5554, 1.2124, -0.7170, 5061.7428, 4492.0985, 2.9041, 1.9791, 0.5789, 2.5729, 1.2458, -0.6160, 4848.6624, 4299.5617, 2.8078, 1.9133, 0.5009, 2.5419, 1.2356, -0.5527, 4625.7547, 4095.8910, 2.6791, 1.8217, 0.3981, 2.4872, 1.2033, -0.5109, 4404.9308, 3893.0010, 2.5371, 1.7200, 0.2860, 2.4223, 1.1609, -0.4813, 4192.4150, 3697.1316, 2.3925, 1.6173, 0.1731, 2.3549, 1.1151, -0.4583, 3991.2896, 3511.4183, 2.2513, 1.5179, 0.0642, 2.2888, 1.0693, -0.4388, 3802.8942, 3337.2721, 2.1166, 1.4245, -0.0390, 2.2265, 1.0255, -0.4210, 2217.4199, 1515.5173, -3.0920, -3.1186, -4.2865, -1.9194, -2.7559, -4.1331, 4150.1360, 3466.9576, 0.1116, -0.4632, -1.6963, 0.3100, -0.8049, -2.5864, 5013.7590, 4352.6324, 1.7311, 0.9115, -0.3834, 1.5183, 0.2573, -1.6953, 5337.6208, 4699.7815, 2.5232, 1.5885, 0.2555, 2.1306, 0.8067, -1.1912, 5375.5177, 4761.0532, 2.8651, 1.8879, 0.5305, 2.4189, 1.0764, -0.9018, 5264.2197, 4672.5401, 2.9620, 1.9845, 0.6084, 2.5336, 1.1949, -0.7313, 5081.1624, 4511.2506, 2.9304, 1.9737, 0.5828, 2.5533, 1.2300, -0.6288, 4867.1214, 4317.7619, 2.8328, 1.9078, 0.5048, 2.5233, 1.2207, -0.5651, 4643.3206, 4113.2073, 2.7029, 1.8164, 0.4019, 2.4693, 1.1892, -0.5227, 4422.0125, 3909.8329, 2.5602, 1.7149, 0.2899, 2.4048, 1.1471, -0.4929, 4208.9333, 3713.4044, 2.4149, 1.6121, 0.1770, 2.3379, 1.1017, -0.4695, 4007.2798, 3527.1646, 2.2729, 1.5128, 0.0679, 2.2724, 1.0563, -0.4497, 3818.3944, 3352.5243, 2.1375, 1.4193, -0.0351, 2.2107, 1.0129, -0.4316, 2217.4069, 1515.5256, -3.0920, -3.1186, -4.2865, -1.9194, -2.7558, -4.1331, 4171.9276, 3488.4628, 0.1398, -0.4687, -1.6945, 0.2861, -0.8232, -2.6017, 5025.0800, 4363.8037, 1.7459, 0.9087, -0.3823, 1.5067, 0.2481, -1.7028, 5364.8676, 4726.6152, 2.5602, 1.5828, 0.2588, 2.1011, 0.7836, -1.2100, 5399.2786, 4784.4705, 2.8977, 1.8831, 0.5328, 2.3938, 1.0566, -0.9179, 5292.2929, 4700.1867, 3.0004, 1.9785, 0.6105, 2.5034, 1.1712, -0.7505, 5110.5753, 4540.2248, 2.9707, 1.9672, 0.5852, 2.5215, 1.2051, -0.6491, 4896.3137, 4346.5177, 2.8728, 1.9013, 0.5071, 2.4915, 1.1960, -0.5853, 4671.7171, 4141.1988, 2.7418, 1.8098, 0.4042, 2.4383, 1.1651, -0.5425, 4449.4798, 3936.9143, 2.5979, 1.7082, 0.2923, 2.3746, 1.1237, -0.5120, 4235.5599, 3739.6611, 2.4515, 1.6056, 0.1794, 2.3084, 1.0789, -0.4882, 4033.0204, 3552.5531, 2.3083, 1.5062, 0.0702, 2.2438, 1.0341, -0.4680, 3843.3098, 3377.1140, 2.1718, 1.4127, -0.0327, 2.1827, 0.9914, -0.4493, 2217.4125, 1515.5260, -3.0920, -3.1186, -4.2865, -1.9194, -2.7559, -4.1331, 4183.7952, 3500.1413, 0.1555, -0.4719, -1.6939, 0.2732, -0.8333, -2.6100, 5029.7019, 4368.3353, 1.7519, 0.9080, -0.3808, 1.5021, 0.2444, -1.7058, 5344.0788, 4706.1349, 2.5311, 1.5872, 0.2581, 2.1250, 0.8020, -1.1951, 5382.3065, 4767.7125, 2.8735, 1.8865, 0.5321, 2.4128, 1.0713, -0.9060, 5275.3160, 4683.4083, 2.9760, 1.9822, 0.6102, 2.5223, 1.1859, -0.7386, 5094.0570, 4523.8663, 2.9467, 1.9710, 0.5846, 2.5400, 1.2195, -0.6375, 4879.6599, 4330.0175, 2.8486, 1.9051, 0.5067, 2.5104, 1.2105, -0.5734, 4655.9445, 4125.5495, 2.7188, 1.8136, 0.4039, 2.4563, 1.1789, -0.5312, 4434.0393, 3921.5857, 2.5753, 1.7122, 0.2919, 2.3925, 1.1372, -0.5009, 4220.5455, 3724.7387, 2.4295, 1.6095, 0.1791, 2.3258, 1.0921, -0.4773, 4018.5486, 3538.1603, 2.2870, 1.5101, 0.0700, 2.2608, 1.0470, -0.4573, 3829.3256, 3363.1843, 2.1512, 1.4167, -0.0331, 2.1993, 1.0039, -0.4390, 2217.4050, 1515.5140, -3.0920, -3.1186, -4.2865, -1.9194, -2.7558, -4.1331, 4189.9910, 3506.2273, 0.1638, -0.4731, -1.6933, 0.2666, -0.8387, -2.6143, 5092.9100, 4430.4661, 1.8388, 0.8936, -0.3760, 1.4328, 0.1892, -1.7500, 5431.9803, 4792.5110, 2.6537, 1.5665, 0.2594, 2.0296, 0.7258, -1.2557, 5464.5476, 4848.5669, 2.9890, 1.8671, 0.5343, 2.3247, 1.0008, -0.9620, 5352.1301, 4758.9732, 3.0848, 1.9635, 0.6126, 2.4404, 1.1203, -0.7909, 5165.7368, 4594.4412, 3.0489, 1.9531, 0.5873, 2.4635, 1.1583, -0.6863, 4948.6194, 4397.9368, 2.9473, 1.8875, 0.5095, 2.4365, 1.1514, -0.6208, 4721.9767, 4190.6089, 2.8135, 1.7960, 0.4066, 2.3851, 1.1221, -0.5768, 4497.7867, 3984.4019, 2.6668, 1.6945, 0.2948, 2.3234, 1.0822, -0.5452, 4282.1572, 3785.4555, 2.5179, 1.5920, 0.1821, 2.2588, 1.0387, -0.5204, 4078.1933, 3596.9341, 2.3726, 1.4927, 0.0728, 2.1955, 0.9951, -0.4993, 3887.0493, 3420.0670, 2.2340, 1.3995, -0.0301, 2.1358, 0.9536, -0.4799, 2217.4086, 1515.5140, -3.0920, -3.1186, -4.2865, -1.9194, -2.7558, -4.1331, 4193.1624, 3509.3362, 0.1681, -0.4739, -1.6929, 0.2631, -0.8414, -2.6166, 5038.9210, 4377.3990, 1.7643, 0.9061, -0.3796, 1.4924, 0.2367, -1.7122, 5356.8088, 4718.6609, 2.5486, 1.5846, 0.2597, 2.1114, 0.7913, -1.2038, 5400.9353, 4786.0287, 2.8992, 1.8825, 0.5340, 2.3926, 1.0554, -0.9188, 5288.8923, 4696.7896, 2.9952, 1.9793, 0.6120, 2.5081, 1.1745, -0.7478, 5104.5732, 4534.2725, 2.9620, 1.9686, 0.5865, 2.5292, 1.2108, -0.6446, 4889.2270, 4339.5029, 2.8628, 1.9029, 0.5086, 2.5005, 1.2025, -0.5800, 4664.7227, 4134.2643, 2.7320, 1.8114, 0.4059, 2.4472, 1.1715, -0.5373, 4442.4503, 3929.9420, 2.5880, 1.7100, 0.2940, 2.3837, 1.1303, -0.5068, 4228.8245, 3732.9620, 2.4418, 1.6073, 0.1810, 2.3172, 1.0852, -0.4830, 4026.5330, 3546.0936, 2.2990, 1.5079, 0.0718, 2.2524, 1.0403, -0.4629, 3837.0532, 3370.8649, 2.1627, 1.4145, -0.0310, 2.1912, 0.9975, -0.4444, 2217.4128, 1515.5142, -3.0920, -3.1186, -4.2865, -1.9194, -2.7559, -4.1331, 4194.7518, 3510.9047, 0.1702, -0.4742, -1.6929, 0.2614, -0.8427, -2.6177, 5040.4210, 4378.8746, 1.7664, 0.9058, -0.3794, 1.4907, 0.2354, -1.7132, 5351.4960, 4713.4293, 2.5412, 1.5858, 0.2590, 2.1176, 0.7960, -1.2000, 5384.2753, 4769.6451, 2.8762, 1.8861, 0.5328, 2.4115, 1.0701, -0.9071, 5274.0391, 4682.1541, 2.9744, 1.9824, 0.6105, 2.5247, 1.1874, -0.7375, 5091.3564, 4521.2122, 2.9432, 1.9715, 0.5849, 2.5439, 1.2221, -0.6354, 4876.3950, 4326.8056, 2.8445, 1.9059, 0.5070, 2.5148, 1.2135, -0.5710, 4652.1788, 4121.8410, 2.7140, 1.8144, 0.4043, 2.4614, 1.1823, -0.5284, 4430.6815, 3918.2573, 2.5710, 1.7129, 0.2922, 2.3971, 1.1405, -0.4984, 4217.3333, 3721.5443, 2.4253, 1.6101, 0.1794, 2.3304, 1.0953, -0.4749, 4015.4388, 3535.0603, 2.2829, 1.5109, 0.0703, 2.2653, 1.0500, -0.4549, 3826.3374, 3360.1987, 2.1472, 1.4174, -0.0327, 2.2037, 1.0070, -0.4366, 2217.4021, 1515.5140, -3.0920, -3.1186, -4.2865, -1.9194, -2.7558, -4.1331, 4195.5482, 3511.6917, 0.1713, -0.4744, -1.6928, 0.2605, -0.8434, -2.6182, 5033.4435, 4372.0073, 1.7568, 0.9074, -0.3801, 1.4984, 0.2414, -1.7082, 5343.7809, 4705.8281, 2.5305, 1.5874, 0.2580, 2.1259, 0.8026, -1.1947, 5375.1692, 4760.6724, 2.8636, 1.8879, 0.5317, 2.4214, 1.0778, -0.9008, 5262.3526, 4670.6389, 2.9584, 1.9847, 0.6094, 2.5376, 1.1974, -0.7294, 5078.7175, 4508.7512, 2.9260, 1.9739, 0.5839, 2.5579, 1.2329, -0.6266, 4864.1564, 4314.7276, 2.8277, 1.9083, 0.5058, 2.5284, 1.2240, -0.5625, 4640.3567, 4110.1594, 2.6978, 1.8168, 0.4031, 2.4746, 1.1925, -0.5201, 4418.9360, 3906.6468, 2.5549, 1.7153, 0.2912, 2.4104, 1.1506, -0.4900, 4205.9651, 3710.3079, 2.4096, 1.6126, 0.1783, 2.3434, 1.1051, -0.4668, 4004.4622, 3524.2024, 2.2678, 1.5132, 0.0693, 2.2779, 1.0596, -0.4470, 3815.7729, 3349.7437, 2.1325, 1.4199, -0.0337, 2.2161, 1.0162, -0.4290, 2217.3962, 1515.5179, -3.0921, -3.1186, -4.2865, -1.9194, -2.7558, -4.1331, 4195.9411, 3512.0887, 0.1718, -0.4745, -1.6927, 0.2601, -0.8438, -2.6185, 5065.9181, 4403.9623, 1.8014, 0.8999, -0.3774, 1.4627, 0.2131, -1.7310, 5390.0697, 4751.3765, 2.5948, 1.5770, 0.2605, 2.0754, 0.7626, -1.2267, 5420.6090, 4805.4258, 2.9269, 1.8779, 0.5347, 2.3722, 1.0389, -0.9319, 5312.3873, 4719.9322, 3.0282, 1.9736, 0.6125, 2.4830, 1.1545, -0.7638, 5127.1231, 4556.4990, 2.9938, 1.9631, 0.5873, 2.5053, 1.1915, -0.6600, 4910.9497, 4360.9170, 2.8935, 1.8976, 0.5093, 2.4773, 1.1839, -0.5948, 4685.5582, 4154.8139, 2.7614, 1.8061, 0.4065, 2.4250, 1.1536, -0.5517, 4462.5935, 3949.8077, 2.6165, 1.7046, 0.2947, 2.3620, 1.1129, -0.5208, 4248.1443, 3752.0260, 2.4692, 1.6020, 0.1817, 2.2964, 1.0684, -0.4967, 4045.3125, 3564.6156, 2.3256, 1.5027, 0.0727, 2.2321, 1.0239, -0.4761, 3855.2281, 3388.7918, 2.1884, 1.4094, -0.0304, 2.1715, 0.9817, -0.4573, 2217.4104, 1515.5222, -3.0920, -3.1186, -4.2865, -1.9194, -2.7558, -4.1331, 4196.1568, 3512.2909, 0.1721, -0.4746, -1.6927, 0.2599, -0.8440, -2.6186, 5033.2120, 4371.7834, 1.7564, 0.9074, -0.3802, 1.4987, 0.2417, -1.7080, 5350.6767, 4712.6200, 2.5400, 1.5860, 0.2589, 2.1181, 0.7966, -1.1995, 5382.0073, 4767.4032, 2.8731, 1.8867, 0.5327, 2.4139, 1.0720, -0.9056, 5269.0815, 4677.2738, 2.9678, 1.9834, 0.6105, 2.5302, 1.1916, -0.7340, 5085.1964, 4515.1576, 2.9351, 1.9727, 0.5849, 2.5507, 1.2275, -0.6311, 4870.4160, 4320.9201, 2.8365, 1.9071, 0.5069, 2.5215, 1.2187, -0.5668, 4646.3986, 4116.1466, 2.7062, 1.8156, 0.4042, 2.4678, 1.1874, -0.5243, 4424.7665, 3912.4362, 2.5631, 1.7142, 0.2923, 2.4038, 1.1456, -0.4942, 4211.5971, 3715.8927, 2.4176, 1.6114, 0.1794, 2.3370, 1.1002, -0.4708, 4009.8994, 3529.5994, 2.2755, 1.5121, 0.0703, 2.2717, 1.0549, -0.4509, 3820.9879, 3354.9239, 2.1400, 1.4188, -0.0327, 2.2100, 1.0117, -0.4328, 2217.4012, 1515.5299, -3.0920, -3.1186, -4.2865, -1.9194, -2.7559, -4.1331, 4196.2466, 3512.3962, 0.1722, -0.4746, -1.6927, 0.2597, -0.8441, -2.6187, 5097.5006, 4434.9803, 1.8452, 0.8923, -0.3760, 1.4279, 0.1853, -1.7531, 5406.3385, 4767.3784, 2.6171, 1.5736, 0.2633, 2.0584, 0.7490, -1.2376, 5435.9438, 4820.5061, 2.9480, 1.8747, 0.5376, 2.3564, 1.0262, -0.9423, 5321.2185, 4728.6389, 3.0404, 1.9717, 0.6157, 2.4746, 1.1475, -0.7696, 5135.6258, 4564.8615, 3.0055, 1.9613, 0.5903, 2.4969, 1.1846, -0.6655, 4919.1668, 4368.9863, 2.9048, 1.8957, 0.5124, 2.4692, 1.1774, -0.6004, 4693.5239, 4162.6158, 2.7724, 1.8042, 0.4095, 2.4171, 1.1473, -0.5571, 4470.3218, 3957.3657, 2.6271, 1.7028, 0.2976, 2.3543, 1.1068, -0.5260, 4255.6524, 3759.3486, 2.4794, 1.6000, 0.1848, 2.2889, 1.0624, -0.5018, 4052.5291, 3571.6395, 2.3353, 1.5008, 0.0758, 2.2250, 1.0182, -0.4811, 3862.2472, 3395.6057, 2.1979, 1.4075, -0.0273, 2.1646, 0.9762, -0.4621, 2217.4019, 1515.5259, -3.0920, -3.1186, -4.2865, -1.9194, -2.7558, -4.1331, 4196.2996, 3512.4423, 0.1723, -0.4746, -1.6927, 0.2597, -0.8441, -2.6187, 5034.1218, 4372.6907, 1.7577, 0.9072, -0.3801, 1.4977, 0.2409, -1.7087, 5346.1160, 4708.1358, 2.5337, 1.5869, 0.2583, 2.1233, 0.8006, -1.1963, 5377.4692, 4762.9488, 2.8668, 1.8874, 0.5320, 2.4189, 1.0758, -0.9024, 5264.6752, 4672.9318, 2.9616, 1.9842, 0.6097, 2.5350, 1.1954, -0.7310, 5080.9601, 4510.9740, 2.9291, 1.9735, 0.5842, 2.5555, 1.2311, -0.6282, 4866.3249, 4316.8792, 2.8308, 1.9078, 0.5061, 2.5261, 1.2222, -0.5640, 4642.4505, 4112.2383, 2.7007, 1.8164, 0.4034, 2.4722, 1.1907, -0.5216, 4420.9547, 3908.6624, 2.5577, 1.7149, 0.2916, 2.4082, 1.1488, -0.4915, 4207.9146, 3712.2538, 2.4123, 1.6121, 0.1787, 2.3412, 1.1034, -0.4682, 4006.3578, 3526.0935, 2.2704, 1.5129, 0.0696, 2.2758, 1.0580, -0.4484, 3817.5694, 3351.5326, 2.1351, 1.4194, -0.0333, 2.2141, 1.0147, -0.4304</t>
  </si>
  <si>
    <t>List #</t>
  </si>
  <si>
    <t>Qty.</t>
  </si>
  <si>
    <t>511-53L0-SATEL-I1</t>
  </si>
  <si>
    <t>53L0-SATEL-I1</t>
  </si>
  <si>
    <t>STMicroelectronics</t>
  </si>
  <si>
    <t>Satellite: mini-PCB with VL53L0X</t>
  </si>
  <si>
    <t>ST Microelectronics</t>
  </si>
  <si>
    <t>Mouser SKU Prefix</t>
  </si>
  <si>
    <t>474-</t>
  </si>
  <si>
    <t>485-</t>
  </si>
  <si>
    <t>511-</t>
  </si>
  <si>
    <t>Mouser SKU</t>
  </si>
  <si>
    <r>
      <t>Onion Omega2</t>
    </r>
    <r>
      <rPr>
        <vertAlign val="superscript"/>
        <sz val="11"/>
        <rFont val="Calibri"/>
        <family val="2"/>
        <scheme val="minor"/>
      </rPr>
      <t>+</t>
    </r>
    <r>
      <rPr>
        <sz val="11"/>
        <rFont val="Calibri"/>
        <family val="2"/>
        <scheme val="minor"/>
      </rPr>
      <t xml:space="preserve"> + Arduino Base Station</t>
    </r>
  </si>
  <si>
    <r>
      <t>Onion Omega2</t>
    </r>
    <r>
      <rPr>
        <vertAlign val="superscript"/>
        <sz val="11"/>
        <rFont val="Calibri"/>
        <family val="2"/>
        <scheme val="minor"/>
      </rPr>
      <t>+</t>
    </r>
    <r>
      <rPr>
        <sz val="11"/>
        <rFont val="Calibri"/>
        <family val="2"/>
        <scheme val="minor"/>
      </rPr>
      <t xml:space="preserve"> Handheld</t>
    </r>
  </si>
  <si>
    <t># Walker Testing Units (Initial/Total):</t>
  </si>
  <si>
    <t>Supplier</t>
  </si>
  <si>
    <t>Extra Initial</t>
  </si>
  <si>
    <t>Extra</t>
  </si>
  <si>
    <t># Left</t>
  </si>
  <si>
    <t># Initial</t>
  </si>
  <si>
    <t>Tot #</t>
  </si>
  <si>
    <t>#/Unit</t>
  </si>
  <si>
    <t>Mini USB WiFi Module - RTL8188eu - 802.11b/g/n</t>
  </si>
  <si>
    <t>Bluetooth / WiFi Combination USB Dongle</t>
  </si>
  <si>
    <t>USB WIFI DONGLE BL-WN2210</t>
  </si>
  <si>
    <t>AAEON UP</t>
  </si>
  <si>
    <t>OPT-UP-WF-002</t>
  </si>
  <si>
    <t>409-</t>
  </si>
  <si>
    <t>100m indoor, 300m outdoor transmission range</t>
  </si>
  <si>
    <t>8m  transmission range</t>
  </si>
  <si>
    <t>300m transmission range</t>
  </si>
  <si>
    <t xml:space="preserve">Mini Power Switch - SPDT </t>
  </si>
  <si>
    <t>RGB LCD Shield Kit w/ 16x2 Character Display - Only 2 pins used! - POSITIVE DISPLAY</t>
  </si>
  <si>
    <t>LCD Shield Kit w/ 16x2 Character Display - Only 2 pins used! - BLUE AND WHITE</t>
  </si>
  <si>
    <t>$/Unit</t>
  </si>
  <si>
    <t>Total $</t>
  </si>
  <si>
    <t>Cost Breakdown</t>
  </si>
  <si>
    <t>Initial Order</t>
  </si>
  <si>
    <t>Total Order</t>
  </si>
  <si>
    <t>Supplier SKU</t>
  </si>
  <si>
    <t>Total Price (USD)</t>
  </si>
  <si>
    <t xml:space="preserve">        Mouser Purchase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</si>
</sst>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164" formatCode="[&lt;=9999999]###\-####;\(###\)\ ###\-####"/>
    <numFmt numFmtId="165" formatCode="0_);\(0\)"/>
    <numFmt numFmtId="166" formatCode="&quot;$&quot;#,##0.00"/>
    <numFmt numFmtId="167" formatCode="_([$$-409]* #,##0.00_);_([$$-409]* \(#,##0.00\);_([$$-409]* &quot;-&quot;??_);_(@_)"/>
  </numFmts>
  <fonts count="34" x14ac:knownFonts="1">
    <font>
      <sz val="11"/>
      <color theme="1"/>
      <name val="Calibri"/>
      <family val="2"/>
      <scheme val="minor"/>
    </font>
    <font>
      <sz val="8"/>
      <name val="Arial"/>
      <family val="2"/>
    </font>
    <font>
      <b/>
      <sz val="11"/>
      <color theme="1"/>
      <name val="Calibri"/>
      <family val="2"/>
      <scheme val="minor"/>
    </font>
    <font>
      <sz val="11"/>
      <color theme="3" tint="-0.499984740745262"/>
      <name val="Calibri"/>
      <family val="2"/>
      <scheme val="minor"/>
    </font>
    <font>
      <b/>
      <sz val="16"/>
      <color theme="4"/>
      <name val="Calibri"/>
      <family val="2"/>
      <scheme val="minor"/>
    </font>
    <font>
      <sz val="11"/>
      <color theme="1"/>
      <name val="Calibri"/>
      <family val="2"/>
      <scheme val="minor"/>
    </font>
    <font>
      <sz val="26"/>
      <color theme="2" tint="-0.499984740745262"/>
      <name val="Corbel"/>
      <family val="2"/>
      <scheme val="major"/>
    </font>
    <font>
      <b/>
      <sz val="16"/>
      <color theme="2" tint="-0.749961851863155"/>
      <name val="Corbel"/>
      <family val="2"/>
      <scheme val="major"/>
    </font>
    <font>
      <b/>
      <sz val="11"/>
      <color theme="2" tint="-0.749961851863155"/>
      <name val="Corbel"/>
      <family val="2"/>
      <scheme val="major"/>
    </font>
    <font>
      <sz val="11"/>
      <color theme="0"/>
      <name val="Calibri"/>
      <family val="2"/>
      <scheme val="minor"/>
    </font>
    <font>
      <b/>
      <sz val="26"/>
      <color theme="3"/>
      <name val="Corbel"/>
      <family val="2"/>
      <scheme val="major"/>
    </font>
    <font>
      <sz val="11"/>
      <color theme="0" tint="-4.9989318521683403E-2"/>
      <name val="Calibri"/>
      <family val="2"/>
      <scheme val="minor"/>
    </font>
    <font>
      <u/>
      <sz val="11"/>
      <color theme="10"/>
      <name val="Calibri"/>
      <family val="2"/>
      <scheme val="minor"/>
    </font>
    <font>
      <b/>
      <sz val="11"/>
      <color theme="0"/>
      <name val="Calibri"/>
      <family val="2"/>
      <scheme val="minor"/>
    </font>
    <font>
      <b/>
      <sz val="16"/>
      <color theme="0"/>
      <name val="Calibri"/>
      <family val="2"/>
      <scheme val="minor"/>
    </font>
    <font>
      <sz val="16"/>
      <color theme="1"/>
      <name val="Calibri"/>
      <family val="2"/>
      <scheme val="minor"/>
    </font>
    <font>
      <sz val="16"/>
      <color rgb="FF555555"/>
      <name val="Calibri"/>
      <family val="2"/>
      <scheme val="minor"/>
    </font>
    <font>
      <sz val="16"/>
      <color rgb="FF333333"/>
      <name val="Calibri"/>
      <family val="2"/>
      <scheme val="minor"/>
    </font>
    <font>
      <sz val="14"/>
      <color rgb="FF555555"/>
      <name val="Arial"/>
      <family val="2"/>
    </font>
    <font>
      <sz val="14"/>
      <color theme="1"/>
      <name val="Calibri"/>
      <family val="2"/>
      <scheme val="minor"/>
    </font>
    <font>
      <vertAlign val="superscript"/>
      <sz val="11"/>
      <color theme="1"/>
      <name val="Calibri"/>
      <family val="2"/>
      <scheme val="minor"/>
    </font>
    <font>
      <b/>
      <sz val="18"/>
      <color rgb="FFFF0000"/>
      <name val="Corbel"/>
      <family val="2"/>
      <scheme val="major"/>
    </font>
    <font>
      <sz val="11"/>
      <color rgb="FF00B0F0"/>
      <name val="Calibri"/>
      <family val="2"/>
      <scheme val="minor"/>
    </font>
    <font>
      <vertAlign val="superscript"/>
      <sz val="11"/>
      <color rgb="FF00B0F0"/>
      <name val="Calibri"/>
      <family val="2"/>
      <scheme val="minor"/>
    </font>
    <font>
      <sz val="10"/>
      <color rgb="FF00B0F0"/>
      <name val="Arial"/>
      <family val="2"/>
    </font>
    <font>
      <sz val="11"/>
      <color rgb="FFFF0000"/>
      <name val="Calibri"/>
      <family val="2"/>
      <scheme val="minor"/>
    </font>
    <font>
      <b/>
      <sz val="14"/>
      <color theme="0"/>
      <name val="Calibri"/>
      <family val="2"/>
      <scheme val="minor"/>
    </font>
    <font>
      <b/>
      <sz val="11"/>
      <color theme="0"/>
      <name val="Calibri"/>
      <family val="2"/>
    </font>
    <font>
      <b/>
      <sz val="14"/>
      <color theme="0"/>
      <name val="Forte"/>
      <family val="4"/>
    </font>
    <font>
      <b/>
      <sz val="11"/>
      <name val="Calibri"/>
      <family val="2"/>
      <scheme val="minor"/>
    </font>
    <font>
      <sz val="11"/>
      <name val="Calibri"/>
      <family val="2"/>
      <scheme val="minor"/>
    </font>
    <font>
      <sz val="10"/>
      <name val="Arial"/>
      <family val="2"/>
    </font>
    <font>
      <vertAlign val="superscript"/>
      <sz val="11"/>
      <name val="Calibri"/>
      <family val="2"/>
      <scheme val="minor"/>
    </font>
    <font>
      <b/>
      <sz val="12"/>
      <name val="Corbel"/>
      <family val="2"/>
      <scheme val="major"/>
    </font>
  </fonts>
  <fills count="17">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3" tint="-0.499984740745262"/>
        <bgColor indexed="64"/>
      </patternFill>
    </fill>
    <fill>
      <patternFill patternType="solid">
        <fgColor theme="2" tint="-0.749961851863155"/>
        <bgColor theme="5"/>
      </patternFill>
    </fill>
    <fill>
      <patternFill patternType="solid">
        <fgColor rgb="FF1F4E49"/>
        <bgColor indexed="64"/>
      </patternFill>
    </fill>
    <fill>
      <patternFill patternType="solid">
        <fgColor rgb="FFFF000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002060"/>
        <bgColor indexed="64"/>
      </patternFill>
    </fill>
    <fill>
      <patternFill patternType="solid">
        <fgColor rgb="FFF3AE03"/>
        <bgColor indexed="64"/>
      </patternFill>
    </fill>
    <fill>
      <patternFill patternType="solid">
        <fgColor theme="3"/>
        <bgColor indexed="64"/>
      </patternFill>
    </fill>
    <fill>
      <patternFill patternType="solid">
        <fgColor theme="0" tint="-4.9989318521683403E-2"/>
        <bgColor theme="5" tint="0.79992065187536243"/>
      </patternFill>
    </fill>
    <fill>
      <patternFill patternType="solid">
        <fgColor theme="9" tint="-0.499984740745262"/>
        <bgColor indexed="64"/>
      </patternFill>
    </fill>
    <fill>
      <patternFill patternType="solid">
        <fgColor rgb="FFFF4F4F"/>
        <bgColor indexed="64"/>
      </patternFill>
    </fill>
  </fills>
  <borders count="20">
    <border>
      <left/>
      <right/>
      <top/>
      <bottom/>
      <diagonal/>
    </border>
    <border>
      <left/>
      <right/>
      <top style="thin">
        <color theme="3" tint="-0.24994659260841701"/>
      </top>
      <bottom style="double">
        <color theme="3" tint="-0.24994659260841701"/>
      </bottom>
      <diagonal/>
    </border>
    <border>
      <left/>
      <right/>
      <top/>
      <bottom style="thick">
        <color theme="0"/>
      </bottom>
      <diagonal/>
    </border>
    <border>
      <left style="thick">
        <color theme="2" tint="-0.749961851863155"/>
      </left>
      <right style="thick">
        <color theme="2" tint="-0.749961851863155"/>
      </right>
      <top style="thick">
        <color theme="2" tint="-0.749961851863155"/>
      </top>
      <bottom style="thick">
        <color theme="2" tint="-0.749961851863155"/>
      </bottom>
      <diagonal/>
    </border>
    <border>
      <left style="thin">
        <color theme="3"/>
      </left>
      <right/>
      <top/>
      <bottom/>
      <diagonal/>
    </border>
    <border>
      <left/>
      <right style="thin">
        <color theme="3"/>
      </right>
      <top/>
      <bottom/>
      <diagonal/>
    </border>
    <border>
      <left/>
      <right style="thick">
        <color theme="2" tint="-0.749961851863155"/>
      </right>
      <top/>
      <bottom/>
      <diagonal/>
    </border>
    <border>
      <left style="thick">
        <color theme="3" tint="-0.499984740745262"/>
      </left>
      <right/>
      <top style="thick">
        <color theme="3" tint="-0.499984740745262"/>
      </top>
      <bottom/>
      <diagonal/>
    </border>
    <border>
      <left style="thick">
        <color theme="3" tint="-0.499984740745262"/>
      </left>
      <right/>
      <top/>
      <bottom/>
      <diagonal/>
    </border>
    <border>
      <left/>
      <right/>
      <top style="thick">
        <color theme="3" tint="-0.499984740745262"/>
      </top>
      <bottom/>
      <diagonal/>
    </border>
    <border>
      <left style="thick">
        <color theme="2" tint="-0.749961851863155"/>
      </left>
      <right/>
      <top style="thick">
        <color theme="2" tint="-0.749961851863155"/>
      </top>
      <bottom style="thick">
        <color theme="2" tint="-0.749961851863155"/>
      </bottom>
      <diagonal/>
    </border>
    <border>
      <left/>
      <right style="thick">
        <color theme="2" tint="-0.749961851863155"/>
      </right>
      <top style="thick">
        <color theme="2" tint="-0.749961851863155"/>
      </top>
      <bottom style="thick">
        <color theme="2" tint="-0.749961851863155"/>
      </bottom>
      <diagonal/>
    </border>
    <border>
      <left style="thick">
        <color theme="2" tint="-0.89996032593768116"/>
      </left>
      <right/>
      <top style="thick">
        <color theme="2" tint="-0.89996032593768116"/>
      </top>
      <bottom style="thick">
        <color theme="2" tint="-0.89996032593768116"/>
      </bottom>
      <diagonal/>
    </border>
    <border>
      <left/>
      <right/>
      <top style="thick">
        <color theme="2" tint="-0.89996032593768116"/>
      </top>
      <bottom style="thick">
        <color theme="2" tint="-0.89996032593768116"/>
      </bottom>
      <diagonal/>
    </border>
    <border>
      <left/>
      <right style="thick">
        <color theme="2" tint="-0.89996032593768116"/>
      </right>
      <top style="thick">
        <color theme="2" tint="-0.89996032593768116"/>
      </top>
      <bottom style="thick">
        <color theme="2" tint="-0.89996032593768116"/>
      </bottom>
      <diagonal/>
    </border>
    <border>
      <left/>
      <right/>
      <top style="thick">
        <color theme="2" tint="-0.749961851863155"/>
      </top>
      <bottom/>
      <diagonal/>
    </border>
    <border>
      <left/>
      <right style="thick">
        <color theme="2" tint="-0.749961851863155"/>
      </right>
      <top style="thick">
        <color theme="2" tint="-0.89996032593768116"/>
      </top>
      <bottom style="thick">
        <color theme="2" tint="-0.89996032593768116"/>
      </bottom>
      <diagonal/>
    </border>
    <border>
      <left style="thick">
        <color theme="2" tint="-0.749961851863155"/>
      </left>
      <right style="thick">
        <color theme="2" tint="-0.749961851863155"/>
      </right>
      <top style="thick">
        <color theme="2" tint="-0.749961851863155"/>
      </top>
      <bottom/>
      <diagonal/>
    </border>
    <border>
      <left style="thick">
        <color theme="2" tint="-0.749961851863155"/>
      </left>
      <right/>
      <top style="thick">
        <color theme="2" tint="-0.749961851863155"/>
      </top>
      <bottom/>
      <diagonal/>
    </border>
    <border>
      <left/>
      <right/>
      <top/>
      <bottom style="thick">
        <color theme="2" tint="-0.749961851863155"/>
      </bottom>
      <diagonal/>
    </border>
  </borders>
  <cellStyleXfs count="21">
    <xf numFmtId="0" fontId="0" fillId="0" borderId="0" applyFill="0" applyBorder="0">
      <alignment horizontal="left" vertical="center" wrapText="1" indent="1"/>
    </xf>
    <xf numFmtId="0" fontId="7" fillId="2" borderId="2" applyAlignment="0">
      <alignment horizontal="left" vertical="center" indent="1"/>
    </xf>
    <xf numFmtId="0" fontId="7" fillId="2" borderId="2">
      <alignment horizontal="right" vertical="center"/>
    </xf>
    <xf numFmtId="0" fontId="8" fillId="3" borderId="2" applyAlignment="0">
      <alignment horizontal="left" vertical="center" indent="1"/>
    </xf>
    <xf numFmtId="0" fontId="2" fillId="0" borderId="1" applyNumberFormat="0" applyFill="0" applyAlignment="0" applyProtection="0"/>
    <xf numFmtId="0" fontId="10" fillId="0" borderId="0" applyFill="0" applyBorder="0">
      <alignment vertical="center" wrapText="1"/>
    </xf>
    <xf numFmtId="0" fontId="8" fillId="0" borderId="0">
      <alignment horizontal="right" vertical="center" indent="1"/>
    </xf>
    <xf numFmtId="165" fontId="5" fillId="0" borderId="0" applyFont="0" applyFill="0" applyBorder="0" applyProtection="0">
      <alignment horizontal="center" vertical="center"/>
    </xf>
    <xf numFmtId="7" fontId="4" fillId="2" borderId="0" applyFill="0" applyBorder="0">
      <alignment horizontal="right" vertical="center"/>
    </xf>
    <xf numFmtId="7" fontId="5" fillId="0" borderId="0" applyFont="0" applyFill="0" applyBorder="0" applyProtection="0">
      <alignment horizontal="right" vertical="center" indent="1"/>
    </xf>
    <xf numFmtId="0" fontId="3" fillId="3" borderId="2" applyAlignment="0">
      <alignment horizontal="left" vertical="center" wrapText="1" indent="1"/>
    </xf>
    <xf numFmtId="0" fontId="6" fillId="0" borderId="0">
      <alignment horizontal="left" vertical="center"/>
    </xf>
    <xf numFmtId="14" fontId="4" fillId="0" borderId="0" applyFill="0" applyBorder="0" applyAlignment="0">
      <alignment horizontal="right" vertical="center"/>
    </xf>
    <xf numFmtId="164" fontId="5" fillId="0" borderId="0" applyFont="0" applyFill="0" applyBorder="0" applyAlignment="0">
      <alignment wrapText="1"/>
    </xf>
    <xf numFmtId="14" fontId="5" fillId="0" borderId="0" applyFont="0" applyFill="0" applyBorder="0">
      <alignment horizontal="center" vertical="center" wrapText="1"/>
    </xf>
    <xf numFmtId="49" fontId="5" fillId="0" borderId="0" applyFont="0" applyFill="0" applyBorder="0">
      <alignment horizontal="center" vertical="center" wrapText="1"/>
    </xf>
    <xf numFmtId="0" fontId="3" fillId="2" borderId="0">
      <alignment horizontal="left" vertical="center" wrapText="1"/>
    </xf>
    <xf numFmtId="0" fontId="9" fillId="4" borderId="0" applyBorder="0">
      <alignment horizontal="center" vertical="center"/>
    </xf>
    <xf numFmtId="0" fontId="9" fillId="0" borderId="0">
      <alignment vertical="center" wrapText="1"/>
    </xf>
    <xf numFmtId="0" fontId="12" fillId="0" borderId="0" applyNumberFormat="0" applyFill="0" applyBorder="0" applyAlignment="0" applyProtection="0">
      <alignment horizontal="left" vertical="center" wrapText="1" indent="1"/>
    </xf>
    <xf numFmtId="0" fontId="5" fillId="0" borderId="0" applyFill="0" applyBorder="0">
      <alignment horizontal="left" vertical="center" wrapText="1" indent="1"/>
    </xf>
  </cellStyleXfs>
  <cellXfs count="196">
    <xf numFmtId="0" fontId="0" fillId="0" borderId="0" xfId="0">
      <alignment horizontal="left" vertical="center" wrapText="1" indent="1"/>
    </xf>
    <xf numFmtId="0" fontId="0" fillId="0" borderId="0" xfId="0" applyFont="1">
      <alignment horizontal="left" vertical="center" wrapText="1" indent="1"/>
    </xf>
    <xf numFmtId="0" fontId="0" fillId="0" borderId="0" xfId="0" applyFont="1" applyFill="1">
      <alignment horizontal="left" vertical="center" wrapText="1" indent="1"/>
    </xf>
    <xf numFmtId="0" fontId="0" fillId="0" borderId="0" xfId="0" applyFill="1" applyBorder="1">
      <alignment horizontal="left" vertical="center" wrapText="1" indent="1"/>
    </xf>
    <xf numFmtId="0" fontId="6" fillId="0" borderId="0" xfId="11">
      <alignment horizontal="left" vertical="center"/>
    </xf>
    <xf numFmtId="0" fontId="0" fillId="0" borderId="0" xfId="0" applyFill="1">
      <alignment horizontal="left" vertical="center" wrapText="1" indent="1"/>
    </xf>
    <xf numFmtId="0" fontId="3" fillId="2" borderId="0" xfId="16">
      <alignment horizontal="left" vertical="center" wrapText="1"/>
    </xf>
    <xf numFmtId="0" fontId="0" fillId="0" borderId="0" xfId="0" applyFont="1" applyFill="1" applyBorder="1">
      <alignment horizontal="left" vertical="center" wrapText="1" indent="1"/>
    </xf>
    <xf numFmtId="0" fontId="10" fillId="0" borderId="0" xfId="5">
      <alignment vertical="center" wrapText="1"/>
    </xf>
    <xf numFmtId="0" fontId="9" fillId="0" borderId="0" xfId="18">
      <alignment vertical="center" wrapText="1"/>
    </xf>
    <xf numFmtId="1" fontId="0" fillId="0" borderId="0" xfId="0" applyNumberFormat="1" applyFill="1" applyBorder="1">
      <alignment horizontal="left" vertical="center" wrapText="1" indent="1"/>
    </xf>
    <xf numFmtId="1" fontId="0" fillId="0" borderId="0" xfId="0" applyNumberFormat="1" applyFont="1" applyFill="1">
      <alignment horizontal="left" vertical="center" wrapText="1" indent="1"/>
    </xf>
    <xf numFmtId="0" fontId="0" fillId="0" borderId="0" xfId="0" applyAlignment="1"/>
    <xf numFmtId="0" fontId="11" fillId="0" borderId="0" xfId="0" applyFont="1" applyAlignment="1"/>
    <xf numFmtId="166" fontId="0" fillId="0" borderId="0" xfId="0" applyNumberFormat="1" applyAlignment="1"/>
    <xf numFmtId="0" fontId="12" fillId="0" borderId="0" xfId="19" applyAlignment="1"/>
    <xf numFmtId="0" fontId="11" fillId="0" borderId="0" xfId="0" applyFont="1" applyAlignment="1">
      <alignment horizontal="left" vertical="center"/>
    </xf>
    <xf numFmtId="0" fontId="9" fillId="0" borderId="0" xfId="0" applyFont="1">
      <alignment horizontal="left" vertical="center" wrapText="1" indent="1"/>
    </xf>
    <xf numFmtId="7" fontId="4" fillId="2" borderId="3" xfId="8" applyBorder="1" applyAlignment="1">
      <alignment horizontal="center" vertical="center"/>
    </xf>
    <xf numFmtId="0" fontId="13" fillId="5" borderId="4" xfId="0" applyFont="1" applyFill="1" applyBorder="1">
      <alignment horizontal="left" vertical="center" wrapText="1" indent="1"/>
    </xf>
    <xf numFmtId="0" fontId="0" fillId="0" borderId="0" xfId="0" applyAlignment="1">
      <alignment horizontal="left" wrapText="1"/>
    </xf>
    <xf numFmtId="1" fontId="0" fillId="0" borderId="0" xfId="0" applyNumberFormat="1" applyAlignment="1">
      <alignment horizontal="left" wrapText="1"/>
    </xf>
    <xf numFmtId="0" fontId="11" fillId="0" borderId="0" xfId="0" applyFont="1" applyAlignment="1">
      <alignment horizontal="left"/>
    </xf>
    <xf numFmtId="7" fontId="0" fillId="0" borderId="0" xfId="9" applyFont="1" applyAlignment="1">
      <alignment horizontal="right"/>
    </xf>
    <xf numFmtId="7" fontId="0" fillId="0" borderId="0" xfId="9" applyNumberFormat="1" applyFont="1" applyAlignment="1">
      <alignment horizontal="right"/>
    </xf>
    <xf numFmtId="0" fontId="0" fillId="0" borderId="0" xfId="0" applyFont="1" applyFill="1" applyBorder="1" applyAlignment="1">
      <alignment horizontal="left" wrapText="1"/>
    </xf>
    <xf numFmtId="1" fontId="0" fillId="0" borderId="0" xfId="0" applyNumberFormat="1" applyFont="1" applyFill="1" applyBorder="1" applyAlignment="1">
      <alignment horizontal="left" wrapText="1"/>
    </xf>
    <xf numFmtId="7" fontId="0" fillId="0" borderId="0" xfId="0" applyNumberFormat="1" applyFont="1" applyFill="1" applyBorder="1" applyAlignment="1">
      <alignment horizontal="right"/>
    </xf>
    <xf numFmtId="0" fontId="11" fillId="0" borderId="0" xfId="0" applyFont="1" applyFill="1" applyBorder="1" applyAlignment="1">
      <alignment horizontal="left"/>
    </xf>
    <xf numFmtId="0" fontId="0" fillId="0" borderId="0" xfId="0" applyNumberFormat="1" applyFont="1" applyFill="1" applyBorder="1" applyAlignment="1">
      <alignment horizontal="left" wrapText="1"/>
    </xf>
    <xf numFmtId="0" fontId="13" fillId="0" borderId="0" xfId="18" applyFont="1">
      <alignment vertical="center" wrapText="1"/>
    </xf>
    <xf numFmtId="0" fontId="14" fillId="4" borderId="6" xfId="17" applyNumberFormat="1" applyFont="1" applyFill="1" applyBorder="1" applyAlignment="1">
      <alignment horizontal="center" vertical="center"/>
    </xf>
    <xf numFmtId="0" fontId="3" fillId="2" borderId="7" xfId="16" applyBorder="1">
      <alignment horizontal="left" vertical="center" wrapText="1"/>
    </xf>
    <xf numFmtId="0" fontId="9" fillId="4" borderId="8" xfId="17" applyBorder="1" applyAlignment="1">
      <alignment horizontal="left"/>
    </xf>
    <xf numFmtId="165" fontId="0" fillId="0" borderId="8" xfId="7" applyFont="1" applyBorder="1" applyAlignment="1">
      <alignment horizontal="center"/>
    </xf>
    <xf numFmtId="0" fontId="0" fillId="0" borderId="8" xfId="0" applyFont="1" applyFill="1" applyBorder="1" applyAlignment="1">
      <alignment horizontal="center" wrapText="1"/>
    </xf>
    <xf numFmtId="0" fontId="3" fillId="2" borderId="9" xfId="16" applyBorder="1">
      <alignment horizontal="left" vertical="center" wrapText="1"/>
    </xf>
    <xf numFmtId="0" fontId="15" fillId="0" borderId="0" xfId="0" applyFont="1" applyAlignment="1"/>
    <xf numFmtId="0" fontId="15" fillId="0" borderId="0" xfId="0" applyFont="1" applyAlignment="1">
      <alignment horizontal="left"/>
    </xf>
    <xf numFmtId="0" fontId="17" fillId="0" borderId="0" xfId="0" applyFont="1" applyAlignment="1">
      <alignment horizontal="left"/>
    </xf>
    <xf numFmtId="0" fontId="16" fillId="0" borderId="0" xfId="0" applyFont="1" applyAlignment="1">
      <alignment horizontal="left" vertical="center" wrapText="1"/>
    </xf>
    <xf numFmtId="0" fontId="17" fillId="0" borderId="0" xfId="0" applyFont="1" applyAlignment="1">
      <alignment horizontal="left" wrapText="1"/>
    </xf>
    <xf numFmtId="0" fontId="19" fillId="0" borderId="0" xfId="0" applyFont="1">
      <alignment horizontal="left" vertical="center" wrapText="1" indent="1"/>
    </xf>
    <xf numFmtId="0" fontId="15" fillId="0" borderId="0" xfId="0" applyFont="1">
      <alignment horizontal="left" vertical="center" wrapText="1" indent="1"/>
    </xf>
    <xf numFmtId="166" fontId="15" fillId="0" borderId="0" xfId="0" applyNumberFormat="1" applyFont="1" applyAlignment="1">
      <alignment horizontal="right"/>
    </xf>
    <xf numFmtId="166" fontId="17" fillId="0" borderId="0" xfId="0" applyNumberFormat="1" applyFont="1" applyAlignment="1">
      <alignment horizontal="right"/>
    </xf>
    <xf numFmtId="166" fontId="16" fillId="0" borderId="0" xfId="0" applyNumberFormat="1" applyFont="1" applyAlignment="1">
      <alignment horizontal="right" vertical="center" wrapText="1"/>
    </xf>
    <xf numFmtId="0" fontId="18" fillId="0" borderId="0" xfId="0" applyFont="1" applyAlignment="1">
      <alignment horizontal="left" vertical="center" wrapText="1" indent="1"/>
    </xf>
    <xf numFmtId="0" fontId="12" fillId="0" borderId="0" xfId="19" applyAlignment="1">
      <alignment horizontal="left" vertical="center" wrapText="1" indent="1"/>
    </xf>
    <xf numFmtId="0" fontId="0" fillId="0" borderId="0" xfId="0" applyAlignment="1">
      <alignment horizontal="left" wrapText="1" indent="1"/>
    </xf>
    <xf numFmtId="0" fontId="0" fillId="0" borderId="0" xfId="0" applyAlignment="1">
      <alignment horizontal="left" vertical="center" indent="1"/>
    </xf>
    <xf numFmtId="0" fontId="0" fillId="0" borderId="0" xfId="0" applyAlignment="1">
      <alignment vertical="center" wrapText="1"/>
    </xf>
    <xf numFmtId="0" fontId="0" fillId="0" borderId="0" xfId="0" applyFont="1" applyAlignment="1"/>
    <xf numFmtId="0" fontId="13" fillId="5" borderId="0" xfId="0" applyFont="1" applyFill="1" applyBorder="1" applyAlignment="1">
      <alignment horizontal="left" wrapText="1" indent="1"/>
    </xf>
    <xf numFmtId="0" fontId="13" fillId="5" borderId="0" xfId="0" applyFont="1" applyFill="1" applyBorder="1" applyAlignment="1"/>
    <xf numFmtId="166" fontId="13" fillId="5" borderId="5" xfId="0" applyNumberFormat="1" applyFont="1" applyFill="1" applyBorder="1" applyAlignment="1"/>
    <xf numFmtId="166" fontId="13" fillId="5" borderId="0" xfId="0" applyNumberFormat="1" applyFont="1" applyFill="1" applyBorder="1" applyAlignment="1"/>
    <xf numFmtId="166" fontId="0" fillId="0" borderId="0" xfId="0" applyNumberFormat="1" applyAlignment="1">
      <alignment horizontal="left" vertical="center" indent="1"/>
    </xf>
    <xf numFmtId="166" fontId="0" fillId="0" borderId="0" xfId="0" applyNumberFormat="1">
      <alignment horizontal="left" vertical="center" wrapText="1" indent="1"/>
    </xf>
    <xf numFmtId="0" fontId="10" fillId="0" borderId="0" xfId="5" applyAlignment="1">
      <alignment vertical="center" wrapText="1"/>
    </xf>
    <xf numFmtId="0" fontId="0" fillId="0" borderId="0" xfId="0" applyAlignment="1">
      <alignment horizontal="left" vertical="center" wrapText="1" indent="1"/>
    </xf>
    <xf numFmtId="0" fontId="9" fillId="6" borderId="8" xfId="0" applyFont="1" applyFill="1" applyBorder="1" applyAlignment="1">
      <alignment horizontal="center" vertical="center" wrapText="1"/>
    </xf>
    <xf numFmtId="7" fontId="4" fillId="2" borderId="11" xfId="8" applyBorder="1" applyAlignment="1">
      <alignment horizontal="center" vertical="center"/>
    </xf>
    <xf numFmtId="0" fontId="10" fillId="0" borderId="0" xfId="5" applyAlignment="1">
      <alignment horizontal="left" vertical="center" wrapText="1"/>
    </xf>
    <xf numFmtId="0" fontId="0" fillId="0" borderId="0" xfId="0" applyFill="1" applyAlignment="1"/>
    <xf numFmtId="0" fontId="14" fillId="4" borderId="14" xfId="17" applyNumberFormat="1" applyFont="1" applyFill="1" applyBorder="1" applyAlignment="1">
      <alignment horizontal="center" vertical="center"/>
    </xf>
    <xf numFmtId="0" fontId="3" fillId="2" borderId="15" xfId="16" applyBorder="1">
      <alignment horizontal="left" vertical="center" wrapText="1"/>
    </xf>
    <xf numFmtId="0" fontId="0" fillId="8" borderId="0" xfId="0" applyFill="1" applyAlignment="1"/>
    <xf numFmtId="0" fontId="21" fillId="2" borderId="3" xfId="1" applyFont="1" applyBorder="1" applyAlignment="1">
      <alignment horizontal="center" vertical="center"/>
    </xf>
    <xf numFmtId="0" fontId="22" fillId="0" borderId="0" xfId="0" applyFont="1" applyAlignment="1"/>
    <xf numFmtId="0" fontId="22" fillId="0" borderId="0" xfId="0" applyFont="1">
      <alignment horizontal="left" vertical="center" wrapText="1" indent="1"/>
    </xf>
    <xf numFmtId="0" fontId="24" fillId="0" borderId="0" xfId="0" applyFont="1" applyAlignment="1">
      <alignment horizontal="left" vertical="center" wrapText="1"/>
    </xf>
    <xf numFmtId="0" fontId="13" fillId="7" borderId="0" xfId="0" applyFont="1" applyFill="1">
      <alignment horizontal="left" vertical="center" wrapText="1" indent="1"/>
    </xf>
    <xf numFmtId="0" fontId="13" fillId="10" borderId="0" xfId="0" applyFont="1" applyFill="1">
      <alignment horizontal="left" vertical="center" wrapText="1" indent="1"/>
    </xf>
    <xf numFmtId="0" fontId="13" fillId="11" borderId="0" xfId="0" applyFont="1" applyFill="1">
      <alignment horizontal="left" vertical="center" wrapText="1" indent="1"/>
    </xf>
    <xf numFmtId="0" fontId="13" fillId="9" borderId="0" xfId="0" applyFont="1" applyFill="1">
      <alignment horizontal="left" vertical="center" wrapText="1" indent="1"/>
    </xf>
    <xf numFmtId="0" fontId="13" fillId="12" borderId="0" xfId="0" applyFont="1" applyFill="1">
      <alignment horizontal="left" vertical="center" wrapText="1" indent="1"/>
    </xf>
    <xf numFmtId="0" fontId="13" fillId="4" borderId="14" xfId="17" applyNumberFormat="1" applyFont="1" applyFill="1" applyBorder="1" applyAlignment="1">
      <alignment horizontal="center" vertical="center"/>
    </xf>
    <xf numFmtId="0" fontId="28" fillId="13" borderId="0" xfId="0" applyFont="1" applyFill="1">
      <alignment horizontal="left" vertical="center" wrapText="1" indent="1"/>
    </xf>
    <xf numFmtId="0" fontId="26" fillId="13" borderId="0" xfId="0" applyFont="1" applyFill="1">
      <alignment horizontal="left" vertical="center" wrapText="1" indent="1"/>
    </xf>
    <xf numFmtId="0" fontId="25" fillId="0" borderId="0" xfId="0" applyFont="1">
      <alignment horizontal="left" vertical="center" wrapText="1" indent="1"/>
    </xf>
    <xf numFmtId="0" fontId="14" fillId="4" borderId="13" xfId="17" applyNumberFormat="1" applyFont="1" applyFill="1" applyBorder="1" applyAlignment="1">
      <alignment horizontal="center" vertical="center"/>
    </xf>
    <xf numFmtId="0" fontId="0" fillId="0" borderId="0" xfId="0" applyAlignment="1">
      <alignment horizontal="left" vertical="center" wrapText="1"/>
    </xf>
    <xf numFmtId="0" fontId="3" fillId="14" borderId="0" xfId="0" applyFont="1" applyFill="1">
      <alignment horizontal="left" vertical="center" wrapText="1" indent="1"/>
    </xf>
    <xf numFmtId="0" fontId="13" fillId="4" borderId="14" xfId="17" applyNumberFormat="1" applyFont="1" applyFill="1" applyBorder="1" applyAlignment="1">
      <alignment horizontal="left" vertical="center"/>
    </xf>
    <xf numFmtId="0" fontId="0" fillId="0" borderId="0" xfId="0" applyFill="1" applyAlignment="1">
      <alignment horizontal="left"/>
    </xf>
    <xf numFmtId="0" fontId="0" fillId="0" borderId="0" xfId="0" applyAlignment="1">
      <alignment horizontal="left"/>
    </xf>
    <xf numFmtId="0" fontId="13" fillId="4" borderId="14" xfId="17" applyNumberFormat="1" applyFont="1" applyFill="1" applyBorder="1" applyAlignment="1">
      <alignment horizontal="right" vertical="center"/>
    </xf>
    <xf numFmtId="0" fontId="13" fillId="4" borderId="14" xfId="17" applyNumberFormat="1" applyFont="1" applyFill="1" applyBorder="1" applyAlignment="1">
      <alignment vertical="center"/>
    </xf>
    <xf numFmtId="0" fontId="0" fillId="0" borderId="0" xfId="0" applyAlignment="1">
      <alignment horizontal="right"/>
    </xf>
    <xf numFmtId="0" fontId="0" fillId="0" borderId="0" xfId="0" applyFill="1" applyAlignment="1">
      <alignment vertical="center" wrapText="1"/>
    </xf>
    <xf numFmtId="0" fontId="0" fillId="8" borderId="0" xfId="0" applyFill="1" applyAlignment="1">
      <alignment horizontal="left"/>
    </xf>
    <xf numFmtId="0" fontId="3" fillId="0" borderId="0" xfId="0" applyFont="1" applyBorder="1" applyAlignment="1">
      <alignment vertical="center" wrapText="1"/>
    </xf>
    <xf numFmtId="0" fontId="0" fillId="8" borderId="0" xfId="0" applyFill="1" applyAlignment="1">
      <alignment horizontal="right"/>
    </xf>
    <xf numFmtId="0" fontId="0" fillId="8" borderId="0" xfId="0" applyFill="1" applyAlignment="1">
      <alignment horizontal="left" vertical="center" wrapText="1"/>
    </xf>
    <xf numFmtId="0" fontId="0" fillId="0" borderId="0" xfId="0" applyAlignment="1">
      <alignment horizontal="right" vertical="center" wrapText="1"/>
    </xf>
    <xf numFmtId="0" fontId="0" fillId="0" borderId="0" xfId="0" applyFont="1" applyAlignment="1">
      <alignment vertical="center" wrapText="1"/>
    </xf>
    <xf numFmtId="0" fontId="0" fillId="0" borderId="0" xfId="0" applyAlignment="1">
      <alignment wrapText="1"/>
    </xf>
    <xf numFmtId="0" fontId="22" fillId="0" borderId="0" xfId="0" applyFont="1" applyAlignment="1">
      <alignment horizontal="right"/>
    </xf>
    <xf numFmtId="0" fontId="22" fillId="0" borderId="0" xfId="0" applyFont="1" applyAlignment="1">
      <alignment vertical="center" wrapText="1"/>
    </xf>
    <xf numFmtId="0" fontId="22" fillId="0" borderId="0" xfId="0" applyFont="1" applyBorder="1" applyAlignment="1">
      <alignment vertical="center" wrapText="1"/>
    </xf>
    <xf numFmtId="0" fontId="22" fillId="0" borderId="0" xfId="0" applyFont="1" applyAlignment="1">
      <alignment wrapText="1"/>
    </xf>
    <xf numFmtId="0" fontId="30" fillId="0" borderId="0" xfId="0" applyFont="1" applyFill="1" applyAlignment="1">
      <alignment vertical="center" wrapText="1"/>
    </xf>
    <xf numFmtId="0" fontId="30" fillId="0" borderId="0" xfId="0" applyFont="1" applyFill="1" applyAlignment="1"/>
    <xf numFmtId="0" fontId="30" fillId="0" borderId="0" xfId="0" applyFont="1" applyFill="1" applyAlignment="1">
      <alignment horizontal="right"/>
    </xf>
    <xf numFmtId="0" fontId="30" fillId="0" borderId="0" xfId="0" applyFont="1" applyFill="1">
      <alignment horizontal="left" vertical="center" wrapText="1" indent="1"/>
    </xf>
    <xf numFmtId="0" fontId="30" fillId="0" borderId="0" xfId="0" applyFont="1" applyFill="1" applyAlignment="1">
      <alignment horizontal="left"/>
    </xf>
    <xf numFmtId="0" fontId="30" fillId="0" borderId="0" xfId="0" applyFont="1" applyFill="1" applyAlignment="1">
      <alignment horizontal="left" vertical="center" wrapText="1"/>
    </xf>
    <xf numFmtId="0" fontId="3" fillId="2" borderId="15" xfId="16" applyBorder="1" applyAlignment="1">
      <alignment vertical="center" wrapText="1"/>
    </xf>
    <xf numFmtId="49" fontId="15" fillId="0" borderId="0" xfId="0" applyNumberFormat="1" applyFont="1" applyAlignment="1"/>
    <xf numFmtId="49" fontId="13" fillId="4" borderId="14" xfId="17" applyNumberFormat="1" applyFont="1" applyFill="1" applyBorder="1" applyAlignment="1">
      <alignment horizontal="left" vertical="center"/>
    </xf>
    <xf numFmtId="0" fontId="30" fillId="0" borderId="0" xfId="0" applyFont="1" applyFill="1" applyAlignment="1">
      <alignment horizontal="right" vertical="center" wrapText="1"/>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horizontal="right" vertical="top" wrapText="1"/>
    </xf>
    <xf numFmtId="0" fontId="13" fillId="4" borderId="14" xfId="17" applyNumberFormat="1" applyFont="1" applyFill="1" applyBorder="1" applyAlignment="1"/>
    <xf numFmtId="0" fontId="29" fillId="0" borderId="0" xfId="0" applyFont="1" applyFill="1" applyAlignment="1"/>
    <xf numFmtId="0" fontId="30" fillId="0" borderId="0" xfId="0" applyFont="1" applyFill="1" applyBorder="1" applyAlignment="1">
      <alignment vertical="center" wrapText="1"/>
    </xf>
    <xf numFmtId="0" fontId="30" fillId="0" borderId="0" xfId="0" applyFont="1" applyFill="1" applyAlignment="1">
      <alignment vertical="top" wrapText="1"/>
    </xf>
    <xf numFmtId="0" fontId="30" fillId="0" borderId="0" xfId="0" applyFont="1" applyFill="1" applyAlignment="1">
      <alignment horizontal="right" vertical="top" wrapText="1"/>
    </xf>
    <xf numFmtId="0" fontId="30" fillId="0" borderId="0" xfId="0" applyFont="1" applyFill="1" applyAlignment="1">
      <alignment horizontal="left" vertical="top" wrapText="1"/>
    </xf>
    <xf numFmtId="0" fontId="30" fillId="0" borderId="0" xfId="0" applyNumberFormat="1" applyFont="1" applyFill="1" applyAlignment="1"/>
    <xf numFmtId="0" fontId="13" fillId="15" borderId="0" xfId="0" applyFont="1" applyFill="1">
      <alignment horizontal="left" vertical="center" wrapText="1" indent="1"/>
    </xf>
    <xf numFmtId="0" fontId="13" fillId="16" borderId="0" xfId="0" applyFont="1" applyFill="1">
      <alignment horizontal="left" vertical="center" wrapText="1" indent="1"/>
    </xf>
    <xf numFmtId="0" fontId="29" fillId="0" borderId="0" xfId="0" applyFont="1" applyFill="1" applyAlignment="1">
      <alignment horizontal="left"/>
    </xf>
    <xf numFmtId="0" fontId="30" fillId="0" borderId="0" xfId="0" applyFont="1" applyFill="1" applyAlignment="1">
      <alignment wrapText="1"/>
    </xf>
    <xf numFmtId="0" fontId="30" fillId="0" borderId="0" xfId="0" applyFont="1" applyFill="1" applyAlignment="1">
      <alignment vertical="center"/>
    </xf>
    <xf numFmtId="0" fontId="31" fillId="0" borderId="0" xfId="0" applyFont="1" applyFill="1">
      <alignment horizontal="left" vertical="center" wrapText="1" indent="1"/>
    </xf>
    <xf numFmtId="0" fontId="30" fillId="0" borderId="0" xfId="0" applyFont="1" applyFill="1" applyAlignment="1">
      <alignment vertical="top"/>
    </xf>
    <xf numFmtId="0" fontId="30" fillId="0" borderId="0" xfId="0" applyFont="1" applyFill="1" applyAlignment="1">
      <alignment horizontal="right" vertical="top"/>
    </xf>
    <xf numFmtId="0" fontId="31" fillId="0" borderId="0" xfId="0" applyFont="1" applyFill="1" applyAlignment="1">
      <alignment vertical="center" wrapText="1"/>
    </xf>
    <xf numFmtId="0" fontId="30" fillId="0" borderId="0" xfId="0" applyFont="1" applyFill="1" applyAlignment="1">
      <alignment horizontal="left" vertical="center" wrapText="1" indent="1"/>
    </xf>
    <xf numFmtId="0" fontId="29" fillId="0" borderId="0" xfId="0" applyFont="1" applyFill="1">
      <alignment horizontal="left" vertical="center" wrapText="1" indent="1"/>
    </xf>
    <xf numFmtId="49" fontId="30" fillId="0" borderId="0" xfId="0" applyNumberFormat="1" applyFont="1" applyFill="1" applyAlignment="1">
      <alignment horizontal="left"/>
    </xf>
    <xf numFmtId="49" fontId="30" fillId="0" borderId="0" xfId="0" applyNumberFormat="1" applyFont="1" applyFill="1" applyAlignment="1">
      <alignment horizontal="left" vertical="center" wrapText="1"/>
    </xf>
    <xf numFmtId="7" fontId="4" fillId="0" borderId="0" xfId="8" applyFill="1" applyBorder="1" applyAlignment="1">
      <alignment horizontal="center" vertical="center"/>
    </xf>
    <xf numFmtId="0" fontId="30" fillId="0" borderId="0" xfId="0" applyFont="1" applyFill="1" applyAlignment="1">
      <alignment horizontal="right" wrapText="1"/>
    </xf>
    <xf numFmtId="0" fontId="0" fillId="0" borderId="0" xfId="0" applyAlignment="1">
      <alignment vertical="center"/>
    </xf>
    <xf numFmtId="167" fontId="13" fillId="4" borderId="14" xfId="17" applyNumberFormat="1" applyFont="1" applyFill="1" applyBorder="1" applyAlignment="1">
      <alignment vertical="center"/>
    </xf>
    <xf numFmtId="167" fontId="30" fillId="0" borderId="0" xfId="0" applyNumberFormat="1" applyFont="1" applyFill="1" applyAlignment="1"/>
    <xf numFmtId="167" fontId="30" fillId="0" borderId="0" xfId="0" applyNumberFormat="1" applyFont="1" applyFill="1" applyAlignment="1">
      <alignment vertical="center" wrapText="1"/>
    </xf>
    <xf numFmtId="167" fontId="30" fillId="0" borderId="0" xfId="8" applyNumberFormat="1" applyFont="1" applyFill="1" applyAlignment="1">
      <alignment horizontal="right"/>
    </xf>
    <xf numFmtId="0" fontId="0" fillId="0" borderId="0" xfId="0" applyAlignment="1">
      <alignment horizontal="right" wrapText="1"/>
    </xf>
    <xf numFmtId="0" fontId="0" fillId="0" borderId="0" xfId="0" applyAlignment="1">
      <alignment horizontal="left" vertical="top"/>
    </xf>
    <xf numFmtId="0" fontId="0" fillId="0" borderId="0" xfId="0" applyAlignment="1">
      <alignment horizontal="left" vertical="center"/>
    </xf>
    <xf numFmtId="0" fontId="0" fillId="0" borderId="0" xfId="0" applyFill="1" applyAlignment="1">
      <alignment horizontal="right"/>
    </xf>
    <xf numFmtId="0" fontId="30" fillId="0" borderId="0" xfId="0" applyFont="1" applyFill="1" applyAlignment="1">
      <alignment horizontal="left" vertical="center"/>
    </xf>
    <xf numFmtId="0" fontId="10" fillId="0" borderId="0" xfId="5" applyAlignment="1">
      <alignment wrapText="1"/>
    </xf>
    <xf numFmtId="0" fontId="22" fillId="0" borderId="0" xfId="0" applyFont="1" applyBorder="1" applyAlignment="1"/>
    <xf numFmtId="0" fontId="22" fillId="0" borderId="0" xfId="0" applyFont="1" applyAlignment="1">
      <alignment horizontal="left"/>
    </xf>
    <xf numFmtId="0" fontId="3" fillId="0" borderId="0" xfId="0" applyFont="1" applyBorder="1" applyAlignment="1"/>
    <xf numFmtId="0" fontId="22" fillId="0" borderId="0" xfId="0" applyFont="1" applyAlignment="1">
      <alignment horizontal="left" vertical="center"/>
    </xf>
    <xf numFmtId="0" fontId="30" fillId="0" borderId="0" xfId="0" applyFont="1" applyFill="1" applyBorder="1" applyAlignment="1"/>
    <xf numFmtId="0" fontId="30" fillId="0" borderId="0" xfId="0" applyFont="1" applyFill="1" applyAlignment="1">
      <alignment horizontal="left" vertical="top"/>
    </xf>
    <xf numFmtId="0" fontId="3" fillId="2" borderId="0" xfId="16" applyBorder="1">
      <alignment horizontal="left" vertical="center" wrapText="1"/>
    </xf>
    <xf numFmtId="0" fontId="30" fillId="0" borderId="0" xfId="0" applyFont="1" applyFill="1" applyBorder="1" applyAlignment="1">
      <alignment vertical="center"/>
    </xf>
    <xf numFmtId="0" fontId="31" fillId="0" borderId="0" xfId="0" applyFont="1" applyFill="1" applyAlignment="1">
      <alignment horizontal="left"/>
    </xf>
    <xf numFmtId="166" fontId="30" fillId="0" borderId="0" xfId="0" applyNumberFormat="1" applyFont="1" applyFill="1" applyAlignment="1">
      <alignment horizontal="right"/>
    </xf>
    <xf numFmtId="166" fontId="30" fillId="0" borderId="0" xfId="0" applyNumberFormat="1" applyFont="1" applyFill="1" applyAlignment="1">
      <alignment horizontal="right" vertical="center"/>
    </xf>
    <xf numFmtId="166" fontId="30" fillId="0" borderId="0" xfId="0" applyNumberFormat="1" applyFont="1" applyFill="1" applyAlignment="1">
      <alignment horizontal="right" vertical="top"/>
    </xf>
    <xf numFmtId="0" fontId="30" fillId="0" borderId="0" xfId="0" applyNumberFormat="1" applyFont="1" applyFill="1" applyAlignment="1">
      <alignment horizontal="left"/>
    </xf>
    <xf numFmtId="0" fontId="26" fillId="4" borderId="13" xfId="17" applyNumberFormat="1" applyFont="1" applyFill="1" applyBorder="1" applyAlignment="1">
      <alignment horizontal="center" vertical="center"/>
    </xf>
    <xf numFmtId="0" fontId="26" fillId="4" borderId="0" xfId="17" applyNumberFormat="1" applyFont="1" applyFill="1" applyBorder="1" applyAlignment="1">
      <alignment horizontal="center" vertical="center"/>
    </xf>
    <xf numFmtId="0" fontId="33" fillId="2" borderId="3" xfId="1" applyFont="1" applyBorder="1" applyAlignment="1">
      <alignment horizontal="left" vertical="center"/>
    </xf>
    <xf numFmtId="0" fontId="33" fillId="2" borderId="17" xfId="1" applyFont="1" applyBorder="1" applyAlignment="1">
      <alignment horizontal="left" vertical="center"/>
    </xf>
    <xf numFmtId="166" fontId="33" fillId="2" borderId="3" xfId="1" applyNumberFormat="1" applyFont="1" applyBorder="1" applyAlignment="1">
      <alignment horizontal="right" vertical="center"/>
    </xf>
    <xf numFmtId="166" fontId="33" fillId="2" borderId="10" xfId="1" applyNumberFormat="1" applyFont="1" applyBorder="1" applyAlignment="1">
      <alignment horizontal="right" vertical="center" indent="1"/>
    </xf>
    <xf numFmtId="166" fontId="33" fillId="2" borderId="10" xfId="1" applyNumberFormat="1" applyFont="1" applyBorder="1" applyAlignment="1">
      <alignment horizontal="right" vertical="center"/>
    </xf>
    <xf numFmtId="166" fontId="33" fillId="2" borderId="17" xfId="1" applyNumberFormat="1" applyFont="1" applyBorder="1" applyAlignment="1">
      <alignment horizontal="right" vertical="center"/>
    </xf>
    <xf numFmtId="166" fontId="33" fillId="2" borderId="18" xfId="1" applyNumberFormat="1" applyFont="1" applyBorder="1" applyAlignment="1">
      <alignment horizontal="right" vertical="center"/>
    </xf>
    <xf numFmtId="0" fontId="33" fillId="0" borderId="3" xfId="1" applyFont="1" applyFill="1" applyBorder="1" applyAlignment="1">
      <alignment horizontal="left" vertical="center"/>
    </xf>
    <xf numFmtId="166" fontId="33" fillId="0" borderId="10" xfId="1" applyNumberFormat="1" applyFont="1" applyFill="1" applyBorder="1" applyAlignment="1">
      <alignment horizontal="right" vertical="center" indent="1"/>
    </xf>
    <xf numFmtId="166" fontId="33" fillId="0" borderId="10" xfId="1" applyNumberFormat="1" applyFont="1" applyFill="1" applyBorder="1" applyAlignment="1">
      <alignment horizontal="right" vertical="center"/>
    </xf>
    <xf numFmtId="0" fontId="33" fillId="0" borderId="17" xfId="1" applyFont="1" applyFill="1" applyBorder="1" applyAlignment="1">
      <alignment horizontal="left" vertical="center"/>
    </xf>
    <xf numFmtId="166" fontId="33" fillId="0" borderId="18" xfId="1" applyNumberFormat="1" applyFont="1" applyFill="1" applyBorder="1" applyAlignment="1">
      <alignment horizontal="right" vertical="center"/>
    </xf>
    <xf numFmtId="0" fontId="26" fillId="0" borderId="13" xfId="17" applyNumberFormat="1" applyFont="1" applyFill="1" applyBorder="1" applyAlignment="1">
      <alignment horizontal="center" vertical="center"/>
    </xf>
    <xf numFmtId="0" fontId="26" fillId="0" borderId="0" xfId="17" applyNumberFormat="1" applyFont="1" applyFill="1" applyBorder="1" applyAlignment="1">
      <alignment horizontal="center" vertical="center"/>
    </xf>
    <xf numFmtId="166" fontId="26" fillId="0" borderId="13" xfId="17" applyNumberFormat="1" applyFont="1" applyFill="1" applyBorder="1" applyAlignment="1">
      <alignment horizontal="right" vertical="center"/>
    </xf>
    <xf numFmtId="166" fontId="26" fillId="0" borderId="0" xfId="17" applyNumberFormat="1" applyFont="1" applyFill="1" applyBorder="1" applyAlignment="1">
      <alignment horizontal="right" vertical="center"/>
    </xf>
    <xf numFmtId="166" fontId="30" fillId="0" borderId="0" xfId="0" applyNumberFormat="1" applyFont="1" applyFill="1" applyAlignment="1"/>
    <xf numFmtId="0" fontId="10" fillId="0" borderId="0" xfId="5" applyAlignment="1">
      <alignment horizontal="left" vertical="center" wrapText="1"/>
    </xf>
    <xf numFmtId="0" fontId="14" fillId="4" borderId="12" xfId="17" applyNumberFormat="1" applyFont="1" applyFill="1" applyBorder="1" applyAlignment="1">
      <alignment horizontal="center" vertical="center"/>
    </xf>
    <xf numFmtId="0" fontId="14" fillId="4" borderId="13" xfId="17" applyNumberFormat="1" applyFont="1" applyFill="1" applyBorder="1" applyAlignment="1">
      <alignment horizontal="center" vertical="center"/>
    </xf>
    <xf numFmtId="0" fontId="14" fillId="4" borderId="16" xfId="17" applyNumberFormat="1" applyFont="1" applyFill="1" applyBorder="1" applyAlignment="1">
      <alignment horizontal="center" vertical="center"/>
    </xf>
    <xf numFmtId="0" fontId="6" fillId="0" borderId="0" xfId="11" applyAlignment="1">
      <alignment horizontal="left" vertical="center" wrapText="1"/>
    </xf>
    <xf numFmtId="14" fontId="4" fillId="2" borderId="10" xfId="8" applyNumberFormat="1" applyBorder="1" applyAlignment="1">
      <alignment horizontal="center" vertical="center"/>
    </xf>
    <xf numFmtId="14" fontId="4" fillId="2" borderId="11" xfId="8" applyNumberFormat="1" applyBorder="1" applyAlignment="1">
      <alignment horizontal="center" vertical="center"/>
    </xf>
    <xf numFmtId="0" fontId="10" fillId="0" borderId="0" xfId="5" applyAlignment="1">
      <alignment horizontal="left" vertical="center"/>
    </xf>
    <xf numFmtId="0" fontId="10" fillId="0" borderId="19" xfId="5" applyBorder="1" applyAlignment="1">
      <alignment horizontal="left" vertical="center" wrapText="1"/>
    </xf>
    <xf numFmtId="0" fontId="28" fillId="13" borderId="0" xfId="0" applyFont="1" applyFill="1" applyAlignment="1">
      <alignment horizontal="center" vertical="center" wrapText="1"/>
    </xf>
    <xf numFmtId="0" fontId="14" fillId="4" borderId="4" xfId="17" applyNumberFormat="1" applyFont="1" applyFill="1" applyBorder="1" applyAlignment="1">
      <alignment horizontal="center" vertical="center"/>
    </xf>
    <xf numFmtId="0" fontId="14" fillId="4" borderId="6" xfId="17" applyNumberFormat="1" applyFont="1" applyFill="1" applyBorder="1" applyAlignment="1">
      <alignment horizontal="center" vertical="center"/>
    </xf>
    <xf numFmtId="14" fontId="4" fillId="2" borderId="3" xfId="8" applyNumberFormat="1" applyBorder="1" applyAlignment="1">
      <alignment horizontal="center" vertical="center"/>
    </xf>
    <xf numFmtId="0" fontId="30" fillId="0" borderId="0" xfId="0" applyFont="1" applyFill="1" applyAlignment="1">
      <alignment horizontal="center"/>
    </xf>
    <xf numFmtId="0" fontId="12" fillId="0" borderId="0" xfId="19" applyFill="1" applyAlignment="1">
      <alignment horizontal="left" vertical="center"/>
    </xf>
    <xf numFmtId="0" fontId="12" fillId="0" borderId="0" xfId="19" applyNumberFormat="1" applyFill="1" applyAlignment="1"/>
  </cellXfs>
  <cellStyles count="21">
    <cellStyle name="Comma" xfId="7" builtinId="3" customBuiltin="1"/>
    <cellStyle name="Currency" xfId="8" builtinId="4" customBuiltin="1"/>
    <cellStyle name="Currency [0]" xfId="9" builtinId="7" customBuiltin="1"/>
    <cellStyle name="Date" xfId="14" xr:uid="{00000000-0005-0000-0000-000003000000}"/>
    <cellStyle name="Heading 1" xfId="1" builtinId="16" customBuiltin="1"/>
    <cellStyle name="Heading 2" xfId="2" builtinId="17" customBuiltin="1"/>
    <cellStyle name="Heading 3" xfId="3" builtinId="18" customBuiltin="1"/>
    <cellStyle name="Heading 4" xfId="6" builtinId="19" customBuiltin="1"/>
    <cellStyle name="Hyperlink" xfId="19" builtinId="8"/>
    <cellStyle name="Input" xfId="10" builtinId="20" customBuiltin="1"/>
    <cellStyle name="Inventory Date" xfId="12" xr:uid="{00000000-0005-0000-0000-000009000000}"/>
    <cellStyle name="Item table heading" xfId="17" xr:uid="{00000000-0005-0000-0000-00000A000000}"/>
    <cellStyle name="Normal" xfId="0" builtinId="0" customBuiltin="1"/>
    <cellStyle name="Normal 2" xfId="20" xr:uid="{C4116A06-986C-4F0A-B557-54CD146D83C5}"/>
    <cellStyle name="Note" xfId="16" builtinId="10" customBuiltin="1"/>
    <cellStyle name="Phone" xfId="13" xr:uid="{00000000-0005-0000-0000-00000D000000}"/>
    <cellStyle name="Seriel Number" xfId="15" xr:uid="{00000000-0005-0000-0000-00000E000000}"/>
    <cellStyle name="Title" xfId="5" builtinId="15" customBuiltin="1"/>
    <cellStyle name="Title 2" xfId="11" xr:uid="{00000000-0005-0000-0000-000010000000}"/>
    <cellStyle name="Total" xfId="4" builtinId="25" customBuiltin="1"/>
    <cellStyle name="z Hidden Text" xfId="18" xr:uid="{00000000-0005-0000-0000-000012000000}"/>
  </cellStyles>
  <dxfs count="616">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numFmt numFmtId="166" formatCode="&quot;$&quot;#,##0.00"/>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righ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2060"/>
        </patternFill>
      </fill>
    </dxf>
    <dxf>
      <font>
        <b/>
        <i val="0"/>
        <color theme="0"/>
      </font>
      <fill>
        <patternFill>
          <bgColor rgb="FF00B0F0"/>
        </patternFill>
      </fill>
    </dxf>
    <dxf>
      <font>
        <b/>
        <i val="0"/>
        <color theme="0"/>
      </font>
      <fill>
        <patternFill>
          <bgColor rgb="FFFFC00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FFC000"/>
        </patternFill>
      </fill>
    </dxf>
    <dxf>
      <font>
        <b/>
        <i val="0"/>
        <color theme="0"/>
      </font>
      <fill>
        <patternFill>
          <bgColor rgb="FF00B0F0"/>
        </patternFill>
      </fill>
    </dxf>
    <dxf>
      <font>
        <b/>
        <i val="0"/>
        <color theme="0"/>
      </font>
      <fill>
        <patternFill>
          <bgColor rgb="FF00206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i val="0"/>
        <color theme="0"/>
      </font>
      <fill>
        <patternFill>
          <bgColor rgb="FF002060"/>
        </patternFill>
      </fill>
    </dxf>
    <dxf>
      <font>
        <b/>
        <i val="0"/>
        <color theme="0"/>
      </font>
      <fill>
        <patternFill>
          <bgColor rgb="FFFFC00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2060"/>
        </patternFill>
      </fill>
    </dxf>
    <dxf>
      <font>
        <b/>
        <i val="0"/>
        <color theme="0"/>
      </font>
      <fill>
        <patternFill>
          <bgColor rgb="FFFFC00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2060"/>
        </patternFill>
      </fill>
    </dxf>
    <dxf>
      <font>
        <b/>
        <i val="0"/>
        <color theme="0"/>
      </font>
      <fill>
        <patternFill>
          <bgColor rgb="FFFFC00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2060"/>
        </patternFill>
      </fill>
    </dxf>
    <dxf>
      <font>
        <b/>
        <i val="0"/>
        <color theme="0"/>
      </font>
      <fill>
        <patternFill>
          <bgColor rgb="FFFFC00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auto="1"/>
      </font>
      <fill>
        <patternFill patternType="none">
          <bgColor auto="1"/>
        </patternFill>
      </fill>
    </dxf>
    <dxf>
      <font>
        <b/>
        <i val="0"/>
        <color theme="0"/>
      </font>
      <fill>
        <patternFill>
          <bgColor rgb="FF002060"/>
        </patternFill>
      </fill>
    </dxf>
    <dxf>
      <font>
        <b/>
        <i val="0"/>
        <color theme="0"/>
      </font>
      <fill>
        <patternFill>
          <bgColor rgb="FF002060"/>
        </patternFill>
      </fill>
    </dxf>
    <dxf>
      <font>
        <b/>
        <i val="0"/>
        <color theme="0"/>
      </font>
      <fill>
        <patternFill>
          <bgColor rgb="FFFF0000"/>
        </patternFill>
      </fill>
    </dxf>
    <dxf>
      <font>
        <b/>
        <i val="0"/>
        <color theme="0"/>
      </font>
      <fill>
        <patternFill>
          <bgColor rgb="FFFF0000"/>
        </patternFill>
      </fill>
    </dxf>
    <dxf>
      <font>
        <b/>
        <i val="0"/>
        <color theme="0"/>
      </font>
      <fill>
        <patternFill>
          <bgColor rgb="FFFFA401"/>
        </patternFill>
      </fill>
    </dxf>
    <dxf>
      <font>
        <b/>
        <i val="0"/>
        <color theme="0"/>
      </font>
      <fill>
        <patternFill>
          <bgColor rgb="FFFFB805"/>
        </patternFill>
      </fill>
    </dxf>
    <dxf>
      <font>
        <b/>
        <i val="0"/>
        <color theme="0"/>
      </font>
      <fill>
        <patternFill>
          <bgColor rgb="FF00B0F0"/>
        </patternFill>
      </fill>
    </dxf>
    <dxf>
      <font>
        <b/>
        <i val="0"/>
        <color theme="0"/>
      </font>
      <fill>
        <patternFill>
          <bgColor rgb="FF00B0F0"/>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0" tint="-4.9989318521683403E-2"/>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1" formatCode="&quot;$&quot;#,##0.00_);\(&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1" formatCode="&quot;$&quot;#,##0.00_);\(&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1" indent="0" justifyLastLine="0" shrinkToFit="0" readingOrder="0"/>
      <border diagonalUp="0" diagonalDown="0" outline="0">
        <left style="thick">
          <color theme="3" tint="-0.499984740745262"/>
        </left>
        <right/>
        <top/>
        <bottom/>
      </border>
    </dxf>
    <dxf>
      <alignment horizontal="general" vertical="bottom" textRotation="0" wrapText="0" indent="0" justifyLastLine="0" shrinkToFit="0" readingOrder="0"/>
    </dxf>
    <dxf>
      <alignment vertical="bottom" textRotation="0" indent="0" justifyLastLine="0" shrinkToFit="0" readingOrder="0"/>
    </dxf>
    <dxf>
      <font>
        <strike val="0"/>
        <outline val="0"/>
        <shadow val="0"/>
        <u val="none"/>
        <vertAlign val="baseline"/>
        <sz val="11"/>
        <color theme="0" tint="-4.9989318521683403E-2"/>
        <name val="Calibri"/>
        <family val="2"/>
        <scheme val="minor"/>
      </font>
      <alignment horizontal="general" vertical="bottom" textRotation="0" wrapText="0" indent="0" justifyLastLine="0" shrinkToFit="0" readingOrder="0"/>
    </dxf>
    <dxf>
      <numFmt numFmtId="11" formatCode="&quot;$&quot;#,##0.00_);\(&quot;$&quot;#,##0.00\)"/>
      <alignment vertical="bottom" textRotation="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vertical="bottom" textRotation="0" indent="0" justifyLastLine="0" shrinkToFit="0" readingOrder="0"/>
    </dxf>
    <dxf>
      <alignment vertical="bottom" textRotation="0" indent="0" justifyLastLine="0" shrinkToFit="0" readingOrder="0"/>
      <border diagonalUp="0" diagonalDown="0">
        <left style="thick">
          <color theme="3" tint="-0.499984740745262"/>
        </left>
        <right/>
        <top/>
        <bottom/>
        <vertical/>
        <horizontal/>
      </border>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rgb="FF555555"/>
        <name val="Arial"/>
        <family val="2"/>
        <scheme val="none"/>
      </font>
      <alignment horizontal="left" vertical="center" textRotation="0" wrapText="1" indent="1" justifyLastLine="0" shrinkToFit="0" readingOrder="0"/>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333333"/>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b/>
        <i val="0"/>
        <strike val="0"/>
        <condense val="0"/>
        <extend val="0"/>
        <outline val="0"/>
        <shadow val="0"/>
        <u val="none"/>
        <vertAlign val="baseline"/>
        <sz val="12"/>
        <color auto="1"/>
        <name val="Corbel"/>
        <family val="2"/>
        <scheme val="major"/>
      </font>
      <numFmt numFmtId="166" formatCode="&quot;$&quot;#,##0.00"/>
      <alignment horizontal="right" vertical="center" textRotation="0" wrapText="0" indent="0" justifyLastLine="0" shrinkToFit="0" readingOrder="0"/>
      <border diagonalUp="0" diagonalDown="0">
        <left style="thick">
          <color theme="2" tint="-0.749961851863155"/>
        </left>
        <right/>
        <top style="thick">
          <color theme="2" tint="-0.749961851863155"/>
        </top>
        <bottom style="thick">
          <color theme="2" tint="-0.749961851863155"/>
        </bottom>
      </border>
    </dxf>
    <dxf>
      <font>
        <b/>
        <i val="0"/>
        <strike val="0"/>
        <condense val="0"/>
        <extend val="0"/>
        <outline val="0"/>
        <shadow val="0"/>
        <u val="none"/>
        <vertAlign val="baseline"/>
        <sz val="12"/>
        <color auto="1"/>
        <name val="Corbel"/>
        <family val="2"/>
        <scheme val="major"/>
      </font>
      <numFmt numFmtId="166" formatCode="&quot;$&quot;#,##0.00"/>
      <alignment horizontal="right" vertical="center" textRotation="0" wrapText="0" indent="0" justifyLastLine="0" shrinkToFit="0" readingOrder="0"/>
      <border diagonalUp="0" diagonalDown="0">
        <left style="thick">
          <color theme="2" tint="-0.749961851863155"/>
        </left>
        <right style="thick">
          <color theme="2" tint="-0.749961851863155"/>
        </right>
        <top style="thick">
          <color theme="2" tint="-0.749961851863155"/>
        </top>
        <bottom style="thick">
          <color theme="2" tint="-0.749961851863155"/>
        </bottom>
      </border>
    </dxf>
    <dxf>
      <font>
        <b/>
        <i val="0"/>
        <strike val="0"/>
        <condense val="0"/>
        <extend val="0"/>
        <outline val="0"/>
        <shadow val="0"/>
        <u val="none"/>
        <vertAlign val="baseline"/>
        <sz val="12"/>
        <color auto="1"/>
        <name val="Corbel"/>
        <family val="2"/>
        <scheme val="major"/>
      </font>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rgb="FF1F4E49"/>
        </bottom>
      </border>
    </dxf>
    <dxf>
      <font>
        <strike val="0"/>
        <outline val="0"/>
        <shadow val="0"/>
        <u val="none"/>
        <vertAlign val="baseline"/>
        <sz val="12"/>
        <color auto="1"/>
        <name val="Corbel"/>
        <family val="2"/>
        <scheme val="none"/>
      </font>
    </dxf>
    <dxf>
      <font>
        <strike val="0"/>
        <outline val="0"/>
        <shadow val="0"/>
        <u val="none"/>
        <vertAlign val="baseline"/>
        <sz val="14"/>
        <color theme="0"/>
        <name val="Calibri"/>
        <family val="2"/>
        <scheme val="minor"/>
      </font>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12"/>
        <color auto="1"/>
        <name val="Corbel"/>
        <family val="2"/>
        <scheme val="major"/>
      </font>
      <numFmt numFmtId="166" formatCode="&quot;$&quot;#,##0.00"/>
      <fill>
        <patternFill patternType="none">
          <fgColor indexed="64"/>
          <bgColor auto="1"/>
        </patternFill>
      </fill>
      <alignment horizontal="right" vertical="center" textRotation="0" wrapText="0" indent="0" justifyLastLine="0" shrinkToFit="0" readingOrder="0"/>
      <border diagonalUp="0" diagonalDown="0" outline="0">
        <left style="thick">
          <color theme="2" tint="-0.749961851863155"/>
        </left>
        <right/>
        <top style="thick">
          <color theme="2" tint="-0.749961851863155"/>
        </top>
        <bottom/>
      </border>
      <protection locked="1" hidden="0"/>
    </dxf>
    <dxf>
      <numFmt numFmtId="166" formatCode="&quot;$&quot;#,##0.00"/>
    </dxf>
    <dxf>
      <alignment horizontal="right" vertical="center" textRotation="0" wrapText="0" indent="0" justifyLastLine="0" shrinkToFit="0" readingOrder="0"/>
    </dxf>
    <dxf>
      <numFmt numFmtId="166" formatCode="&quot;$&quot;#,##0.00"/>
      <border outline="0">
        <left style="thick">
          <color theme="2" tint="-0.749961851863155"/>
        </left>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theme="2" tint="-0.749961851863155"/>
        </bottom>
      </border>
    </dxf>
    <dxf>
      <font>
        <strike val="0"/>
        <outline val="0"/>
        <shadow val="0"/>
        <u val="none"/>
        <vertAlign val="baseline"/>
        <sz val="12"/>
        <color auto="1"/>
        <name val="Corbel"/>
        <family val="2"/>
        <scheme val="major"/>
      </font>
    </dxf>
    <dxf>
      <font>
        <strike val="0"/>
        <outline val="0"/>
        <shadow val="0"/>
        <u val="none"/>
        <vertAlign val="baseline"/>
        <sz val="14"/>
        <color theme="0"/>
        <name val="Calibri"/>
        <family val="2"/>
        <scheme val="minor"/>
      </font>
      <fill>
        <patternFill patternType="none">
          <fgColor indexed="64"/>
          <bgColor auto="1"/>
        </patternFill>
      </fill>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rgb="FF00B0F0"/>
        <name val="Calibri"/>
        <family val="2"/>
        <scheme val="minor"/>
      </font>
      <numFmt numFmtId="0" formatCode="General"/>
      <alignment horizontal="general"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rgb="FF00B0F0"/>
        <name val="Calibri"/>
        <family val="2"/>
        <scheme val="minor"/>
      </font>
      <alignment horizontal="general" textRotation="0" indent="0" justifyLastLine="0" shrinkToFit="0" readingOrder="0"/>
    </dxf>
    <dxf>
      <alignment horizontal="general" textRotation="0" indent="0" justifyLastLine="0" shrinkToFit="0" readingOrder="0"/>
    </dxf>
    <dxf>
      <alignment horizontal="general"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alignment horizontal="left" vertical="center" textRotation="0" wrapText="1" indent="1" justifyLastLine="0" shrinkToFit="0" readingOrder="0"/>
    </dxf>
    <dxf>
      <numFmt numFmtId="0" formatCode="General"/>
      <alignment horizontal="left" vertical="center" textRotation="0" wrapText="0" indent="1" justifyLastLine="0" shrinkToFit="0" readingOrder="0"/>
    </dxf>
    <dxf>
      <alignment horizontal="left" vertical="center" textRotation="0" wrapText="1" indent="1" justifyLastLine="0" shrinkToFit="0" readingOrder="0"/>
    </dxf>
    <dxf>
      <alignment horizontal="general" vertical="center" textRotation="0" wrapText="0" indent="0" justifyLastLine="0" shrinkToFit="0" readingOrder="0"/>
    </dxf>
    <dxf>
      <alignment horizontal="left" vertical="center" textRotation="0" wrapText="1"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numFmt numFmtId="0" formatCode="General"/>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rgb="FF1F4E49"/>
        </patternFill>
      </fill>
      <alignment horizontal="center" vertical="center" textRotation="0" wrapText="1" indent="0" justifyLastLine="0" shrinkToFit="0" readingOrder="0"/>
      <border diagonalUp="0" diagonalDown="0" outline="0">
        <left style="thick">
          <color theme="3" tint="-0.499984740745262"/>
        </left>
        <right/>
        <top/>
        <bottom/>
      </border>
    </dxf>
    <dxf>
      <alignment horizontal="left" vertical="center" textRotation="0" wrapText="0" indent="1" justifyLastLine="0" shrinkToFit="0" readingOrder="0"/>
    </dxf>
    <dxf>
      <alignment horizontal="left" vertical="center" textRotation="0" wrapText="0" indent="1"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2" tint="-0.749961851863155"/>
        </patternFill>
      </fill>
      <alignment horizontal="general" vertical="bottom" textRotation="0" wrapText="0" indent="0" justifyLastLine="0" shrinkToFit="0" readingOrder="0"/>
    </dxf>
    <dxf>
      <font>
        <b/>
        <color theme="1"/>
      </font>
      <border>
        <bottom style="thin">
          <color theme="8"/>
        </bottom>
        <vertical/>
        <horizontal/>
      </border>
    </dxf>
    <dxf>
      <font>
        <color theme="1"/>
      </font>
      <border>
        <left style="thick">
          <color theme="8"/>
        </left>
        <right style="thick">
          <color theme="8"/>
        </right>
        <top style="thick">
          <color theme="8"/>
        </top>
        <bottom style="thick">
          <color theme="8"/>
        </bottom>
        <vertical/>
        <horizontal/>
      </border>
    </dxf>
    <dxf>
      <font>
        <b/>
        <i val="0"/>
      </font>
    </dxf>
    <dxf>
      <font>
        <b/>
        <i val="0"/>
      </font>
      <border>
        <left style="thick">
          <color auto="1"/>
        </left>
        <right style="thick">
          <color auto="1"/>
        </right>
        <top style="thick">
          <color auto="1"/>
        </top>
        <bottom style="thick">
          <color auto="1"/>
        </bottom>
      </border>
    </dxf>
    <dxf>
      <font>
        <b/>
        <i val="0"/>
        <color theme="0"/>
      </font>
      <fill>
        <patternFill>
          <bgColor theme="2" tint="-0.749961851863155"/>
        </patternFill>
      </fill>
    </dxf>
    <dxf>
      <fill>
        <patternFill>
          <bgColor theme="2" tint="-9.9948118533890809E-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0"/>
      </font>
      <fill>
        <patternFill>
          <bgColor theme="2" tint="-0.749961851863155"/>
        </patternFill>
      </fill>
    </dxf>
    <dxf>
      <font>
        <b/>
        <i val="0"/>
        <color theme="0" tint="-4.9989318521683403E-2"/>
      </font>
      <fill>
        <patternFill>
          <bgColor theme="2" tint="-0.749961851863155"/>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2" tint="-0.749961851863155"/>
      </font>
      <border>
        <bottom style="thin">
          <color theme="2" tint="-0.499984740745262"/>
        </bottom>
        <vertical/>
        <horizontal/>
      </border>
    </dxf>
    <dxf>
      <font>
        <b val="0"/>
        <i val="0"/>
        <sz val="11"/>
        <color theme="1"/>
      </font>
      <border diagonalUp="0" diagonalDown="0">
        <left style="thick">
          <color theme="1"/>
        </left>
        <right style="thick">
          <color theme="1"/>
        </right>
        <top style="thick">
          <color theme="1"/>
        </top>
        <bottom style="thick">
          <color theme="1"/>
        </bottom>
        <vertical/>
        <horizontal/>
      </border>
    </dxf>
    <dxf>
      <font>
        <b/>
        <i val="0"/>
        <color theme="0"/>
      </font>
      <fill>
        <patternFill>
          <bgColor theme="2" tint="-0.749961851863155"/>
        </patternFill>
      </fill>
    </dxf>
    <dxf>
      <fill>
        <patternFill>
          <bgColor theme="2" tint="-9.9948118533890809E-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0" tint="-4.9989318521683403E-2"/>
      </font>
      <fill>
        <patternFill>
          <bgColor theme="2" tint="-0.749961851863155"/>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s>
  <tableStyles count="5" defaultTableStyle="Home Inventory" defaultPivotStyle="PivotStyleLight16">
    <tableStyle name="Home Inventory" pivot="0" count="8" xr9:uid="{00000000-0011-0000-FFFF-FFFF00000000}">
      <tableStyleElement type="wholeTable" dxfId="615"/>
      <tableStyleElement type="headerRow" dxfId="614"/>
      <tableStyleElement type="totalRow" dxfId="613"/>
      <tableStyleElement type="lastColumn" dxfId="612"/>
      <tableStyleElement type="firstRowStripe" dxfId="611"/>
      <tableStyleElement type="firstColumnStripe" dxfId="610"/>
      <tableStyleElement type="secondColumnStripe" dxfId="609"/>
      <tableStyleElement type="firstTotalCell" dxfId="608"/>
    </tableStyle>
    <tableStyle name="Home Inventory Slicer" pivot="0" table="0" count="10" xr9:uid="{00000000-0011-0000-FFFF-FFFF01000000}">
      <tableStyleElement type="wholeTable" dxfId="607"/>
      <tableStyleElement type="headerRow" dxfId="606"/>
    </tableStyle>
    <tableStyle name="Purchase Ordering" pivot="0" count="9" xr9:uid="{534FAD0B-6121-450B-BA78-6BB16DADB835}">
      <tableStyleElement type="wholeTable" dxfId="605"/>
      <tableStyleElement type="headerRow" dxfId="604"/>
      <tableStyleElement type="totalRow" dxfId="603"/>
      <tableStyleElement type="firstColumn" dxfId="602"/>
      <tableStyleElement type="lastColumn" dxfId="601"/>
      <tableStyleElement type="firstRowStripe" dxfId="600"/>
      <tableStyleElement type="firstColumnStripe" dxfId="599"/>
      <tableStyleElement type="secondColumnStripe" dxfId="598"/>
      <tableStyleElement type="firstTotalCell" dxfId="597"/>
    </tableStyle>
    <tableStyle name="Slicer Style 1" pivot="0" table="0" count="10" xr9:uid="{26D1C38F-D7E5-4B1B-A74C-C56E1B20981A}">
      <tableStyleElement type="wholeTable" dxfId="596"/>
      <tableStyleElement type="headerRow" dxfId="595"/>
    </tableStyle>
    <tableStyle name="SlicerStyleLight5 2" pivot="0" table="0" count="10" xr9:uid="{3F9EA4BD-B9B2-419A-8889-9CF049ACAF41}">
      <tableStyleElement type="wholeTable" dxfId="594"/>
      <tableStyleElement type="headerRow" dxfId="59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006666"/>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F0EAB0"/>
      <rgbColor rgb="00EAEAEA"/>
      <rgbColor rgb="0099CCFF"/>
      <rgbColor rgb="00F2F8EA"/>
      <rgbColor rgb="00CC99FF"/>
      <rgbColor rgb="00BDDAB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6F608"/>
      <color rgb="FFEC6E6E"/>
      <color rgb="FFFF4F4F"/>
      <color rgb="FFFFA401"/>
      <color rgb="FFFFC301"/>
      <color rgb="FFF3AE03"/>
      <color rgb="FFFCB504"/>
      <color rgb="FFFFB805"/>
      <color rgb="FFFBC825"/>
      <color rgb="FFEE7D00"/>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55A127"/>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rgb="FFD3E6BC"/>
            </patternFill>
          </fill>
          <border>
            <left style="medium">
              <color rgb="FF999999"/>
            </left>
            <right style="medium">
              <color rgb="FF999999"/>
            </right>
            <top style="medium">
              <color rgb="FF999999"/>
            </top>
            <bottom style="medium">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rgb="FFB5F030"/>
            </patternFill>
          </fill>
        </dxf>
        <dxf>
          <fill>
            <patternFill>
              <bgColor rgb="FFFF4747"/>
            </patternFill>
          </fill>
        </dxf>
        <dxf>
          <fill>
            <patternFill>
              <bgColor rgb="FF00EE6C"/>
            </patternFill>
          </fill>
        </dxf>
        <dxf>
          <fill>
            <patternFill>
              <bgColor rgb="FFFF8C01"/>
            </patternFill>
          </fill>
        </dxf>
        <dxf>
          <font>
            <color theme="0"/>
          </font>
          <fill>
            <patternFill>
              <bgColor rgb="FF92D050"/>
            </patternFill>
          </fill>
        </dxf>
        <dxf>
          <font>
            <color theme="0"/>
          </font>
          <fill>
            <patternFill>
              <bgColor rgb="FF00B050"/>
            </patternFill>
          </fill>
        </dxf>
        <dxf>
          <font>
            <color theme="0"/>
          </font>
          <fill>
            <patternFill>
              <bgColor rgb="FFC00000"/>
            </patternFill>
          </fill>
        </dxf>
        <dxf>
          <font>
            <color theme="0"/>
          </font>
          <fill>
            <patternFill>
              <bgColor rgb="FFFF0000"/>
            </patternFill>
          </fill>
        </dxf>
        <dxf>
          <font>
            <color theme="1"/>
          </font>
          <fill>
            <patternFill patternType="solid">
              <fgColor auto="1"/>
              <bgColor theme="0" tint="-0.34998626667073579"/>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F27F00"/>
            </patternFill>
          </fill>
          <border>
            <left style="medium">
              <color rgb="FF999999"/>
            </left>
            <right style="medium">
              <color rgb="FF999999"/>
            </right>
            <top style="medium">
              <color rgb="FF999999"/>
            </top>
            <bottom style="medium">
              <color rgb="FF999999"/>
            </bottom>
            <vertical/>
            <horizontal/>
          </border>
        </dxf>
        <dxf>
          <font>
            <b/>
            <i val="0"/>
            <color theme="0"/>
          </font>
          <fill>
            <patternFill patternType="solid">
              <fgColor auto="1"/>
              <bgColor rgb="FFEE7D00"/>
            </patternFill>
          </fill>
          <border diagonalUp="0" diagonalDown="0">
            <left style="medium">
              <color auto="1"/>
            </left>
            <right style="medium">
              <color auto="1"/>
            </right>
            <top style="medium">
              <color auto="1"/>
            </top>
            <bottom style="medium">
              <color auto="1"/>
            </bottom>
            <vertical/>
            <horizontal/>
          </border>
        </dxf>
        <dxf>
          <font>
            <b/>
            <i val="0"/>
            <color theme="0"/>
          </font>
          <fill>
            <patternFill patternType="solid">
              <fgColor auto="1"/>
              <bgColor rgb="FFF27F00"/>
            </patternFill>
          </fill>
          <border>
            <left style="medium">
              <color theme="3"/>
            </left>
            <right style="medium">
              <color theme="3"/>
            </right>
            <top style="medium">
              <color theme="3"/>
            </top>
            <bottom style="medium">
              <color theme="3"/>
            </bottom>
            <vertical/>
            <horizontal/>
          </border>
        </dxf>
        <dxf>
          <font>
            <b/>
            <i val="0"/>
            <color rgb="FF828282"/>
          </font>
          <fill>
            <patternFill patternType="solid">
              <fgColor auto="1"/>
              <bgColor theme="0" tint="-0.14996795556505021"/>
            </patternFill>
          </fill>
          <border>
            <left style="thin">
              <color theme="3"/>
            </left>
            <right style="thin">
              <color theme="3"/>
            </right>
            <top style="thin">
              <color theme="3"/>
            </top>
            <bottom style="thin">
              <color theme="3"/>
            </bottom>
            <vertical/>
            <horizontal/>
          </border>
        </dxf>
        <dxf>
          <font>
            <b/>
            <i val="0"/>
            <color theme="1"/>
          </font>
          <fill>
            <patternFill patternType="solid">
              <fgColor auto="1"/>
              <bgColor rgb="FFFFBE77"/>
            </patternFill>
          </fill>
          <border diagonalUp="0" diagonalDown="0">
            <left style="medium">
              <color auto="1"/>
            </left>
            <right style="medium">
              <color auto="1"/>
            </right>
            <top style="medium">
              <color auto="1"/>
            </top>
            <bottom style="medium">
              <color auto="1"/>
            </bottom>
            <vertical/>
            <horizontal/>
          </border>
        </dxf>
        <dxf>
          <font>
            <color rgb="FF828282"/>
          </font>
          <fill>
            <patternFill patternType="solid">
              <fgColor auto="1"/>
              <bgColor theme="0" tint="-0.14996795556505021"/>
            </patternFill>
          </fill>
          <border>
            <left style="thin">
              <color rgb="FFE0E0E0"/>
            </left>
            <right style="thin">
              <color rgb="FFE0E0E0"/>
            </right>
            <top style="thin">
              <color rgb="FFE0E0E0"/>
            </top>
            <bottom style="thin">
              <color rgb="FFE0E0E0"/>
            </bottom>
            <vertical/>
            <horizontal/>
          </border>
        </dxf>
        <dxf>
          <font>
            <b/>
            <i val="0"/>
            <color theme="1"/>
          </font>
          <fill>
            <patternFill patternType="solid">
              <fgColor auto="1"/>
              <bgColor rgb="FFF3F0ED"/>
            </patternFill>
          </fill>
          <border>
            <left style="medium">
              <color auto="1"/>
            </left>
            <right style="medium">
              <color auto="1"/>
            </right>
            <top style="medium">
              <color auto="1"/>
            </top>
            <bottom style="medium">
              <color auto="1"/>
            </bottom>
            <vertical/>
            <horizontal/>
          </border>
        </dxf>
      </x14:dxfs>
    </ext>
    <ext xmlns:x14="http://schemas.microsoft.com/office/spreadsheetml/2009/9/main" uri="{EB79DEF2-80B8-43e5-95BD-54CBDDF9020C}">
      <x14:slicerStyles defaultSlicerStyle="Home Inventory Slicer">
        <x14:slicerStyle name="Home Inventory 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 Style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worksheet" Target="worksheets/sheet21.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connections" Target="connections.xml"/><Relationship Id="rId55" Type="http://schemas.openxmlformats.org/officeDocument/2006/relationships/customXml" Target="../customXml/item1.xml"/><Relationship Id="rId63" Type="http://schemas.openxmlformats.org/officeDocument/2006/relationships/customXml" Target="../customXml/item9.xml"/><Relationship Id="rId68" Type="http://schemas.openxmlformats.org/officeDocument/2006/relationships/customXml" Target="../customXml/item14.xml"/><Relationship Id="rId7" Type="http://schemas.openxmlformats.org/officeDocument/2006/relationships/worksheet" Target="worksheets/sheet7.xml"/><Relationship Id="rId71"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powerPivotData" Target="model/item.data"/><Relationship Id="rId58" Type="http://schemas.openxmlformats.org/officeDocument/2006/relationships/customXml" Target="../customXml/item4.xml"/><Relationship Id="rId66" Type="http://schemas.openxmlformats.org/officeDocument/2006/relationships/customXml" Target="../customXml/item12.xml"/><Relationship Id="rId7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4.xml"/><Relationship Id="rId36" Type="http://schemas.microsoft.com/office/2007/relationships/slicerCache" Target="slicerCaches/slicerCache12.xml"/><Relationship Id="rId49" Type="http://schemas.openxmlformats.org/officeDocument/2006/relationships/theme" Target="theme/theme1.xml"/><Relationship Id="rId57" Type="http://schemas.openxmlformats.org/officeDocument/2006/relationships/customXml" Target="../customXml/item3.xml"/><Relationship Id="rId61"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 Id="rId60" Type="http://schemas.openxmlformats.org/officeDocument/2006/relationships/customXml" Target="../customXml/item6.xml"/><Relationship Id="rId65" Type="http://schemas.openxmlformats.org/officeDocument/2006/relationships/customXml" Target="../customXml/item11.xml"/><Relationship Id="rId73"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64" Type="http://schemas.openxmlformats.org/officeDocument/2006/relationships/customXml" Target="../customXml/item10.xml"/><Relationship Id="rId69" Type="http://schemas.openxmlformats.org/officeDocument/2006/relationships/customXml" Target="../customXml/item15.xml"/><Relationship Id="rId8" Type="http://schemas.openxmlformats.org/officeDocument/2006/relationships/worksheet" Target="worksheets/sheet8.xml"/><Relationship Id="rId51" Type="http://schemas.openxmlformats.org/officeDocument/2006/relationships/styles" Target="styles.xml"/><Relationship Id="rId72"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59" Type="http://schemas.openxmlformats.org/officeDocument/2006/relationships/customXml" Target="../customXml/item5.xml"/><Relationship Id="rId67" Type="http://schemas.openxmlformats.org/officeDocument/2006/relationships/customXml" Target="../customXml/item13.xml"/><Relationship Id="rId20" Type="http://schemas.openxmlformats.org/officeDocument/2006/relationships/worksheet" Target="worksheets/sheet20.xml"/><Relationship Id="rId41" Type="http://schemas.microsoft.com/office/2007/relationships/slicerCache" Target="slicerCaches/slicerCache17.xml"/><Relationship Id="rId54" Type="http://schemas.openxmlformats.org/officeDocument/2006/relationships/calcChain" Target="calcChain.xml"/><Relationship Id="rId62" Type="http://schemas.openxmlformats.org/officeDocument/2006/relationships/customXml" Target="../customXml/item8.xml"/><Relationship Id="rId70"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_rels/drawing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svg"/><Relationship Id="rId1" Type="http://schemas.openxmlformats.org/officeDocument/2006/relationships/image" Target="../media/image11.png"/><Relationship Id="rId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svg"/><Relationship Id="rId1" Type="http://schemas.openxmlformats.org/officeDocument/2006/relationships/image" Target="../media/image13.png"/><Relationship Id="rId4" Type="http://schemas.openxmlformats.org/officeDocument/2006/relationships/image" Target="../media/image16.sv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20.svg"/></Relationships>
</file>

<file path=xl/drawings/_rels/drawing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20.svg"/></Relationships>
</file>

<file path=xl/drawings/_rels/drawing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4" Type="http://schemas.openxmlformats.org/officeDocument/2006/relationships/image" Target="../media/image20.svg"/></Relationships>
</file>

<file path=xl/drawings/_rels/drawing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20.svg"/></Relationships>
</file>

<file path=xl/drawings/drawing1.xml><?xml version="1.0" encoding="utf-8"?>
<xdr:wsDr xmlns:xdr="http://schemas.openxmlformats.org/drawingml/2006/spreadsheetDrawing" xmlns:a="http://schemas.openxmlformats.org/drawingml/2006/main">
  <xdr:twoCellAnchor editAs="absolute">
    <xdr:from>
      <xdr:col>0</xdr:col>
      <xdr:colOff>264242</xdr:colOff>
      <xdr:row>8</xdr:row>
      <xdr:rowOff>89977</xdr:rowOff>
    </xdr:from>
    <xdr:to>
      <xdr:col>8</xdr:col>
      <xdr:colOff>737716</xdr:colOff>
      <xdr:row>31</xdr:row>
      <xdr:rowOff>22860</xdr:rowOff>
    </xdr:to>
    <mc:AlternateContent xmlns:mc="http://schemas.openxmlformats.org/markup-compatibility/2006" xmlns:sle15="http://schemas.microsoft.com/office/drawing/2012/slicer">
      <mc:Choice Requires="sle15">
        <xdr:graphicFrame macro="">
          <xdr:nvGraphicFramePr>
            <xdr:cNvPr id="6" name="Equipment Category">
              <a:extLst>
                <a:ext uri="{FF2B5EF4-FFF2-40B4-BE49-F238E27FC236}">
                  <a16:creationId xmlns:a16="http://schemas.microsoft.com/office/drawing/2014/main" id="{F5AF0997-8BFA-416F-BD1C-A8F40DEA0A40}"/>
                </a:ext>
              </a:extLst>
            </xdr:cNvPr>
            <xdr:cNvGraphicFramePr/>
          </xdr:nvGraphicFramePr>
          <xdr:xfrm>
            <a:off x="0" y="0"/>
            <a:ext cx="0" cy="0"/>
          </xdr:xfrm>
          <a:graphic>
            <a:graphicData uri="http://schemas.microsoft.com/office/drawing/2010/slicer">
              <sle:slicer xmlns:sle="http://schemas.microsoft.com/office/drawing/2010/slicer" name="Equipment Category"/>
            </a:graphicData>
          </a:graphic>
        </xdr:graphicFrame>
      </mc:Choice>
      <mc:Fallback xmlns="">
        <xdr:sp macro="" textlink="">
          <xdr:nvSpPr>
            <xdr:cNvPr id="0" name=""/>
            <xdr:cNvSpPr>
              <a:spLocks noTextEdit="1"/>
            </xdr:cNvSpPr>
          </xdr:nvSpPr>
          <xdr:spPr>
            <a:xfrm>
              <a:off x="264242" y="2840797"/>
              <a:ext cx="13914257" cy="413912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13250</xdr:colOff>
      <xdr:row>2</xdr:row>
      <xdr:rowOff>7621</xdr:rowOff>
    </xdr:from>
    <xdr:to>
      <xdr:col>4</xdr:col>
      <xdr:colOff>2904114</xdr:colOff>
      <xdr:row>2</xdr:row>
      <xdr:rowOff>617221</xdr:rowOff>
    </xdr:to>
    <mc:AlternateContent xmlns:mc="http://schemas.openxmlformats.org/markup-compatibility/2006" xmlns:sle15="http://schemas.microsoft.com/office/drawing/2012/slicer">
      <mc:Choice Requires="sle15">
        <xdr:graphicFrame macro="">
          <xdr:nvGraphicFramePr>
            <xdr:cNvPr id="15" name="# &gt; 0 ? T/F">
              <a:extLst>
                <a:ext uri="{FF2B5EF4-FFF2-40B4-BE49-F238E27FC236}">
                  <a16:creationId xmlns:a16="http://schemas.microsoft.com/office/drawing/2014/main" id="{38A9B331-2126-49F2-AF90-3AAEB415FE44}"/>
                </a:ext>
              </a:extLst>
            </xdr:cNvPr>
            <xdr:cNvGraphicFramePr/>
          </xdr:nvGraphicFramePr>
          <xdr:xfrm>
            <a:off x="0" y="0"/>
            <a:ext cx="0" cy="0"/>
          </xdr:xfrm>
          <a:graphic>
            <a:graphicData uri="http://schemas.microsoft.com/office/drawing/2010/slicer">
              <sle:slicer xmlns:sle="http://schemas.microsoft.com/office/drawing/2010/slicer" name="# &gt; 0 ? T/F"/>
            </a:graphicData>
          </a:graphic>
        </xdr:graphicFrame>
      </mc:Choice>
      <mc:Fallback xmlns="">
        <xdr:sp macro="" textlink="">
          <xdr:nvSpPr>
            <xdr:cNvPr id="0" name=""/>
            <xdr:cNvSpPr>
              <a:spLocks noTextEdit="1"/>
            </xdr:cNvSpPr>
          </xdr:nvSpPr>
          <xdr:spPr>
            <a:xfrm>
              <a:off x="279950" y="1211581"/>
              <a:ext cx="9900367" cy="609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9</xdr:col>
      <xdr:colOff>210960</xdr:colOff>
      <xdr:row>0</xdr:row>
      <xdr:rowOff>190500</xdr:rowOff>
    </xdr:from>
    <xdr:to>
      <xdr:col>9</xdr:col>
      <xdr:colOff>693420</xdr:colOff>
      <xdr:row>0</xdr:row>
      <xdr:rowOff>672960</xdr:rowOff>
    </xdr:to>
    <xdr:pic>
      <xdr:nvPicPr>
        <xdr:cNvPr id="5" name="Graphic 4" descr="Shopping cart">
          <a:extLst>
            <a:ext uri="{FF2B5EF4-FFF2-40B4-BE49-F238E27FC236}">
              <a16:creationId xmlns:a16="http://schemas.microsoft.com/office/drawing/2014/main" id="{7F4A6835-80D4-495D-9C88-1A77DCDAD8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905880" y="190500"/>
          <a:ext cx="482460" cy="482460"/>
        </a:xfrm>
        <a:prstGeom prst="rect">
          <a:avLst/>
        </a:prstGeom>
      </xdr:spPr>
    </xdr:pic>
    <xdr:clientData/>
  </xdr:twoCellAnchor>
  <xdr:twoCellAnchor editAs="oneCell">
    <xdr:from>
      <xdr:col>2</xdr:col>
      <xdr:colOff>726720</xdr:colOff>
      <xdr:row>0</xdr:row>
      <xdr:rowOff>71400</xdr:rowOff>
    </xdr:from>
    <xdr:to>
      <xdr:col>2</xdr:col>
      <xdr:colOff>1310640</xdr:colOff>
      <xdr:row>0</xdr:row>
      <xdr:rowOff>655320</xdr:rowOff>
    </xdr:to>
    <xdr:pic>
      <xdr:nvPicPr>
        <xdr:cNvPr id="10" name="Graphic 9" descr="Fire">
          <a:extLst>
            <a:ext uri="{FF2B5EF4-FFF2-40B4-BE49-F238E27FC236}">
              <a16:creationId xmlns:a16="http://schemas.microsoft.com/office/drawing/2014/main" id="{83063594-529B-473A-ABC0-8A14B36260B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729000" y="71400"/>
          <a:ext cx="583920" cy="583920"/>
        </a:xfrm>
        <a:prstGeom prst="rect">
          <a:avLst/>
        </a:prstGeom>
      </xdr:spPr>
    </xdr:pic>
    <xdr:clientData/>
  </xdr:twoCellAnchor>
  <xdr:twoCellAnchor editAs="oneCell">
    <xdr:from>
      <xdr:col>2</xdr:col>
      <xdr:colOff>79020</xdr:colOff>
      <xdr:row>1</xdr:row>
      <xdr:rowOff>18060</xdr:rowOff>
    </xdr:from>
    <xdr:to>
      <xdr:col>2</xdr:col>
      <xdr:colOff>449580</xdr:colOff>
      <xdr:row>2</xdr:row>
      <xdr:rowOff>7620</xdr:rowOff>
    </xdr:to>
    <xdr:pic>
      <xdr:nvPicPr>
        <xdr:cNvPr id="21" name="Graphic 20" descr="Money">
          <a:extLst>
            <a:ext uri="{FF2B5EF4-FFF2-40B4-BE49-F238E27FC236}">
              <a16:creationId xmlns:a16="http://schemas.microsoft.com/office/drawing/2014/main" id="{DADE051D-4D47-48A2-B0D9-F0A2CF007C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081300" y="841020"/>
          <a:ext cx="370560" cy="370560"/>
        </a:xfrm>
        <a:prstGeom prst="rect">
          <a:avLst/>
        </a:prstGeom>
      </xdr:spPr>
    </xdr:pic>
    <xdr:clientData/>
  </xdr:twoCellAnchor>
  <xdr:twoCellAnchor editAs="oneCell">
    <xdr:from>
      <xdr:col>8</xdr:col>
      <xdr:colOff>22860</xdr:colOff>
      <xdr:row>1</xdr:row>
      <xdr:rowOff>45720</xdr:rowOff>
    </xdr:from>
    <xdr:to>
      <xdr:col>8</xdr:col>
      <xdr:colOff>335280</xdr:colOff>
      <xdr:row>1</xdr:row>
      <xdr:rowOff>358140</xdr:rowOff>
    </xdr:to>
    <xdr:pic>
      <xdr:nvPicPr>
        <xdr:cNvPr id="22" name="Graphic 21" descr="Daily Calendar">
          <a:extLst>
            <a:ext uri="{FF2B5EF4-FFF2-40B4-BE49-F238E27FC236}">
              <a16:creationId xmlns:a16="http://schemas.microsoft.com/office/drawing/2014/main" id="{0677CF76-6B92-4273-A20A-8071DD7A2A1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666220" y="868680"/>
          <a:ext cx="312420" cy="312420"/>
        </a:xfrm>
        <a:prstGeom prst="rect">
          <a:avLst/>
        </a:prstGeom>
      </xdr:spPr>
    </xdr:pic>
    <xdr:clientData/>
  </xdr:twoCellAnchor>
  <xdr:twoCellAnchor editAs="absolute">
    <xdr:from>
      <xdr:col>0</xdr:col>
      <xdr:colOff>265040</xdr:colOff>
      <xdr:row>3</xdr:row>
      <xdr:rowOff>44065</xdr:rowOff>
    </xdr:from>
    <xdr:to>
      <xdr:col>8</xdr:col>
      <xdr:colOff>791386</xdr:colOff>
      <xdr:row>8</xdr:row>
      <xdr:rowOff>25560</xdr:rowOff>
    </xdr:to>
    <mc:AlternateContent xmlns:mc="http://schemas.openxmlformats.org/markup-compatibility/2006" xmlns:sle15="http://schemas.microsoft.com/office/drawing/2012/slicer">
      <mc:Choice Requires="sle15">
        <xdr:graphicFrame macro="">
          <xdr:nvGraphicFramePr>
            <xdr:cNvPr id="3" name="Equipment Type">
              <a:extLst>
                <a:ext uri="{FF2B5EF4-FFF2-40B4-BE49-F238E27FC236}">
                  <a16:creationId xmlns:a16="http://schemas.microsoft.com/office/drawing/2014/main" id="{2DA0DA67-0259-4209-BE77-46567C81937C}"/>
                </a:ext>
              </a:extLst>
            </xdr:cNvPr>
            <xdr:cNvGraphicFramePr/>
          </xdr:nvGraphicFramePr>
          <xdr:xfrm>
            <a:off x="0" y="0"/>
            <a:ext cx="0" cy="0"/>
          </xdr:xfrm>
          <a:graphic>
            <a:graphicData uri="http://schemas.microsoft.com/office/drawing/2010/slicer">
              <sle:slicer xmlns:sle="http://schemas.microsoft.com/office/drawing/2010/slicer" name="Equipment Type"/>
            </a:graphicData>
          </a:graphic>
        </xdr:graphicFrame>
      </mc:Choice>
      <mc:Fallback xmlns="">
        <xdr:sp macro="" textlink="">
          <xdr:nvSpPr>
            <xdr:cNvPr id="0" name=""/>
            <xdr:cNvSpPr>
              <a:spLocks noTextEdit="1"/>
            </xdr:cNvSpPr>
          </xdr:nvSpPr>
          <xdr:spPr>
            <a:xfrm>
              <a:off x="265040" y="1880485"/>
              <a:ext cx="13967129" cy="8958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2317</xdr:colOff>
      <xdr:row>31</xdr:row>
      <xdr:rowOff>68580</xdr:rowOff>
    </xdr:from>
    <xdr:to>
      <xdr:col>8</xdr:col>
      <xdr:colOff>732417</xdr:colOff>
      <xdr:row>36</xdr:row>
      <xdr:rowOff>152401</xdr:rowOff>
    </xdr:to>
    <mc:AlternateContent xmlns:mc="http://schemas.openxmlformats.org/markup-compatibility/2006" xmlns:sle15="http://schemas.microsoft.com/office/drawing/2012/slicer">
      <mc:Choice Requires="sle15">
        <xdr:graphicFrame macro="">
          <xdr:nvGraphicFramePr>
            <xdr:cNvPr id="4" name="Vendor">
              <a:extLst>
                <a:ext uri="{FF2B5EF4-FFF2-40B4-BE49-F238E27FC236}">
                  <a16:creationId xmlns:a16="http://schemas.microsoft.com/office/drawing/2014/main" id="{9463A3B5-A3C9-4A27-A0F1-1FE8CC92FE13}"/>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269017" y="7025640"/>
              <a:ext cx="13904183" cy="9982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1153020</xdr:colOff>
      <xdr:row>0</xdr:row>
      <xdr:rowOff>332460</xdr:rowOff>
    </xdr:from>
    <xdr:to>
      <xdr:col>1</xdr:col>
      <xdr:colOff>1712100</xdr:colOff>
      <xdr:row>1</xdr:row>
      <xdr:rowOff>38100</xdr:rowOff>
    </xdr:to>
    <xdr:pic>
      <xdr:nvPicPr>
        <xdr:cNvPr id="2" name="Graphic 1" descr="Newspaper">
          <a:extLst>
            <a:ext uri="{FF2B5EF4-FFF2-40B4-BE49-F238E27FC236}">
              <a16:creationId xmlns:a16="http://schemas.microsoft.com/office/drawing/2014/main" id="{AEC139CF-3FCE-410F-918F-6C31925FA57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5960" y="332460"/>
          <a:ext cx="559080" cy="559080"/>
        </a:xfrm>
        <a:prstGeom prst="rect">
          <a:avLst/>
        </a:prstGeom>
      </xdr:spPr>
    </xdr:pic>
    <xdr:clientData/>
  </xdr:twoCellAnchor>
  <xdr:twoCellAnchor editAs="oneCell">
    <xdr:from>
      <xdr:col>3</xdr:col>
      <xdr:colOff>1775460</xdr:colOff>
      <xdr:row>0</xdr:row>
      <xdr:rowOff>175260</xdr:rowOff>
    </xdr:from>
    <xdr:to>
      <xdr:col>3</xdr:col>
      <xdr:colOff>2407920</xdr:colOff>
      <xdr:row>0</xdr:row>
      <xdr:rowOff>807720</xdr:rowOff>
    </xdr:to>
    <xdr:pic>
      <xdr:nvPicPr>
        <xdr:cNvPr id="9" name="Graphic 8" descr="Gears">
          <a:extLst>
            <a:ext uri="{FF2B5EF4-FFF2-40B4-BE49-F238E27FC236}">
              <a16:creationId xmlns:a16="http://schemas.microsoft.com/office/drawing/2014/main" id="{DED1CF44-0627-4AD4-84E6-DD37128F521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20100" y="175260"/>
          <a:ext cx="632460" cy="6324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3</xdr:col>
      <xdr:colOff>2523060</xdr:colOff>
      <xdr:row>0</xdr:row>
      <xdr:rowOff>121920</xdr:rowOff>
    </xdr:from>
    <xdr:ext cx="677340" cy="677340"/>
    <xdr:pic>
      <xdr:nvPicPr>
        <xdr:cNvPr id="10" name="Graphic 9" descr="Gears">
          <a:extLst>
            <a:ext uri="{FF2B5EF4-FFF2-40B4-BE49-F238E27FC236}">
              <a16:creationId xmlns:a16="http://schemas.microsoft.com/office/drawing/2014/main" id="{7F1479FB-CD0B-478E-939F-26FE40DD33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34400" y="121920"/>
          <a:ext cx="677340" cy="677340"/>
        </a:xfrm>
        <a:prstGeom prst="rect">
          <a:avLst/>
        </a:prstGeom>
      </xdr:spPr>
    </xdr:pic>
    <xdr:clientData/>
  </xdr:oneCellAnchor>
  <xdr:twoCellAnchor editAs="oneCell">
    <xdr:from>
      <xdr:col>0</xdr:col>
      <xdr:colOff>1409700</xdr:colOff>
      <xdr:row>0</xdr:row>
      <xdr:rowOff>365760</xdr:rowOff>
    </xdr:from>
    <xdr:to>
      <xdr:col>0</xdr:col>
      <xdr:colOff>1907400</xdr:colOff>
      <xdr:row>1</xdr:row>
      <xdr:rowOff>10543</xdr:rowOff>
    </xdr:to>
    <xdr:pic>
      <xdr:nvPicPr>
        <xdr:cNvPr id="11" name="Graphic 10" descr="Hierarchy">
          <a:extLst>
            <a:ext uri="{FF2B5EF4-FFF2-40B4-BE49-F238E27FC236}">
              <a16:creationId xmlns:a16="http://schemas.microsoft.com/office/drawing/2014/main" id="{A9E8CA37-FC84-44DB-84BD-67B1329D056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9700" y="365760"/>
          <a:ext cx="497700" cy="505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653994</xdr:colOff>
      <xdr:row>0</xdr:row>
      <xdr:rowOff>2286994</xdr:rowOff>
    </xdr:from>
    <xdr:to>
      <xdr:col>0</xdr:col>
      <xdr:colOff>1149294</xdr:colOff>
      <xdr:row>0</xdr:row>
      <xdr:rowOff>2693936</xdr:rowOff>
    </xdr:to>
    <xdr:pic>
      <xdr:nvPicPr>
        <xdr:cNvPr id="4" name="Graphic 3" descr="List">
          <a:extLst>
            <a:ext uri="{FF2B5EF4-FFF2-40B4-BE49-F238E27FC236}">
              <a16:creationId xmlns:a16="http://schemas.microsoft.com/office/drawing/2014/main" id="{DC3559AB-168E-4AC3-A37D-FF4E33F3EB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53994" y="2286994"/>
          <a:ext cx="495300" cy="406942"/>
        </a:xfrm>
        <a:prstGeom prst="rect">
          <a:avLst/>
        </a:prstGeom>
      </xdr:spPr>
    </xdr:pic>
    <xdr:clientData/>
  </xdr:twoCellAnchor>
  <xdr:twoCellAnchor editAs="oneCell">
    <xdr:from>
      <xdr:col>11</xdr:col>
      <xdr:colOff>815760</xdr:colOff>
      <xdr:row>0</xdr:row>
      <xdr:rowOff>198120</xdr:rowOff>
    </xdr:from>
    <xdr:to>
      <xdr:col>11</xdr:col>
      <xdr:colOff>1478280</xdr:colOff>
      <xdr:row>0</xdr:row>
      <xdr:rowOff>860640</xdr:rowOff>
    </xdr:to>
    <xdr:pic>
      <xdr:nvPicPr>
        <xdr:cNvPr id="13" name="Graphic 12" descr="World">
          <a:extLst>
            <a:ext uri="{FF2B5EF4-FFF2-40B4-BE49-F238E27FC236}">
              <a16:creationId xmlns:a16="http://schemas.microsoft.com/office/drawing/2014/main" id="{00A9ACF3-8BA1-4E19-A536-CCA3B4A1F6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672480" y="198120"/>
          <a:ext cx="662520" cy="662520"/>
        </a:xfrm>
        <a:prstGeom prst="rect">
          <a:avLst/>
        </a:prstGeom>
      </xdr:spPr>
    </xdr:pic>
    <xdr:clientData/>
  </xdr:twoCellAnchor>
  <xdr:twoCellAnchor editAs="oneCell">
    <xdr:from>
      <xdr:col>1</xdr:col>
      <xdr:colOff>924840</xdr:colOff>
      <xdr:row>595</xdr:row>
      <xdr:rowOff>223800</xdr:rowOff>
    </xdr:from>
    <xdr:to>
      <xdr:col>1</xdr:col>
      <xdr:colOff>1508760</xdr:colOff>
      <xdr:row>598</xdr:row>
      <xdr:rowOff>15240</xdr:rowOff>
    </xdr:to>
    <xdr:pic>
      <xdr:nvPicPr>
        <xdr:cNvPr id="5" name="Graphic 4" descr="Fire">
          <a:extLst>
            <a:ext uri="{FF2B5EF4-FFF2-40B4-BE49-F238E27FC236}">
              <a16:creationId xmlns:a16="http://schemas.microsoft.com/office/drawing/2014/main" id="{210041FA-4F36-417A-9A3E-4369DD92761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102380" y="108069660"/>
          <a:ext cx="583920" cy="583920"/>
        </a:xfrm>
        <a:prstGeom prst="rect">
          <a:avLst/>
        </a:prstGeom>
      </xdr:spPr>
    </xdr:pic>
    <xdr:clientData/>
  </xdr:twoCellAnchor>
  <xdr:twoCellAnchor editAs="absolute">
    <xdr:from>
      <xdr:col>0</xdr:col>
      <xdr:colOff>0</xdr:colOff>
      <xdr:row>0</xdr:row>
      <xdr:rowOff>0</xdr:rowOff>
    </xdr:from>
    <xdr:to>
      <xdr:col>1</xdr:col>
      <xdr:colOff>259080</xdr:colOff>
      <xdr:row>0</xdr:row>
      <xdr:rowOff>624839</xdr:rowOff>
    </xdr:to>
    <mc:AlternateContent xmlns:mc="http://schemas.openxmlformats.org/markup-compatibility/2006" xmlns:sle15="http://schemas.microsoft.com/office/drawing/2012/slicer">
      <mc:Choice Requires="sle15">
        <xdr:graphicFrame macro="">
          <xdr:nvGraphicFramePr>
            <xdr:cNvPr id="2" name="Type 2">
              <a:extLst>
                <a:ext uri="{FF2B5EF4-FFF2-40B4-BE49-F238E27FC236}">
                  <a16:creationId xmlns:a16="http://schemas.microsoft.com/office/drawing/2014/main" id="{BD6352C7-8B81-40BF-B935-7FDE5003E377}"/>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0" y="0"/>
              <a:ext cx="3368040" cy="6248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259080</xdr:colOff>
      <xdr:row>0</xdr:row>
      <xdr:rowOff>0</xdr:rowOff>
    </xdr:from>
    <xdr:to>
      <xdr:col>7</xdr:col>
      <xdr:colOff>4122420</xdr:colOff>
      <xdr:row>0</xdr:row>
      <xdr:rowOff>617220</xdr:rowOff>
    </xdr:to>
    <mc:AlternateContent xmlns:mc="http://schemas.openxmlformats.org/markup-compatibility/2006" xmlns:sle15="http://schemas.microsoft.com/office/drawing/2012/slicer">
      <mc:Choice Requires="sle15">
        <xdr:graphicFrame macro="">
          <xdr:nvGraphicFramePr>
            <xdr:cNvPr id="3" name="Category 1">
              <a:extLst>
                <a:ext uri="{FF2B5EF4-FFF2-40B4-BE49-F238E27FC236}">
                  <a16:creationId xmlns:a16="http://schemas.microsoft.com/office/drawing/2014/main" id="{896156B8-8991-4FDE-A05B-F987FB74A0D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3368040" y="0"/>
              <a:ext cx="9441180" cy="6172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617221</xdr:rowOff>
    </xdr:from>
    <xdr:to>
      <xdr:col>0</xdr:col>
      <xdr:colOff>1798320</xdr:colOff>
      <xdr:row>0</xdr:row>
      <xdr:rowOff>1775460</xdr:rowOff>
    </xdr:to>
    <mc:AlternateContent xmlns:mc="http://schemas.openxmlformats.org/markup-compatibility/2006" xmlns:sle15="http://schemas.microsoft.com/office/drawing/2012/slicer">
      <mc:Choice Requires="sle15">
        <xdr:graphicFrame macro="">
          <xdr:nvGraphicFramePr>
            <xdr:cNvPr id="6" name="Vendor 2">
              <a:extLst>
                <a:ext uri="{FF2B5EF4-FFF2-40B4-BE49-F238E27FC236}">
                  <a16:creationId xmlns:a16="http://schemas.microsoft.com/office/drawing/2014/main" id="{E4B79C47-DDCE-4451-8F24-6FC9E59BA549}"/>
                </a:ext>
              </a:extLst>
            </xdr:cNvPr>
            <xdr:cNvGraphicFramePr/>
          </xdr:nvGraphicFramePr>
          <xdr:xfrm>
            <a:off x="0" y="0"/>
            <a:ext cx="0" cy="0"/>
          </xdr:xfrm>
          <a:graphic>
            <a:graphicData uri="http://schemas.microsoft.com/office/drawing/2010/slicer">
              <sle:slicer xmlns:sle="http://schemas.microsoft.com/office/drawing/2010/slicer" name="Vendor 2"/>
            </a:graphicData>
          </a:graphic>
        </xdr:graphicFrame>
      </mc:Choice>
      <mc:Fallback xmlns="">
        <xdr:sp macro="" textlink="">
          <xdr:nvSpPr>
            <xdr:cNvPr id="0" name=""/>
            <xdr:cNvSpPr>
              <a:spLocks noTextEdit="1"/>
            </xdr:cNvSpPr>
          </xdr:nvSpPr>
          <xdr:spPr>
            <a:xfrm>
              <a:off x="0" y="617221"/>
              <a:ext cx="1798320" cy="11582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1790700</xdr:colOff>
      <xdr:row>0</xdr:row>
      <xdr:rowOff>617221</xdr:rowOff>
    </xdr:from>
    <xdr:to>
      <xdr:col>7</xdr:col>
      <xdr:colOff>4122420</xdr:colOff>
      <xdr:row>0</xdr:row>
      <xdr:rowOff>1775460</xdr:rowOff>
    </xdr:to>
    <mc:AlternateContent xmlns:mc="http://schemas.openxmlformats.org/markup-compatibility/2006" xmlns:sle15="http://schemas.microsoft.com/office/drawing/2012/slicer">
      <mc:Choice Requires="sle15">
        <xdr:graphicFrame macro="">
          <xdr:nvGraphicFramePr>
            <xdr:cNvPr id="7" name="Quantity 1">
              <a:extLst>
                <a:ext uri="{FF2B5EF4-FFF2-40B4-BE49-F238E27FC236}">
                  <a16:creationId xmlns:a16="http://schemas.microsoft.com/office/drawing/2014/main" id="{50F4E6BB-2F6E-4808-9491-615CDE14904B}"/>
                </a:ext>
              </a:extLst>
            </xdr:cNvPr>
            <xdr:cNvGraphicFramePr/>
          </xdr:nvGraphicFramePr>
          <xdr:xfrm>
            <a:off x="0" y="0"/>
            <a:ext cx="0" cy="0"/>
          </xdr:xfrm>
          <a:graphic>
            <a:graphicData uri="http://schemas.microsoft.com/office/drawing/2010/slicer">
              <sle:slicer xmlns:sle="http://schemas.microsoft.com/office/drawing/2010/slicer" name="Quantity 1"/>
            </a:graphicData>
          </a:graphic>
        </xdr:graphicFrame>
      </mc:Choice>
      <mc:Fallback xmlns="">
        <xdr:sp macro="" textlink="">
          <xdr:nvSpPr>
            <xdr:cNvPr id="0" name=""/>
            <xdr:cNvSpPr>
              <a:spLocks noTextEdit="1"/>
            </xdr:cNvSpPr>
          </xdr:nvSpPr>
          <xdr:spPr>
            <a:xfrm>
              <a:off x="1790700" y="617221"/>
              <a:ext cx="11018520" cy="11582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4114800</xdr:colOff>
      <xdr:row>0</xdr:row>
      <xdr:rowOff>7620</xdr:rowOff>
    </xdr:from>
    <xdr:to>
      <xdr:col>7</xdr:col>
      <xdr:colOff>5021580</xdr:colOff>
      <xdr:row>0</xdr:row>
      <xdr:rowOff>2263140</xdr:rowOff>
    </xdr:to>
    <mc:AlternateContent xmlns:mc="http://schemas.openxmlformats.org/markup-compatibility/2006" xmlns:sle15="http://schemas.microsoft.com/office/drawing/2012/slicer">
      <mc:Choice Requires="sle15">
        <xdr:graphicFrame macro="">
          <xdr:nvGraphicFramePr>
            <xdr:cNvPr id="8" name="Tag 1">
              <a:extLst>
                <a:ext uri="{FF2B5EF4-FFF2-40B4-BE49-F238E27FC236}">
                  <a16:creationId xmlns:a16="http://schemas.microsoft.com/office/drawing/2014/main" id="{2D245333-F6B2-47CC-8568-0A5BA3332987}"/>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12801600" y="7620"/>
              <a:ext cx="906780" cy="22555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669234</xdr:colOff>
      <xdr:row>10</xdr:row>
      <xdr:rowOff>465814</xdr:rowOff>
    </xdr:from>
    <xdr:to>
      <xdr:col>0</xdr:col>
      <xdr:colOff>1164534</xdr:colOff>
      <xdr:row>10</xdr:row>
      <xdr:rowOff>872756</xdr:rowOff>
    </xdr:to>
    <xdr:pic>
      <xdr:nvPicPr>
        <xdr:cNvPr id="2" name="Graphic 1" descr="List">
          <a:extLst>
            <a:ext uri="{FF2B5EF4-FFF2-40B4-BE49-F238E27FC236}">
              <a16:creationId xmlns:a16="http://schemas.microsoft.com/office/drawing/2014/main" id="{19D216F3-B569-4865-A309-4DBD62DC6A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9234" y="2294614"/>
          <a:ext cx="495300" cy="406942"/>
        </a:xfrm>
        <a:prstGeom prst="rect">
          <a:avLst/>
        </a:prstGeom>
      </xdr:spPr>
    </xdr:pic>
    <xdr:clientData/>
  </xdr:twoCellAnchor>
  <xdr:twoCellAnchor editAs="oneCell">
    <xdr:from>
      <xdr:col>11</xdr:col>
      <xdr:colOff>815760</xdr:colOff>
      <xdr:row>10</xdr:row>
      <xdr:rowOff>198120</xdr:rowOff>
    </xdr:from>
    <xdr:to>
      <xdr:col>14</xdr:col>
      <xdr:colOff>78441</xdr:colOff>
      <xdr:row>10</xdr:row>
      <xdr:rowOff>860640</xdr:rowOff>
    </xdr:to>
    <xdr:pic>
      <xdr:nvPicPr>
        <xdr:cNvPr id="3" name="Graphic 2" descr="World">
          <a:extLst>
            <a:ext uri="{FF2B5EF4-FFF2-40B4-BE49-F238E27FC236}">
              <a16:creationId xmlns:a16="http://schemas.microsoft.com/office/drawing/2014/main" id="{9446F9D3-D247-4A16-BF1D-C34723B43F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720480" y="2026920"/>
          <a:ext cx="662520" cy="662520"/>
        </a:xfrm>
        <a:prstGeom prst="rect">
          <a:avLst/>
        </a:prstGeom>
      </xdr:spPr>
    </xdr:pic>
    <xdr:clientData/>
  </xdr:twoCellAnchor>
  <xdr:twoCellAnchor editAs="oneCell">
    <xdr:from>
      <xdr:col>1</xdr:col>
      <xdr:colOff>1346117</xdr:colOff>
      <xdr:row>620</xdr:row>
      <xdr:rowOff>53983</xdr:rowOff>
    </xdr:from>
    <xdr:to>
      <xdr:col>1</xdr:col>
      <xdr:colOff>1930037</xdr:colOff>
      <xdr:row>622</xdr:row>
      <xdr:rowOff>19596</xdr:rowOff>
    </xdr:to>
    <xdr:pic>
      <xdr:nvPicPr>
        <xdr:cNvPr id="4" name="Graphic 3" descr="Fire">
          <a:extLst>
            <a:ext uri="{FF2B5EF4-FFF2-40B4-BE49-F238E27FC236}">
              <a16:creationId xmlns:a16="http://schemas.microsoft.com/office/drawing/2014/main" id="{CEB9E415-BEFE-4D2C-B3AE-BAAC6D0ACD0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115986840"/>
          <a:ext cx="583920" cy="586098"/>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xmlns:sle15="http://schemas.microsoft.com/office/drawing/2012/slicer">
      <mc:Choice Requires="sle15">
        <xdr:graphicFrame macro="">
          <xdr:nvGraphicFramePr>
            <xdr:cNvPr id="5" name="Type 3">
              <a:extLst>
                <a:ext uri="{FF2B5EF4-FFF2-40B4-BE49-F238E27FC236}">
                  <a16:creationId xmlns:a16="http://schemas.microsoft.com/office/drawing/2014/main" id="{820807B3-8738-484F-B890-08802577FA82}"/>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22860" y="38100"/>
              <a:ext cx="2522220" cy="6064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4251960</xdr:colOff>
      <xdr:row>3</xdr:row>
      <xdr:rowOff>106680</xdr:rowOff>
    </xdr:to>
    <mc:AlternateContent xmlns:mc="http://schemas.openxmlformats.org/markup-compatibility/2006" xmlns:sle15="http://schemas.microsoft.com/office/drawing/2012/slicer">
      <mc:Choice Requires="sle15">
        <xdr:graphicFrame macro="">
          <xdr:nvGraphicFramePr>
            <xdr:cNvPr id="6" name="Category 2">
              <a:extLst>
                <a:ext uri="{FF2B5EF4-FFF2-40B4-BE49-F238E27FC236}">
                  <a16:creationId xmlns:a16="http://schemas.microsoft.com/office/drawing/2014/main" id="{7C0531B6-D715-4A61-B99E-3494AAB4B2B8}"/>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545080" y="30481"/>
              <a:ext cx="10716409" cy="6140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106680</xdr:rowOff>
    </xdr:from>
    <xdr:to>
      <xdr:col>0</xdr:col>
      <xdr:colOff>1943100</xdr:colOff>
      <xdr:row>9</xdr:row>
      <xdr:rowOff>167639</xdr:rowOff>
    </xdr:to>
    <mc:AlternateContent xmlns:mc="http://schemas.openxmlformats.org/markup-compatibility/2006" xmlns:sle15="http://schemas.microsoft.com/office/drawing/2012/slicer">
      <mc:Choice Requires="sle15">
        <xdr:graphicFrame macro="">
          <xdr:nvGraphicFramePr>
            <xdr:cNvPr id="7" name="Vendor 3">
              <a:extLst>
                <a:ext uri="{FF2B5EF4-FFF2-40B4-BE49-F238E27FC236}">
                  <a16:creationId xmlns:a16="http://schemas.microsoft.com/office/drawing/2014/main" id="{FAC381C8-46E0-43C2-AC3C-F4C79A30106B}"/>
                </a:ext>
              </a:extLst>
            </xdr:cNvPr>
            <xdr:cNvGraphicFramePr/>
          </xdr:nvGraphicFramePr>
          <xdr:xfrm>
            <a:off x="0" y="0"/>
            <a:ext cx="0" cy="0"/>
          </xdr:xfrm>
          <a:graphic>
            <a:graphicData uri="http://schemas.microsoft.com/office/drawing/2010/slicer">
              <sle:slicer xmlns:sle="http://schemas.microsoft.com/office/drawing/2010/slicer" name="Vendor 3"/>
            </a:graphicData>
          </a:graphic>
        </xdr:graphicFrame>
      </mc:Choice>
      <mc:Fallback xmlns="">
        <xdr:sp macro="" textlink="">
          <xdr:nvSpPr>
            <xdr:cNvPr id="0" name=""/>
            <xdr:cNvSpPr>
              <a:spLocks noTextEdit="1"/>
            </xdr:cNvSpPr>
          </xdr:nvSpPr>
          <xdr:spPr>
            <a:xfrm>
              <a:off x="45720" y="644562"/>
              <a:ext cx="1897380" cy="11367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4244340</xdr:colOff>
      <xdr:row>9</xdr:row>
      <xdr:rowOff>167640</xdr:rowOff>
    </xdr:to>
    <mc:AlternateContent xmlns:mc="http://schemas.openxmlformats.org/markup-compatibility/2006" xmlns:sle15="http://schemas.microsoft.com/office/drawing/2012/slicer">
      <mc:Choice Requires="sle15">
        <xdr:graphicFrame macro="">
          <xdr:nvGraphicFramePr>
            <xdr:cNvPr id="8" name="Quantity 2">
              <a:extLst>
                <a:ext uri="{FF2B5EF4-FFF2-40B4-BE49-F238E27FC236}">
                  <a16:creationId xmlns:a16="http://schemas.microsoft.com/office/drawing/2014/main" id="{C9693A7D-7E75-4809-B1C5-58AEA4373E43}"/>
                </a:ext>
              </a:extLst>
            </xdr:cNvPr>
            <xdr:cNvGraphicFramePr/>
          </xdr:nvGraphicFramePr>
          <xdr:xfrm>
            <a:off x="0" y="0"/>
            <a:ext cx="0" cy="0"/>
          </xdr:xfrm>
          <a:graphic>
            <a:graphicData uri="http://schemas.microsoft.com/office/drawing/2010/slicer">
              <sle:slicer xmlns:sle="http://schemas.microsoft.com/office/drawing/2010/slicer" name="Quantity 2"/>
            </a:graphicData>
          </a:graphic>
        </xdr:graphicFrame>
      </mc:Choice>
      <mc:Fallback xmlns="">
        <xdr:sp macro="" textlink="">
          <xdr:nvSpPr>
            <xdr:cNvPr id="0" name=""/>
            <xdr:cNvSpPr>
              <a:spLocks noTextEdit="1"/>
            </xdr:cNvSpPr>
          </xdr:nvSpPr>
          <xdr:spPr>
            <a:xfrm>
              <a:off x="1950720" y="644562"/>
              <a:ext cx="11303149" cy="1136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4244340</xdr:colOff>
      <xdr:row>0</xdr:row>
      <xdr:rowOff>0</xdr:rowOff>
    </xdr:from>
    <xdr:to>
      <xdr:col>12</xdr:col>
      <xdr:colOff>0</xdr:colOff>
      <xdr:row>10</xdr:row>
      <xdr:rowOff>403860</xdr:rowOff>
    </xdr:to>
    <mc:AlternateContent xmlns:mc="http://schemas.openxmlformats.org/markup-compatibility/2006" xmlns:sle15="http://schemas.microsoft.com/office/drawing/2012/slicer">
      <mc:Choice Requires="sle15">
        <xdr:graphicFrame macro="">
          <xdr:nvGraphicFramePr>
            <xdr:cNvPr id="9" name="Tag 2">
              <a:extLst>
                <a:ext uri="{FF2B5EF4-FFF2-40B4-BE49-F238E27FC236}">
                  <a16:creationId xmlns:a16="http://schemas.microsoft.com/office/drawing/2014/main" id="{6E825A07-1287-405D-A922-B2502F676030}"/>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13253869" y="0"/>
              <a:ext cx="914400" cy="21968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xmlns:sle15="http://schemas.microsoft.com/office/drawing/2012/slicer">
      <mc:Choice Requires="sle15">
        <xdr:graphicFrame macro="">
          <xdr:nvGraphicFramePr>
            <xdr:cNvPr id="10" name="Initial 1">
              <a:extLst>
                <a:ext uri="{FF2B5EF4-FFF2-40B4-BE49-F238E27FC236}">
                  <a16:creationId xmlns:a16="http://schemas.microsoft.com/office/drawing/2014/main" id="{DC047861-0983-4209-8092-12886DB4B194}"/>
                </a:ext>
              </a:extLst>
            </xdr:cNvPr>
            <xdr:cNvGraphicFramePr/>
          </xdr:nvGraphicFramePr>
          <xdr:xfrm>
            <a:off x="0" y="0"/>
            <a:ext cx="0" cy="0"/>
          </xdr:xfrm>
          <a:graphic>
            <a:graphicData uri="http://schemas.microsoft.com/office/drawing/2010/slicer">
              <sle:slicer xmlns:sle="http://schemas.microsoft.com/office/drawing/2010/slicer" name="Initial 1"/>
            </a:graphicData>
          </a:graphic>
        </xdr:graphicFrame>
      </mc:Choice>
      <mc:Fallback xmlns="">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6.xml><?xml version="1.0" encoding="utf-8"?>
<xdr:wsDr xmlns:xdr="http://schemas.openxmlformats.org/drawingml/2006/spreadsheetDrawing" xmlns:a="http://schemas.openxmlformats.org/drawingml/2006/main">
  <xdr:twoCellAnchor editAs="oneCell">
    <xdr:from>
      <xdr:col>0</xdr:col>
      <xdr:colOff>8965</xdr:colOff>
      <xdr:row>10</xdr:row>
      <xdr:rowOff>241695</xdr:rowOff>
    </xdr:from>
    <xdr:to>
      <xdr:col>0</xdr:col>
      <xdr:colOff>504265</xdr:colOff>
      <xdr:row>10</xdr:row>
      <xdr:rowOff>648637</xdr:rowOff>
    </xdr:to>
    <xdr:pic>
      <xdr:nvPicPr>
        <xdr:cNvPr id="2" name="Graphic 1" descr="List">
          <a:extLst>
            <a:ext uri="{FF2B5EF4-FFF2-40B4-BE49-F238E27FC236}">
              <a16:creationId xmlns:a16="http://schemas.microsoft.com/office/drawing/2014/main" id="{B968F4C2-10D4-4FA0-BE9D-D49F095BDC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965" y="2680095"/>
          <a:ext cx="495300" cy="406942"/>
        </a:xfrm>
        <a:prstGeom prst="rect">
          <a:avLst/>
        </a:prstGeom>
      </xdr:spPr>
    </xdr:pic>
    <xdr:clientData/>
  </xdr:twoCellAnchor>
  <xdr:twoCellAnchor editAs="oneCell">
    <xdr:from>
      <xdr:col>5</xdr:col>
      <xdr:colOff>507822</xdr:colOff>
      <xdr:row>10</xdr:row>
      <xdr:rowOff>153296</xdr:rowOff>
    </xdr:from>
    <xdr:to>
      <xdr:col>5</xdr:col>
      <xdr:colOff>1172583</xdr:colOff>
      <xdr:row>10</xdr:row>
      <xdr:rowOff>815816</xdr:rowOff>
    </xdr:to>
    <xdr:pic>
      <xdr:nvPicPr>
        <xdr:cNvPr id="3" name="Graphic 2" descr="World">
          <a:extLst>
            <a:ext uri="{FF2B5EF4-FFF2-40B4-BE49-F238E27FC236}">
              <a16:creationId xmlns:a16="http://schemas.microsoft.com/office/drawing/2014/main" id="{FB143BB5-6234-4F81-8819-A53AE893609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299893" y="2591696"/>
          <a:ext cx="664761" cy="662520"/>
        </a:xfrm>
        <a:prstGeom prst="rect">
          <a:avLst/>
        </a:prstGeom>
      </xdr:spPr>
    </xdr:pic>
    <xdr:clientData/>
  </xdr:twoCellAnchor>
  <xdr:absoluteAnchor>
    <xdr:pos x="8966" y="0"/>
    <xdr:ext cx="5074022" cy="2689412"/>
    <mc:AlternateContent xmlns:mc="http://schemas.openxmlformats.org/markup-compatibility/2006">
      <mc:Choice xmlns:sle15="http://schemas.microsoft.com/office/drawing/2012/slicer" Requires="sle15">
        <xdr:graphicFrame macro="">
          <xdr:nvGraphicFramePr>
            <xdr:cNvPr id="10" name="Initial 2">
              <a:extLst>
                <a:ext uri="{FF2B5EF4-FFF2-40B4-BE49-F238E27FC236}">
                  <a16:creationId xmlns:a16="http://schemas.microsoft.com/office/drawing/2014/main" id="{247775FE-3CD2-4B53-84A5-35C000E6E70A}"/>
                </a:ext>
              </a:extLst>
            </xdr:cNvPr>
            <xdr:cNvGraphicFramePr/>
          </xdr:nvGraphicFramePr>
          <xdr:xfrm>
            <a:off x="0" y="0"/>
            <a:ext cx="0" cy="0"/>
          </xdr:xfrm>
          <a:graphic>
            <a:graphicData uri="http://schemas.microsoft.com/office/drawing/2010/slicer">
              <sle:slicer xmlns:sle="http://schemas.microsoft.com/office/drawing/2010/slicer" name="Initial 2"/>
            </a:graphicData>
          </a:graphic>
        </xdr:graphicFrame>
      </mc:Choice>
      <mc:Fallback>
        <xdr:sp macro="" textlink="">
          <xdr:nvSpPr>
            <xdr:cNvPr id="0" name=""/>
            <xdr:cNvSpPr>
              <a:spLocks noTextEdit="1"/>
            </xdr:cNvSpPr>
          </xdr:nvSpPr>
          <xdr:spPr>
            <a:xfrm>
              <a:off x="8966" y="0"/>
              <a:ext cx="5074022" cy="26894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7.xml><?xml version="1.0" encoding="utf-8"?>
<xdr:wsDr xmlns:xdr="http://schemas.openxmlformats.org/drawingml/2006/spreadsheetDrawing" xmlns:a="http://schemas.openxmlformats.org/drawingml/2006/main">
  <xdr:twoCellAnchor editAs="oneCell">
    <xdr:from>
      <xdr:col>0</xdr:col>
      <xdr:colOff>669234</xdr:colOff>
      <xdr:row>10</xdr:row>
      <xdr:rowOff>465814</xdr:rowOff>
    </xdr:from>
    <xdr:to>
      <xdr:col>0</xdr:col>
      <xdr:colOff>1164534</xdr:colOff>
      <xdr:row>10</xdr:row>
      <xdr:rowOff>872756</xdr:rowOff>
    </xdr:to>
    <xdr:pic>
      <xdr:nvPicPr>
        <xdr:cNvPr id="2" name="Graphic 1" descr="List">
          <a:extLst>
            <a:ext uri="{FF2B5EF4-FFF2-40B4-BE49-F238E27FC236}">
              <a16:creationId xmlns:a16="http://schemas.microsoft.com/office/drawing/2014/main" id="{C9C24C0A-1CAC-4C4A-90A1-5B0777984F5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9234" y="2294614"/>
          <a:ext cx="495300" cy="406942"/>
        </a:xfrm>
        <a:prstGeom prst="rect">
          <a:avLst/>
        </a:prstGeom>
      </xdr:spPr>
    </xdr:pic>
    <xdr:clientData/>
  </xdr:twoCellAnchor>
  <xdr:twoCellAnchor editAs="oneCell">
    <xdr:from>
      <xdr:col>11</xdr:col>
      <xdr:colOff>815760</xdr:colOff>
      <xdr:row>10</xdr:row>
      <xdr:rowOff>198120</xdr:rowOff>
    </xdr:from>
    <xdr:to>
      <xdr:col>14</xdr:col>
      <xdr:colOff>78441</xdr:colOff>
      <xdr:row>10</xdr:row>
      <xdr:rowOff>860640</xdr:rowOff>
    </xdr:to>
    <xdr:pic>
      <xdr:nvPicPr>
        <xdr:cNvPr id="3" name="Graphic 2" descr="World">
          <a:extLst>
            <a:ext uri="{FF2B5EF4-FFF2-40B4-BE49-F238E27FC236}">
              <a16:creationId xmlns:a16="http://schemas.microsoft.com/office/drawing/2014/main" id="{74497578-6AF0-4BF1-8B4D-EF99503C09D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158380" y="2026920"/>
          <a:ext cx="657141" cy="662520"/>
        </a:xfrm>
        <a:prstGeom prst="rect">
          <a:avLst/>
        </a:prstGeom>
      </xdr:spPr>
    </xdr:pic>
    <xdr:clientData/>
  </xdr:twoCellAnchor>
  <xdr:twoCellAnchor editAs="oneCell">
    <xdr:from>
      <xdr:col>1</xdr:col>
      <xdr:colOff>780060</xdr:colOff>
      <xdr:row>621</xdr:row>
      <xdr:rowOff>10440</xdr:rowOff>
    </xdr:from>
    <xdr:to>
      <xdr:col>1</xdr:col>
      <xdr:colOff>1363980</xdr:colOff>
      <xdr:row>622</xdr:row>
      <xdr:rowOff>411481</xdr:rowOff>
    </xdr:to>
    <xdr:pic>
      <xdr:nvPicPr>
        <xdr:cNvPr id="4" name="Graphic 3" descr="Fire">
          <a:extLst>
            <a:ext uri="{FF2B5EF4-FFF2-40B4-BE49-F238E27FC236}">
              <a16:creationId xmlns:a16="http://schemas.microsoft.com/office/drawing/2014/main" id="{739F7D33-D57A-455E-A246-CC96E6CCCAF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370860" y="102080340"/>
          <a:ext cx="583920" cy="583921"/>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xmlns:sle15="http://schemas.microsoft.com/office/drawing/2012/slicer">
      <mc:Choice Requires="sle15">
        <xdr:graphicFrame macro="">
          <xdr:nvGraphicFramePr>
            <xdr:cNvPr id="5" name="Type 5">
              <a:extLst>
                <a:ext uri="{FF2B5EF4-FFF2-40B4-BE49-F238E27FC236}">
                  <a16:creationId xmlns:a16="http://schemas.microsoft.com/office/drawing/2014/main" id="{5CFB444D-10D2-4AEB-B3AD-1C901BA31066}"/>
                </a:ext>
              </a:extLst>
            </xdr:cNvPr>
            <xdr:cNvGraphicFramePr/>
          </xdr:nvGraphicFramePr>
          <xdr:xfrm>
            <a:off x="0" y="0"/>
            <a:ext cx="0" cy="0"/>
          </xdr:xfrm>
          <a:graphic>
            <a:graphicData uri="http://schemas.microsoft.com/office/drawing/2010/slicer">
              <sle:slicer xmlns:sle="http://schemas.microsoft.com/office/drawing/2010/slicer" name="Type 5"/>
            </a:graphicData>
          </a:graphic>
        </xdr:graphicFrame>
      </mc:Choice>
      <mc:Fallback xmlns="">
        <xdr:sp macro="" textlink="">
          <xdr:nvSpPr>
            <xdr:cNvPr id="0" name=""/>
            <xdr:cNvSpPr>
              <a:spLocks noTextEdit="1"/>
            </xdr:cNvSpPr>
          </xdr:nvSpPr>
          <xdr:spPr>
            <a:xfrm>
              <a:off x="22860" y="38100"/>
              <a:ext cx="2522220" cy="6064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4251960</xdr:colOff>
      <xdr:row>3</xdr:row>
      <xdr:rowOff>106680</xdr:rowOff>
    </xdr:to>
    <mc:AlternateContent xmlns:mc="http://schemas.openxmlformats.org/markup-compatibility/2006" xmlns:sle15="http://schemas.microsoft.com/office/drawing/2012/slicer">
      <mc:Choice Requires="sle15">
        <xdr:graphicFrame macro="">
          <xdr:nvGraphicFramePr>
            <xdr:cNvPr id="6" name="Category 4">
              <a:extLst>
                <a:ext uri="{FF2B5EF4-FFF2-40B4-BE49-F238E27FC236}">
                  <a16:creationId xmlns:a16="http://schemas.microsoft.com/office/drawing/2014/main" id="{12E5F1C9-85D6-499E-82DE-122DEA9DB167}"/>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2545080" y="30481"/>
              <a:ext cx="10716409" cy="6140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106680</xdr:rowOff>
    </xdr:from>
    <xdr:to>
      <xdr:col>0</xdr:col>
      <xdr:colOff>1943100</xdr:colOff>
      <xdr:row>9</xdr:row>
      <xdr:rowOff>167639</xdr:rowOff>
    </xdr:to>
    <mc:AlternateContent xmlns:mc="http://schemas.openxmlformats.org/markup-compatibility/2006" xmlns:sle15="http://schemas.microsoft.com/office/drawing/2012/slicer">
      <mc:Choice Requires="sle15">
        <xdr:graphicFrame macro="">
          <xdr:nvGraphicFramePr>
            <xdr:cNvPr id="7" name="Vendor 5">
              <a:extLst>
                <a:ext uri="{FF2B5EF4-FFF2-40B4-BE49-F238E27FC236}">
                  <a16:creationId xmlns:a16="http://schemas.microsoft.com/office/drawing/2014/main" id="{7012B471-755E-4FA8-B384-6DA384B8C33C}"/>
                </a:ext>
              </a:extLst>
            </xdr:cNvPr>
            <xdr:cNvGraphicFramePr/>
          </xdr:nvGraphicFramePr>
          <xdr:xfrm>
            <a:off x="0" y="0"/>
            <a:ext cx="0" cy="0"/>
          </xdr:xfrm>
          <a:graphic>
            <a:graphicData uri="http://schemas.microsoft.com/office/drawing/2010/slicer">
              <sle:slicer xmlns:sle="http://schemas.microsoft.com/office/drawing/2010/slicer" name="Vendor 5"/>
            </a:graphicData>
          </a:graphic>
        </xdr:graphicFrame>
      </mc:Choice>
      <mc:Fallback xmlns="">
        <xdr:sp macro="" textlink="">
          <xdr:nvSpPr>
            <xdr:cNvPr id="0" name=""/>
            <xdr:cNvSpPr>
              <a:spLocks noTextEdit="1"/>
            </xdr:cNvSpPr>
          </xdr:nvSpPr>
          <xdr:spPr>
            <a:xfrm>
              <a:off x="45720" y="644562"/>
              <a:ext cx="1897380" cy="11367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4244340</xdr:colOff>
      <xdr:row>9</xdr:row>
      <xdr:rowOff>167640</xdr:rowOff>
    </xdr:to>
    <mc:AlternateContent xmlns:mc="http://schemas.openxmlformats.org/markup-compatibility/2006" xmlns:sle15="http://schemas.microsoft.com/office/drawing/2012/slicer">
      <mc:Choice Requires="sle15">
        <xdr:graphicFrame macro="">
          <xdr:nvGraphicFramePr>
            <xdr:cNvPr id="8" name="Quantity 4">
              <a:extLst>
                <a:ext uri="{FF2B5EF4-FFF2-40B4-BE49-F238E27FC236}">
                  <a16:creationId xmlns:a16="http://schemas.microsoft.com/office/drawing/2014/main" id="{A3E5F054-9B26-4B7C-908D-1DD66E558B44}"/>
                </a:ext>
              </a:extLst>
            </xdr:cNvPr>
            <xdr:cNvGraphicFramePr/>
          </xdr:nvGraphicFramePr>
          <xdr:xfrm>
            <a:off x="0" y="0"/>
            <a:ext cx="0" cy="0"/>
          </xdr:xfrm>
          <a:graphic>
            <a:graphicData uri="http://schemas.microsoft.com/office/drawing/2010/slicer">
              <sle:slicer xmlns:sle="http://schemas.microsoft.com/office/drawing/2010/slicer" name="Quantity 4"/>
            </a:graphicData>
          </a:graphic>
        </xdr:graphicFrame>
      </mc:Choice>
      <mc:Fallback xmlns="">
        <xdr:sp macro="" textlink="">
          <xdr:nvSpPr>
            <xdr:cNvPr id="0" name=""/>
            <xdr:cNvSpPr>
              <a:spLocks noTextEdit="1"/>
            </xdr:cNvSpPr>
          </xdr:nvSpPr>
          <xdr:spPr>
            <a:xfrm>
              <a:off x="1950720" y="644562"/>
              <a:ext cx="11303149" cy="1136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4244340</xdr:colOff>
      <xdr:row>0</xdr:row>
      <xdr:rowOff>0</xdr:rowOff>
    </xdr:from>
    <xdr:to>
      <xdr:col>11</xdr:col>
      <xdr:colOff>174363</xdr:colOff>
      <xdr:row>10</xdr:row>
      <xdr:rowOff>403860</xdr:rowOff>
    </xdr:to>
    <mc:AlternateContent xmlns:mc="http://schemas.openxmlformats.org/markup-compatibility/2006" xmlns:sle15="http://schemas.microsoft.com/office/drawing/2012/slicer">
      <mc:Choice Requires="sle15">
        <xdr:graphicFrame macro="">
          <xdr:nvGraphicFramePr>
            <xdr:cNvPr id="9" name="Tag 4">
              <a:extLst>
                <a:ext uri="{FF2B5EF4-FFF2-40B4-BE49-F238E27FC236}">
                  <a16:creationId xmlns:a16="http://schemas.microsoft.com/office/drawing/2014/main" id="{16AEC08B-5469-4A10-993C-47CB87F5313F}"/>
                </a:ext>
              </a:extLst>
            </xdr:cNvPr>
            <xdr:cNvGraphicFramePr/>
          </xdr:nvGraphicFramePr>
          <xdr:xfrm>
            <a:off x="0" y="0"/>
            <a:ext cx="0" cy="0"/>
          </xdr:xfrm>
          <a:graphic>
            <a:graphicData uri="http://schemas.microsoft.com/office/drawing/2010/slicer">
              <sle:slicer xmlns:sle="http://schemas.microsoft.com/office/drawing/2010/slicer" name="Tag 4"/>
            </a:graphicData>
          </a:graphic>
        </xdr:graphicFrame>
      </mc:Choice>
      <mc:Fallback xmlns="">
        <xdr:sp macro="" textlink="">
          <xdr:nvSpPr>
            <xdr:cNvPr id="0" name=""/>
            <xdr:cNvSpPr>
              <a:spLocks noTextEdit="1"/>
            </xdr:cNvSpPr>
          </xdr:nvSpPr>
          <xdr:spPr>
            <a:xfrm>
              <a:off x="13253869" y="0"/>
              <a:ext cx="914400" cy="21968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xmlns:sle15="http://schemas.microsoft.com/office/drawing/2012/slicer">
      <mc:Choice Requires="sle15">
        <xdr:graphicFrame macro="">
          <xdr:nvGraphicFramePr>
            <xdr:cNvPr id="10" name="Initial 3">
              <a:extLst>
                <a:ext uri="{FF2B5EF4-FFF2-40B4-BE49-F238E27FC236}">
                  <a16:creationId xmlns:a16="http://schemas.microsoft.com/office/drawing/2014/main" id="{301F8DF5-B1BF-4D16-BA54-30E361FD8393}"/>
                </a:ext>
              </a:extLst>
            </xdr:cNvPr>
            <xdr:cNvGraphicFramePr/>
          </xdr:nvGraphicFramePr>
          <xdr:xfrm>
            <a:off x="0" y="0"/>
            <a:ext cx="0" cy="0"/>
          </xdr:xfrm>
          <a:graphic>
            <a:graphicData uri="http://schemas.microsoft.com/office/drawing/2010/slicer">
              <sle:slicer xmlns:sle="http://schemas.microsoft.com/office/drawing/2010/slicer" name="Initial 3"/>
            </a:graphicData>
          </a:graphic>
        </xdr:graphicFrame>
      </mc:Choice>
      <mc:Fallback xmlns="">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8.xml><?xml version="1.0" encoding="utf-8"?>
<xdr:wsDr xmlns:xdr="http://schemas.openxmlformats.org/drawingml/2006/spreadsheetDrawing" xmlns:a="http://schemas.openxmlformats.org/drawingml/2006/main">
  <xdr:twoCellAnchor editAs="oneCell">
    <xdr:from>
      <xdr:col>11</xdr:col>
      <xdr:colOff>450198</xdr:colOff>
      <xdr:row>0</xdr:row>
      <xdr:rowOff>253818</xdr:rowOff>
    </xdr:from>
    <xdr:to>
      <xdr:col>11</xdr:col>
      <xdr:colOff>833958</xdr:colOff>
      <xdr:row>0</xdr:row>
      <xdr:rowOff>599957</xdr:rowOff>
    </xdr:to>
    <xdr:sp macro="" textlink="">
      <xdr:nvSpPr>
        <xdr:cNvPr id="29" name="House icon" descr="House">
          <a:extLst>
            <a:ext uri="{FF2B5EF4-FFF2-40B4-BE49-F238E27FC236}">
              <a16:creationId xmlns:a16="http://schemas.microsoft.com/office/drawing/2014/main" id="{00000000-0008-0000-0000-00001D000000}"/>
            </a:ext>
          </a:extLst>
        </xdr:cNvPr>
        <xdr:cNvSpPr>
          <a:spLocks noChangeAspect="1" noEditPoints="1"/>
        </xdr:cNvSpPr>
      </xdr:nvSpPr>
      <xdr:spPr bwMode="auto">
        <a:xfrm>
          <a:off x="11754692" y="253818"/>
          <a:ext cx="383760" cy="346139"/>
        </a:xfrm>
        <a:custGeom>
          <a:avLst/>
          <a:gdLst>
            <a:gd name="T0" fmla="*/ 149 w 565"/>
            <a:gd name="T1" fmla="*/ 257 h 516"/>
            <a:gd name="T2" fmla="*/ 146 w 565"/>
            <a:gd name="T3" fmla="*/ 261 h 516"/>
            <a:gd name="T4" fmla="*/ 145 w 565"/>
            <a:gd name="T5" fmla="*/ 481 h 516"/>
            <a:gd name="T6" fmla="*/ 147 w 565"/>
            <a:gd name="T7" fmla="*/ 486 h 516"/>
            <a:gd name="T8" fmla="*/ 152 w 565"/>
            <a:gd name="T9" fmla="*/ 488 h 516"/>
            <a:gd name="T10" fmla="*/ 264 w 565"/>
            <a:gd name="T11" fmla="*/ 487 h 516"/>
            <a:gd name="T12" fmla="*/ 268 w 565"/>
            <a:gd name="T13" fmla="*/ 484 h 516"/>
            <a:gd name="T14" fmla="*/ 269 w 565"/>
            <a:gd name="T15" fmla="*/ 264 h 516"/>
            <a:gd name="T16" fmla="*/ 267 w 565"/>
            <a:gd name="T17" fmla="*/ 259 h 516"/>
            <a:gd name="T18" fmla="*/ 262 w 565"/>
            <a:gd name="T19" fmla="*/ 257 h 516"/>
            <a:gd name="T20" fmla="*/ 332 w 565"/>
            <a:gd name="T21" fmla="*/ 254 h 516"/>
            <a:gd name="T22" fmla="*/ 327 w 565"/>
            <a:gd name="T23" fmla="*/ 256 h 516"/>
            <a:gd name="T24" fmla="*/ 325 w 565"/>
            <a:gd name="T25" fmla="*/ 261 h 516"/>
            <a:gd name="T26" fmla="*/ 326 w 565"/>
            <a:gd name="T27" fmla="*/ 364 h 516"/>
            <a:gd name="T28" fmla="*/ 330 w 565"/>
            <a:gd name="T29" fmla="*/ 368 h 516"/>
            <a:gd name="T30" fmla="*/ 417 w 565"/>
            <a:gd name="T31" fmla="*/ 368 h 516"/>
            <a:gd name="T32" fmla="*/ 422 w 565"/>
            <a:gd name="T33" fmla="*/ 366 h 516"/>
            <a:gd name="T34" fmla="*/ 424 w 565"/>
            <a:gd name="T35" fmla="*/ 361 h 516"/>
            <a:gd name="T36" fmla="*/ 423 w 565"/>
            <a:gd name="T37" fmla="*/ 258 h 516"/>
            <a:gd name="T38" fmla="*/ 420 w 565"/>
            <a:gd name="T39" fmla="*/ 254 h 516"/>
            <a:gd name="T40" fmla="*/ 332 w 565"/>
            <a:gd name="T41" fmla="*/ 254 h 516"/>
            <a:gd name="T42" fmla="*/ 295 w 565"/>
            <a:gd name="T43" fmla="*/ 4 h 516"/>
            <a:gd name="T44" fmla="*/ 401 w 565"/>
            <a:gd name="T45" fmla="*/ 58 h 516"/>
            <a:gd name="T46" fmla="*/ 403 w 565"/>
            <a:gd name="T47" fmla="*/ 51 h 516"/>
            <a:gd name="T48" fmla="*/ 408 w 565"/>
            <a:gd name="T49" fmla="*/ 47 h 516"/>
            <a:gd name="T50" fmla="*/ 468 w 565"/>
            <a:gd name="T51" fmla="*/ 47 h 516"/>
            <a:gd name="T52" fmla="*/ 474 w 565"/>
            <a:gd name="T53" fmla="*/ 49 h 516"/>
            <a:gd name="T54" fmla="*/ 478 w 565"/>
            <a:gd name="T55" fmla="*/ 54 h 516"/>
            <a:gd name="T56" fmla="*/ 479 w 565"/>
            <a:gd name="T57" fmla="*/ 170 h 516"/>
            <a:gd name="T58" fmla="*/ 565 w 565"/>
            <a:gd name="T59" fmla="*/ 247 h 516"/>
            <a:gd name="T60" fmla="*/ 565 w 565"/>
            <a:gd name="T61" fmla="*/ 249 h 516"/>
            <a:gd name="T62" fmla="*/ 563 w 565"/>
            <a:gd name="T63" fmla="*/ 254 h 516"/>
            <a:gd name="T64" fmla="*/ 537 w 565"/>
            <a:gd name="T65" fmla="*/ 278 h 516"/>
            <a:gd name="T66" fmla="*/ 531 w 565"/>
            <a:gd name="T67" fmla="*/ 278 h 516"/>
            <a:gd name="T68" fmla="*/ 518 w 565"/>
            <a:gd name="T69" fmla="*/ 267 h 516"/>
            <a:gd name="T70" fmla="*/ 515 w 565"/>
            <a:gd name="T71" fmla="*/ 265 h 516"/>
            <a:gd name="T72" fmla="*/ 513 w 565"/>
            <a:gd name="T73" fmla="*/ 269 h 516"/>
            <a:gd name="T74" fmla="*/ 512 w 565"/>
            <a:gd name="T75" fmla="*/ 512 h 516"/>
            <a:gd name="T76" fmla="*/ 508 w 565"/>
            <a:gd name="T77" fmla="*/ 516 h 516"/>
            <a:gd name="T78" fmla="*/ 63 w 565"/>
            <a:gd name="T79" fmla="*/ 516 h 516"/>
            <a:gd name="T80" fmla="*/ 58 w 565"/>
            <a:gd name="T81" fmla="*/ 514 h 516"/>
            <a:gd name="T82" fmla="*/ 56 w 565"/>
            <a:gd name="T83" fmla="*/ 509 h 516"/>
            <a:gd name="T84" fmla="*/ 56 w 565"/>
            <a:gd name="T85" fmla="*/ 264 h 516"/>
            <a:gd name="T86" fmla="*/ 53 w 565"/>
            <a:gd name="T87" fmla="*/ 262 h 516"/>
            <a:gd name="T88" fmla="*/ 37 w 565"/>
            <a:gd name="T89" fmla="*/ 277 h 516"/>
            <a:gd name="T90" fmla="*/ 32 w 565"/>
            <a:gd name="T91" fmla="*/ 278 h 516"/>
            <a:gd name="T92" fmla="*/ 25 w 565"/>
            <a:gd name="T93" fmla="*/ 276 h 516"/>
            <a:gd name="T94" fmla="*/ 1 w 565"/>
            <a:gd name="T95" fmla="*/ 252 h 516"/>
            <a:gd name="T96" fmla="*/ 1 w 565"/>
            <a:gd name="T97" fmla="*/ 247 h 516"/>
            <a:gd name="T98" fmla="*/ 271 w 565"/>
            <a:gd name="T99" fmla="*/ 4 h 516"/>
            <a:gd name="T100" fmla="*/ 287 w 565"/>
            <a:gd name="T101" fmla="*/ 0 h 5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565" h="516">
              <a:moveTo>
                <a:pt x="152" y="257"/>
              </a:moveTo>
              <a:lnTo>
                <a:pt x="149" y="257"/>
              </a:lnTo>
              <a:lnTo>
                <a:pt x="147" y="259"/>
              </a:lnTo>
              <a:lnTo>
                <a:pt x="146" y="261"/>
              </a:lnTo>
              <a:lnTo>
                <a:pt x="145" y="264"/>
              </a:lnTo>
              <a:lnTo>
                <a:pt x="145" y="481"/>
              </a:lnTo>
              <a:lnTo>
                <a:pt x="146" y="484"/>
              </a:lnTo>
              <a:lnTo>
                <a:pt x="147" y="486"/>
              </a:lnTo>
              <a:lnTo>
                <a:pt x="149" y="487"/>
              </a:lnTo>
              <a:lnTo>
                <a:pt x="152" y="488"/>
              </a:lnTo>
              <a:lnTo>
                <a:pt x="262" y="488"/>
              </a:lnTo>
              <a:lnTo>
                <a:pt x="264" y="487"/>
              </a:lnTo>
              <a:lnTo>
                <a:pt x="267" y="486"/>
              </a:lnTo>
              <a:lnTo>
                <a:pt x="268" y="484"/>
              </a:lnTo>
              <a:lnTo>
                <a:pt x="269" y="481"/>
              </a:lnTo>
              <a:lnTo>
                <a:pt x="269" y="264"/>
              </a:lnTo>
              <a:lnTo>
                <a:pt x="268" y="261"/>
              </a:lnTo>
              <a:lnTo>
                <a:pt x="267" y="259"/>
              </a:lnTo>
              <a:lnTo>
                <a:pt x="264" y="257"/>
              </a:lnTo>
              <a:lnTo>
                <a:pt x="262" y="257"/>
              </a:lnTo>
              <a:lnTo>
                <a:pt x="152" y="257"/>
              </a:lnTo>
              <a:close/>
              <a:moveTo>
                <a:pt x="332" y="254"/>
              </a:moveTo>
              <a:lnTo>
                <a:pt x="330" y="254"/>
              </a:lnTo>
              <a:lnTo>
                <a:pt x="327" y="256"/>
              </a:lnTo>
              <a:lnTo>
                <a:pt x="326" y="258"/>
              </a:lnTo>
              <a:lnTo>
                <a:pt x="325" y="261"/>
              </a:lnTo>
              <a:lnTo>
                <a:pt x="325" y="361"/>
              </a:lnTo>
              <a:lnTo>
                <a:pt x="326" y="364"/>
              </a:lnTo>
              <a:lnTo>
                <a:pt x="327" y="366"/>
              </a:lnTo>
              <a:lnTo>
                <a:pt x="330" y="368"/>
              </a:lnTo>
              <a:lnTo>
                <a:pt x="332" y="368"/>
              </a:lnTo>
              <a:lnTo>
                <a:pt x="417" y="368"/>
              </a:lnTo>
              <a:lnTo>
                <a:pt x="420" y="368"/>
              </a:lnTo>
              <a:lnTo>
                <a:pt x="422" y="366"/>
              </a:lnTo>
              <a:lnTo>
                <a:pt x="423" y="364"/>
              </a:lnTo>
              <a:lnTo>
                <a:pt x="424" y="361"/>
              </a:lnTo>
              <a:lnTo>
                <a:pt x="424" y="261"/>
              </a:lnTo>
              <a:lnTo>
                <a:pt x="423" y="258"/>
              </a:lnTo>
              <a:lnTo>
                <a:pt x="422" y="256"/>
              </a:lnTo>
              <a:lnTo>
                <a:pt x="420" y="254"/>
              </a:lnTo>
              <a:lnTo>
                <a:pt x="417" y="254"/>
              </a:lnTo>
              <a:lnTo>
                <a:pt x="332" y="254"/>
              </a:lnTo>
              <a:close/>
              <a:moveTo>
                <a:pt x="287" y="0"/>
              </a:moveTo>
              <a:lnTo>
                <a:pt x="295" y="4"/>
              </a:lnTo>
              <a:lnTo>
                <a:pt x="401" y="100"/>
              </a:lnTo>
              <a:lnTo>
                <a:pt x="401" y="58"/>
              </a:lnTo>
              <a:lnTo>
                <a:pt x="401" y="54"/>
              </a:lnTo>
              <a:lnTo>
                <a:pt x="403" y="51"/>
              </a:lnTo>
              <a:lnTo>
                <a:pt x="405" y="49"/>
              </a:lnTo>
              <a:lnTo>
                <a:pt x="408" y="47"/>
              </a:lnTo>
              <a:lnTo>
                <a:pt x="412" y="47"/>
              </a:lnTo>
              <a:lnTo>
                <a:pt x="468" y="47"/>
              </a:lnTo>
              <a:lnTo>
                <a:pt x="471" y="47"/>
              </a:lnTo>
              <a:lnTo>
                <a:pt x="474" y="49"/>
              </a:lnTo>
              <a:lnTo>
                <a:pt x="477" y="51"/>
              </a:lnTo>
              <a:lnTo>
                <a:pt x="478" y="54"/>
              </a:lnTo>
              <a:lnTo>
                <a:pt x="479" y="58"/>
              </a:lnTo>
              <a:lnTo>
                <a:pt x="479" y="170"/>
              </a:lnTo>
              <a:lnTo>
                <a:pt x="563" y="245"/>
              </a:lnTo>
              <a:lnTo>
                <a:pt x="565" y="247"/>
              </a:lnTo>
              <a:lnTo>
                <a:pt x="565" y="249"/>
              </a:lnTo>
              <a:lnTo>
                <a:pt x="565" y="249"/>
              </a:lnTo>
              <a:lnTo>
                <a:pt x="565" y="252"/>
              </a:lnTo>
              <a:lnTo>
                <a:pt x="563" y="254"/>
              </a:lnTo>
              <a:lnTo>
                <a:pt x="539" y="276"/>
              </a:lnTo>
              <a:lnTo>
                <a:pt x="537" y="278"/>
              </a:lnTo>
              <a:lnTo>
                <a:pt x="534" y="278"/>
              </a:lnTo>
              <a:lnTo>
                <a:pt x="531" y="278"/>
              </a:lnTo>
              <a:lnTo>
                <a:pt x="529" y="277"/>
              </a:lnTo>
              <a:lnTo>
                <a:pt x="518" y="267"/>
              </a:lnTo>
              <a:lnTo>
                <a:pt x="516" y="265"/>
              </a:lnTo>
              <a:lnTo>
                <a:pt x="515" y="265"/>
              </a:lnTo>
              <a:lnTo>
                <a:pt x="513" y="267"/>
              </a:lnTo>
              <a:lnTo>
                <a:pt x="513" y="269"/>
              </a:lnTo>
              <a:lnTo>
                <a:pt x="513" y="509"/>
              </a:lnTo>
              <a:lnTo>
                <a:pt x="512" y="512"/>
              </a:lnTo>
              <a:lnTo>
                <a:pt x="511" y="514"/>
              </a:lnTo>
              <a:lnTo>
                <a:pt x="508" y="516"/>
              </a:lnTo>
              <a:lnTo>
                <a:pt x="506" y="516"/>
              </a:lnTo>
              <a:lnTo>
                <a:pt x="63" y="516"/>
              </a:lnTo>
              <a:lnTo>
                <a:pt x="60" y="516"/>
              </a:lnTo>
              <a:lnTo>
                <a:pt x="58" y="514"/>
              </a:lnTo>
              <a:lnTo>
                <a:pt x="56" y="512"/>
              </a:lnTo>
              <a:lnTo>
                <a:pt x="56" y="509"/>
              </a:lnTo>
              <a:lnTo>
                <a:pt x="56" y="266"/>
              </a:lnTo>
              <a:lnTo>
                <a:pt x="56" y="264"/>
              </a:lnTo>
              <a:lnTo>
                <a:pt x="54" y="262"/>
              </a:lnTo>
              <a:lnTo>
                <a:pt x="53" y="262"/>
              </a:lnTo>
              <a:lnTo>
                <a:pt x="51" y="264"/>
              </a:lnTo>
              <a:lnTo>
                <a:pt x="37" y="277"/>
              </a:lnTo>
              <a:lnTo>
                <a:pt x="34" y="278"/>
              </a:lnTo>
              <a:lnTo>
                <a:pt x="32" y="278"/>
              </a:lnTo>
              <a:lnTo>
                <a:pt x="28" y="278"/>
              </a:lnTo>
              <a:lnTo>
                <a:pt x="25" y="276"/>
              </a:lnTo>
              <a:lnTo>
                <a:pt x="2" y="254"/>
              </a:lnTo>
              <a:lnTo>
                <a:pt x="1" y="252"/>
              </a:lnTo>
              <a:lnTo>
                <a:pt x="0" y="249"/>
              </a:lnTo>
              <a:lnTo>
                <a:pt x="1" y="247"/>
              </a:lnTo>
              <a:lnTo>
                <a:pt x="2" y="245"/>
              </a:lnTo>
              <a:lnTo>
                <a:pt x="271" y="4"/>
              </a:lnTo>
              <a:lnTo>
                <a:pt x="278" y="0"/>
              </a:lnTo>
              <a:lnTo>
                <a:pt x="287" y="0"/>
              </a:lnTo>
              <a:close/>
            </a:path>
          </a:pathLst>
        </a:custGeom>
        <a:solidFill>
          <a:schemeClr val="bg2">
            <a:lumMod val="50000"/>
          </a:schemeClr>
        </a:solidFill>
        <a:ln w="0">
          <a:noFill/>
          <a:prstDash val="solid"/>
          <a:round/>
          <a:headEnd/>
          <a:tailEnd/>
        </a:ln>
      </xdr:spPr>
    </xdr:sp>
    <xdr:clientData/>
  </xdr:twoCellAnchor>
  <xdr:twoCellAnchor editAs="oneCell">
    <xdr:from>
      <xdr:col>1</xdr:col>
      <xdr:colOff>17927</xdr:colOff>
      <xdr:row>3</xdr:row>
      <xdr:rowOff>12327</xdr:rowOff>
    </xdr:from>
    <xdr:to>
      <xdr:col>13</xdr:col>
      <xdr:colOff>188258</xdr:colOff>
      <xdr:row>3</xdr:row>
      <xdr:rowOff>802902</xdr:rowOff>
    </xdr:to>
    <mc:AlternateContent xmlns:mc="http://schemas.openxmlformats.org/markup-compatibility/2006" xmlns:sle15="http://schemas.microsoft.com/office/drawing/2012/slicer">
      <mc:Choice Requires="sle15">
        <xdr:graphicFrame macro="">
          <xdr:nvGraphicFramePr>
            <xdr:cNvPr id="3" name="Room/&#10;area" descr="Equipment Category slicer to filter items by Equipment 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Room/&#10;area"/>
            </a:graphicData>
          </a:graphic>
        </xdr:graphicFrame>
      </mc:Choice>
      <mc:Fallback xmlns="">
        <xdr:sp macro="" textlink="">
          <xdr:nvSpPr>
            <xdr:cNvPr id="0" name=""/>
            <xdr:cNvSpPr>
              <a:spLocks noTextEdit="1"/>
            </xdr:cNvSpPr>
          </xdr:nvSpPr>
          <xdr:spPr>
            <a:xfrm>
              <a:off x="573739" y="2253503"/>
              <a:ext cx="15670307" cy="7905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fPrintsWithSheet="0"/>
  </xdr:twoCellAnchor>
  <xdr:twoCellAnchor editAs="absolute">
    <xdr:from>
      <xdr:col>1</xdr:col>
      <xdr:colOff>8963</xdr:colOff>
      <xdr:row>2</xdr:row>
      <xdr:rowOff>86510</xdr:rowOff>
    </xdr:from>
    <xdr:to>
      <xdr:col>13</xdr:col>
      <xdr:colOff>188258</xdr:colOff>
      <xdr:row>2</xdr:row>
      <xdr:rowOff>959224</xdr:rowOff>
    </xdr:to>
    <mc:AlternateContent xmlns:mc="http://schemas.openxmlformats.org/markup-compatibility/2006" xmlns:sle15="http://schemas.microsoft.com/office/drawing/2012/slicer">
      <mc:Choice Requires="sle15">
        <xdr:graphicFrame macro="">
          <xdr:nvGraphicFramePr>
            <xdr:cNvPr id="4" name="Type">
              <a:extLst>
                <a:ext uri="{FF2B5EF4-FFF2-40B4-BE49-F238E27FC236}">
                  <a16:creationId xmlns:a16="http://schemas.microsoft.com/office/drawing/2014/main" id="{0D794F71-D072-450B-B438-E56727F8DFF8}"/>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564775" y="1296745"/>
              <a:ext cx="15679271" cy="87271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lake\AppData\Roaming\Microsoft\AddIns\CustomTool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ustomTools"/>
    </sheetNames>
    <definedNames>
      <definedName name="CSVitems"/>
      <definedName name="GetSelectedSlicerItems"/>
      <definedName name="TextFormula"/>
    </definedNames>
    <sheetDataSet>
      <sheetData sheetId="0"/>
      <sheetData sheetId="1"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_area" xr10:uid="{00000000-0013-0000-FFFF-FFFF01000000}" sourceName="Equipment Category">
  <extLst>
    <x:ext xmlns:x15="http://schemas.microsoft.com/office/spreadsheetml/2010/11/main" uri="{2F2917AC-EB37-4324-AD4E-5DD8C200BD13}">
      <x15:tableSlicerCache tableId="1"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6059C101-D843-4582-930F-7F4A229DD5F6}" sourceName="Type">
  <extLst>
    <x:ext xmlns:x15="http://schemas.microsoft.com/office/spreadsheetml/2010/11/main" uri="{2F2917AC-EB37-4324-AD4E-5DD8C200BD13}">
      <x15:tableSlicerCache tableId="1" column="1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Category" xr10:uid="{DB0860DA-3634-44D0-A696-62A7AE4CEAF2}" sourceName="Equipment Category">
  <extLst>
    <x:ext xmlns:x15="http://schemas.microsoft.com/office/spreadsheetml/2010/11/main" uri="{2F2917AC-EB37-4324-AD4E-5DD8C200BD13}">
      <x15:tableSlicerCache tableId="8" column="2" crossFilter="show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___0_?_T_F" xr10:uid="{0AF9388F-9828-49C5-A2DD-B2A96DB5E5B9}" sourceName="# &gt; 0 ? T/F">
  <extLst>
    <x:ext xmlns:x15="http://schemas.microsoft.com/office/spreadsheetml/2010/11/main" uri="{2F2917AC-EB37-4324-AD4E-5DD8C200BD13}">
      <x15:tableSlicerCache tableId="8"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Type" xr10:uid="{0EDBC8CF-C8CB-4818-B61E-C1FA6D4C7508}" sourceName="Equipment Type">
  <extLst>
    <x:ext xmlns:x15="http://schemas.microsoft.com/office/spreadsheetml/2010/11/main" uri="{2F2917AC-EB37-4324-AD4E-5DD8C200BD13}">
      <x15:tableSlicerCache tableId="8"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675FB6A3-8312-4476-A1D4-99ADC24DE8E2}" sourceName="Vendor">
  <extLst>
    <x:ext xmlns:x15="http://schemas.microsoft.com/office/spreadsheetml/2010/11/main" uri="{2F2917AC-EB37-4324-AD4E-5DD8C200BD13}">
      <x15:tableSlicerCache tableId="8" column="1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2" xr10:uid="{520A1FFE-6CF4-4A65-86A3-BD8295A29B47}" sourceName="Type">
  <extLst>
    <x:ext xmlns:x15="http://schemas.microsoft.com/office/spreadsheetml/2010/11/main" uri="{2F2917AC-EB37-4324-AD4E-5DD8C200BD13}">
      <x15:tableSlicerCache tableId="7" column="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E19B40D5-3D2A-4B9A-B979-4B539998EA44}" sourceName="Category">
  <extLst>
    <x:ext xmlns:x15="http://schemas.microsoft.com/office/spreadsheetml/2010/11/main" uri="{2F2917AC-EB37-4324-AD4E-5DD8C200BD13}">
      <x15:tableSlicerCache tableId="7" column="2"/>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2" xr10:uid="{47885F50-E3A7-4397-909B-A6C239FE175D}" sourceName="Vendor">
  <extLst>
    <x:ext xmlns:x15="http://schemas.microsoft.com/office/spreadsheetml/2010/11/main" uri="{2F2917AC-EB37-4324-AD4E-5DD8C200BD13}">
      <x15:tableSlicerCache tableId="7" column="1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1" xr10:uid="{091DB74B-5CB7-4130-8A1D-18B95C1B7BE5}" sourceName="Qty.">
  <extLst>
    <x:ext xmlns:x15="http://schemas.microsoft.com/office/spreadsheetml/2010/11/main" uri="{2F2917AC-EB37-4324-AD4E-5DD8C200BD13}">
      <x15:tableSlicerCache tableId="7" column="4"/>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1" xr10:uid="{F59F1D60-32B6-4BE1-818F-3C675A268B84}" sourceName="Tag">
  <extLst>
    <x:ext xmlns:x15="http://schemas.microsoft.com/office/spreadsheetml/2010/11/main" uri="{2F2917AC-EB37-4324-AD4E-5DD8C200BD13}">
      <x15:tableSlicerCache tableId="7" column="13"/>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 xr10:uid="{4BA117DA-7F23-446A-987B-1DFC68CB847B}" sourceName="Type">
  <extLst>
    <x:ext xmlns:x15="http://schemas.microsoft.com/office/spreadsheetml/2010/11/main" uri="{2F2917AC-EB37-4324-AD4E-5DD8C200BD13}">
      <x15:tableSlicerCache tableId="11" column="1"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48D9CF97-C612-4F7D-9491-222CA414BD7B}" sourceName="Category">
  <extLst>
    <x:ext xmlns:x15="http://schemas.microsoft.com/office/spreadsheetml/2010/11/main" uri="{2F2917AC-EB37-4324-AD4E-5DD8C200BD13}">
      <x15:tableSlicerCache tableId="11" column="2" crossFilter="show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 xr10:uid="{C573BC22-F1D2-47D0-A19A-A06E47A3F219}" sourceName="Vendor">
  <extLst>
    <x:ext xmlns:x15="http://schemas.microsoft.com/office/spreadsheetml/2010/11/main" uri="{2F2917AC-EB37-4324-AD4E-5DD8C200BD13}">
      <x15:tableSlicerCache tableId="11" column="12" crossFilter="show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 xr10:uid="{E93CD1D3-7FEE-41A9-BC99-1CA6E57F2CE4}" sourceName="# Left">
  <extLst>
    <x:ext xmlns:x15="http://schemas.microsoft.com/office/spreadsheetml/2010/11/main" uri="{2F2917AC-EB37-4324-AD4E-5DD8C200BD13}">
      <x15:tableSlicerCache tableId="11" column="4" crossFilter="show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 xr10:uid="{E80FE09C-40BC-4611-995E-650AA1C51BC1}" sourceName="Tag">
  <extLst>
    <x:ext xmlns:x15="http://schemas.microsoft.com/office/spreadsheetml/2010/11/main" uri="{2F2917AC-EB37-4324-AD4E-5DD8C200BD13}">
      <x15:tableSlicerCache tableId="11" column="13" crossFilter="show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 xr10:uid="{1B7975BA-BCE7-4F6B-9CB0-8A0B7EB74BAB}" sourceName="# Initial">
  <extLst>
    <x:ext xmlns:x15="http://schemas.microsoft.com/office/spreadsheetml/2010/11/main" uri="{2F2917AC-EB37-4324-AD4E-5DD8C200BD13}">
      <x15:tableSlicerCache tableId="11" column="19" crossFilter="show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1" xr10:uid="{73B0BC6F-00B5-429E-9129-9536C1FBE331}" sourceName="Qty.">
  <extLst>
    <x:ext xmlns:x15="http://schemas.microsoft.com/office/spreadsheetml/2010/11/main" uri="{2F2917AC-EB37-4324-AD4E-5DD8C200BD13}">
      <x15:tableSlicerCache tableId="14" column="19" crossFilter="show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2" xr10:uid="{A19AB6A6-B029-4E9C-8251-BE2B8984A197}" sourceName="Type">
  <extLst>
    <x:ext xmlns:x15="http://schemas.microsoft.com/office/spreadsheetml/2010/11/main" uri="{2F2917AC-EB37-4324-AD4E-5DD8C200BD13}">
      <x15:tableSlicerCache tableId="17" column="1"/>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2" xr10:uid="{4DC33D53-67F5-4362-93A9-025300DE5295}" sourceName="Category">
  <extLst>
    <x:ext xmlns:x15="http://schemas.microsoft.com/office/spreadsheetml/2010/11/main" uri="{2F2917AC-EB37-4324-AD4E-5DD8C200BD13}">
      <x15:tableSlicerCache tableId="17" column="2"/>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2" xr10:uid="{1BB6A18A-4E76-4BD7-931C-FABC2D091A32}" sourceName="Vendor">
  <extLst>
    <x:ext xmlns:x15="http://schemas.microsoft.com/office/spreadsheetml/2010/11/main" uri="{2F2917AC-EB37-4324-AD4E-5DD8C200BD13}">
      <x15:tableSlicerCache tableId="17" column="12"/>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2" xr10:uid="{0B5CCF1A-6498-445E-9959-D1A66AD747D4}" sourceName="# Left">
  <extLst>
    <x:ext xmlns:x15="http://schemas.microsoft.com/office/spreadsheetml/2010/11/main" uri="{2F2917AC-EB37-4324-AD4E-5DD8C200BD13}">
      <x15:tableSlicerCache tableId="17" column="4"/>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2" xr10:uid="{0DA619F4-0FDD-47A2-8ECC-4B95124EDEFE}" sourceName="Tag">
  <extLst>
    <x:ext xmlns:x15="http://schemas.microsoft.com/office/spreadsheetml/2010/11/main" uri="{2F2917AC-EB37-4324-AD4E-5DD8C200BD13}">
      <x15:tableSlicerCache tableId="17" column="13" crossFilter="show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2" xr10:uid="{24A7D544-A0F3-4D2F-BA7F-DD4AD8F6A2B2}" sourceName="# Initial">
  <extLst>
    <x:ext xmlns:x15="http://schemas.microsoft.com/office/spreadsheetml/2010/11/main" uri="{2F2917AC-EB37-4324-AD4E-5DD8C200BD13}">
      <x15:tableSlicerCache tableId="17"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quipment Category" xr10:uid="{0BBC634B-3A21-46CA-910B-EF4EC7E09136}" cache="Slicer_Equipment_Category" caption="Select equipment Category(s) to display (Hold Ctrl to select multiple equipment categpries)" columnCount="6" rowHeight="234950"/>
  <slicer name="# &gt; 0 ? T/F" xr10:uid="{BFDA3DEC-0419-4830-A02D-08B5AA57E408}" cache="Slicer_____0_?_T_F" caption="Choose if items with # Units = 0 currently planned to be purchased are listed or not (for review/consideration purposes, does not affect total cost value)" columnCount="2" style="Slicer Style 1" rowHeight="234950"/>
  <slicer name="Equipment Type" xr10:uid="{69ED80EE-1D8A-4992-9734-DF0949B2761C}" cache="Slicer_Equipment_Type" caption="Equipment Type" columnCount="4" style="SlicerStyleLight5 2" rowHeight="234950"/>
  <slicer name="Vendor" xr10:uid="{DF7539DE-AF36-4484-8C21-CBB5FAC90B5E}" cache="Slicer_Vendor" caption="Vendor"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2" xr10:uid="{87798CAE-BB75-47B9-8957-A93AA239DB06}" cache="Slicer_Type2" caption="Type" startItem="7" rowHeight="234950"/>
  <slicer name="Category 1" xr10:uid="{5F81EC29-1E03-4623-B515-A765C630828F}" cache="Slicer_Category1" caption="Category" columnCount="4" rowHeight="234950"/>
  <slicer name="Vendor 2" xr10:uid="{2EA99156-EBDC-42CE-9B59-F1EFD711C87C}" cache="Slicer_Vendor2" caption="Vendor" rowHeight="234950"/>
  <slicer name="Quantity 1" xr10:uid="{059991C7-BEC5-4C99-AA90-574C04B300A8}" cache="Slicer_Quantity1" caption="Qty." columnCount="5" rowHeight="234950"/>
  <slicer name="Tag 1" xr10:uid="{D2ABEC25-3A7E-40C8-8C05-D846E19A794B}" cache="Slicer_Tag1" caption="Tag"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04C5DDFD-EE45-42AD-B78F-2F4923C81BD4}" cache="Slicer_Type11" caption="Type" rowHeight="234950"/>
  <slicer name="Category 2" xr10:uid="{4B4F1D81-808B-481A-8BBA-D7BE9B5A1798}" cache="Slicer_Category2" caption="Category" columnCount="4" rowHeight="234950"/>
  <slicer name="Vendor 3" xr10:uid="{83430B7B-C095-4D49-9338-079CDB91C2C4}" cache="Slicer_Vendor11" caption="Vendor" rowHeight="234950"/>
  <slicer name="Quantity 2" xr10:uid="{2AB1D93E-09D7-45E5-A968-623BE2C485F6}" cache="Slicer_Quantity2" caption="# Left" columnCount="5" rowHeight="234950"/>
  <slicer name="Tag 2" xr10:uid="{DFECDDCD-95D1-4E68-8223-DCD4DC5D2134}" cache="Slicer_Tag2" caption="Tag" rowHeight="234950"/>
  <slicer name="Initial 1" xr10:uid="{FB1A49E1-2746-4E58-A773-F2B2FD9CF708}" cache="Slicer_Initial1" caption="# Initial"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tial 2" xr10:uid="{81E78DF7-0679-4ED6-8865-4E4CA8C4D9D9}" cache="Slicer_Initial11" caption="Qty."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5" xr10:uid="{88568750-CB5B-408E-8F50-84547BFAECE6}" cache="Slicer_Type112" caption="Type" rowHeight="234950"/>
  <slicer name="Category 4" xr10:uid="{77E4B6B8-27CF-4C69-8DF9-5D0B32A2489C}" cache="Slicer_Category22" caption="Category" columnCount="4" rowHeight="234950"/>
  <slicer name="Vendor 5" xr10:uid="{F1EC841E-9707-48E9-8629-493A21F8A9BE}" cache="Slicer_Vendor112" caption="Vendor" rowHeight="234950"/>
  <slicer name="Quantity 4" xr10:uid="{8048B7A8-C82C-4146-B10E-64458E7C8E17}" cache="Slicer_Quantity22" caption="# Left" columnCount="5" rowHeight="234950"/>
  <slicer name="Tag 4" xr10:uid="{7DC410F5-725D-4FB7-843E-06057755DA6A}" cache="Slicer_Tag22" caption="Tag" rowHeight="234950"/>
  <slicer name="Initial 3" xr10:uid="{E1531FA5-0F24-4DC1-9089-A74066BE313D}" cache="Slicer_Initial12" caption="# Initial"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om/_x000a_area" xr10:uid="{00000000-0014-0000-FFFF-FFFF01000000}" cache="Slicer_Room__area" caption="Select an Equipment Category below to display these items. Hold Ctrl to select multiple equipment categories." columnCount="5" rowHeight="193675"/>
  <slicer name="Type" xr10:uid="{04D9EAD2-68FA-4A6B-8F7F-55F5C4A46776}" cache="Slicer_Type" caption="Select an Equipment Type below to display only equipment of this type.  Hold Ctrl to select multiple equipment types." style="SlicerStyleLigh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F9A74BE-AB7F-41C8-A71E-47D8A56DFEFE}" name="EquipmentTable" displayName="EquipmentTable" ref="B39:M623" totalsRowCount="1" headerRowDxfId="592" dataDxfId="591">
  <autoFilter ref="B39:M622" xr:uid="{F634B163-8D95-437B-B2BD-05D41BBB9DC7}">
    <filterColumn colId="0">
      <filters>
        <filter val="Hardware Component"/>
        <filter val="Low-Level Electronics"/>
        <filter val="Primary Component"/>
        <filter val="Secondary Component"/>
        <filter val="Tools"/>
      </filters>
    </filterColumn>
    <filterColumn colId="1">
      <filters>
        <filter val="BeagleBone Black Iot/Base Station"/>
        <filter val="Bluetooth"/>
        <filter val="Breadboard/Protoboard"/>
        <filter val="Buttons/Switches/Knobs"/>
        <filter val="Connectors, IDC"/>
        <filter val="Connectors, JST"/>
        <filter val="Connectors, Polarized (Molex)"/>
        <filter val="Connectors, Ribbon Crimp"/>
        <filter val="Connectors, Spring/Screw Terminals"/>
        <filter val="Connectors, USB"/>
        <filter val="Connectors/Sockets/Terminals, Other"/>
        <filter val="Data &amp; Signal Logging/Monitoring"/>
        <filter val="DIP/TO-#/SMD Components"/>
        <filter val="Enclosures/Mounts"/>
        <filter val="Energy Harvesting"/>
        <filter val="Flip-Pins"/>
        <filter val="GPS Logging/Fencing"/>
        <filter val="GSM/Cellular Communication"/>
        <filter val="Hand Tools"/>
        <filter val="Hardware Components/Accessories"/>
        <filter val="Headers, Female"/>
        <filter val="Headers, Male"/>
        <filter val="Headers, Stackable"/>
        <filter val="Heat Insulation/Dissipation"/>
        <filter val="High-Precision Compass"/>
        <filter val="Intel Edison Iot/Base Station"/>
        <filter val="Interface/Level/Logic Conversion"/>
        <filter val="Jumper Wires, DIY"/>
        <filter val="Jumper Wires, JST-PH"/>
        <filter val="Jumper Wires, Mixed"/>
        <filter val="Jumper Wires, Molex"/>
        <filter val="Jumper Wires, PTH"/>
        <filter val="LED Indicators/Lighting"/>
        <filter val="Lidar"/>
        <filter val="Linux + Arduino Home Base Station"/>
        <filter val="mBed Platform Base Station"/>
        <filter val="MCU/Development Board"/>
        <filter val="MicroView Watch/Relay"/>
        <filter val="Movement/IMU"/>
        <filter val="Onion Omega2+ + Arduino Base Station"/>
        <filter val="Onion Omega2+ Handheld"/>
        <filter val="Passive Components"/>
        <filter val="PCB/Breadboard Work Tools"/>
        <filter val="Phone/Computer App Companion"/>
        <filter val="Plastics Fabrication"/>
        <filter val="Plugs/Jacks/Adapters, Audio"/>
        <filter val="Power Supply, Barrel Jack Cables/Adapters"/>
        <filter val="Power Supply, Barrel Jack Wall Wart"/>
        <filter val="Power Supply, Breadboard"/>
        <filter val="Power Supply, Control/Switch"/>
        <filter val="Power Supply, DIY Cables"/>
        <filter val="Power Supply, LiPO Battery Supply/Management"/>
        <filter val="Power Supply, USB + Barrel Jack"/>
        <filter val="Power Supply, USB Cables"/>
        <filter val="Power Supply, USB Wall Wart"/>
        <filter val="Proximity/Distance"/>
        <filter val="Realtek Ameba Handheld"/>
        <filter val="Ribbon/IDC Cables"/>
        <filter val="Rotary Potentiometers/Encoders/Switches"/>
        <filter val="Signal Multiplexing/Conditioning"/>
        <filter val="Solid/Stranded Hookup Wire"/>
        <filter val="Standoffs/Screws"/>
        <filter val="Storage/Organization"/>
        <filter val="Touch/Vibration"/>
        <filter val="USB Cables/Adapters"/>
        <filter val="USB/Serial Interface Breakouts"/>
        <filter val="User Interface, IO"/>
        <filter val="User Interface, Touchscreen"/>
        <filter val="Vitals/Health Status Sensing"/>
        <filter val="WiFi"/>
        <filter val="Wireless Charging"/>
      </filters>
    </filterColumn>
  </autoFilter>
  <tableColumns count="12">
    <tableColumn id="1" xr3:uid="{A1FE028E-E738-488B-BC96-B57C4A336518}" name="Equipment Type" totalsRowLabel="TOTALS" dataDxfId="590" totalsRowDxfId="589">
      <calculatedColumnFormula>RawList!A4</calculatedColumnFormula>
    </tableColumn>
    <tableColumn id="2" xr3:uid="{B5D41210-015E-4DF7-A6B5-F2365DE4BE55}" name="Equipment Category" totalsRowFunction="custom" dataDxfId="588" totalsRowDxfId="587">
      <calculatedColumnFormula>RawList!B4</calculatedColumnFormula>
      <totalsRowFormula>SUBTOTAL(103,RawListTable[Category])</totalsRowFormula>
    </tableColumn>
    <tableColumn id="12" xr3:uid="{F18AD8A3-164B-4A1B-8BDA-09D727CB8F84}" name="Vendor" dataDxfId="586" totalsRowDxfId="585">
      <calculatedColumnFormula>RawList!C4</calculatedColumnFormula>
    </tableColumn>
    <tableColumn id="7" xr3:uid="{689EC8F1-DB9A-4270-951A-BC4DDB418368}" name="Item/Description" dataDxfId="584" totalsRowDxfId="583">
      <calculatedColumnFormula>RawList!H4</calculatedColumnFormula>
    </tableColumn>
    <tableColumn id="3" xr3:uid="{D157A3D8-371F-4DCC-9845-9D754AA96D81}" name="Item SKU" totalsRowFunction="custom" dataDxfId="582" totalsRowDxfId="581">
      <calculatedColumnFormula>RawList!D4</calculatedColumnFormula>
      <totalsRowFormula>"TOTAL ITEMS: "&amp;SUBTOTAL(103,EquipmentTable[Item SKU])</totalsRowFormula>
    </tableColumn>
    <tableColumn id="4" xr3:uid="{21148587-C814-4E21-94EA-C0D120B9FCDF}" name="Units" totalsRowFunction="custom" dataDxfId="580" totalsRowDxfId="579">
      <calculatedColumnFormula>RawList!E4</calculatedColumnFormula>
      <totalsRowFormula>"TOTAL UNITS: "&amp;SUBTOTAL(109,EquipmentTable[Units])</totalsRowFormula>
    </tableColumn>
    <tableColumn id="8" xr3:uid="{7DD4232F-53FF-4A4C-972B-E565F84F4A10}" name="# &gt; 0 ? T/F" dataDxfId="578" totalsRowDxfId="577">
      <calculatedColumnFormula>IF(EquipmentTable[[#This Row],[Units]]&gt;0,"Quantity &gt; 0 Items","Quantity = 0 Items")</calculatedColumnFormula>
    </tableColumn>
    <tableColumn id="9" xr3:uid="{7E09572C-1143-41CE-9940-F65C421A3666}" name="Unit_x000a_ Price" totalsRowFunction="average" dataDxfId="576" totalsRowDxfId="575">
      <calculatedColumnFormula>RawList!J4</calculatedColumnFormula>
    </tableColumn>
    <tableColumn id="10" xr3:uid="{CB520CBF-213F-4F27-BE25-317A534B943A}" name="Price" totalsRowFunction="sum" dataDxfId="574" totalsRowDxfId="573">
      <calculatedColumnFormula>VALUE(EquipmentTable[[#This Row],[Units]]*EquipmentTable[[#This Row],[Unit
 Price]])</calculatedColumnFormula>
    </tableColumn>
    <tableColumn id="6" xr3:uid="{40D16CA9-8E4D-4A59-8B3C-D64FB690F462}" name="Thumb URL" dataDxfId="572" totalsRowDxfId="571">
      <calculatedColumnFormula>RawList!G4</calculatedColumnFormula>
    </tableColumn>
    <tableColumn id="11" xr3:uid="{2C9D1B3D-4917-4F1D-9C2D-0D5876F14226}" name="Thumbnail" dataDxfId="570" totalsRowDxfId="569"/>
    <tableColumn id="5" xr3:uid="{B9C076F0-CD7B-4C0E-B3AC-B574905F3588}" name="Link" dataDxfId="568" totalsRowDxfId="567">
      <calculatedColumnFormula>RawList!F4</calculatedColumnFormula>
    </tableColumn>
  </tableColumns>
  <tableStyleInfo name="Home Inventor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ategoryLookup" displayName="CategoryLookup" ref="B3:B96" totalsRowShown="0">
  <autoFilter ref="B3:B96" xr:uid="{00000000-0009-0000-0100-000002000000}"/>
  <sortState ref="B4:B17">
    <sortCondition ref="B3:B17"/>
  </sortState>
  <tableColumns count="1">
    <tableColumn id="1" xr3:uid="{00000000-0010-0000-0100-000001000000}" name="Category"/>
  </tableColumns>
  <tableStyleInfo name="Home Inventory" showFirstColumn="0" showLastColumn="0" showRowStripes="1" showColumnStripes="0"/>
  <extLst>
    <ext xmlns:x14="http://schemas.microsoft.com/office/spreadsheetml/2009/9/main" uri="{504A1905-F514-4f6f-8877-14C23A59335A}">
      <x14:table altTextSummary="A table containing rooms or areas of a home"/>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824908-205B-404D-90DB-C39591A77049}" name="TypeLookup" displayName="TypeLookup" ref="C3:C96" totalsRowShown="0" dataDxfId="566">
  <autoFilter ref="C3:C96" xr:uid="{26050C89-0597-4FB9-81FF-E98C2765AB8A}"/>
  <tableColumns count="1">
    <tableColumn id="1" xr3:uid="{1A61E9AB-7223-4CCC-8BCD-E6A532E578BD}" name="Type" dataDxfId="565"/>
  </tableColumns>
  <tableStyleInfo name="Home Inventor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2D3B98-9021-481E-87FB-EA4142D8760A}" name="CategoryTypeDescriptions" displayName="CategoryTypeDescriptions" ref="D3:D96" totalsRowShown="0" dataDxfId="564">
  <autoFilter ref="D3:D96" xr:uid="{19D753C1-BA1E-4F86-BE2C-23B5F96A9F24}"/>
  <tableColumns count="1">
    <tableColumn id="1" xr3:uid="{FA53BD13-DD8A-4B33-A845-E2F5921164A0}" name="Group" dataDxfId="563"/>
  </tableColumns>
  <tableStyleInfo name="Home Inventory"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DF8E228-BA46-49F4-BFC2-1666F7E78678}" name="EquipmentTypesTable" displayName="EquipmentTypesTable" ref="C5:C14" totalsRowCount="1">
  <autoFilter ref="C5:C13" xr:uid="{F20EDCB9-D8D1-4DEF-B1D1-AE41CECA3AE1}"/>
  <tableColumns count="1">
    <tableColumn id="1" xr3:uid="{8D95758C-97D3-4079-A56E-37A5237E3253}" name="Equipment Types" totalsRowFunction="count"/>
  </tableColumns>
  <tableStyleInfo name="Home Inventory" showFirstColumn="1" showLastColumn="0" showRowStripes="1"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9BCD53F-5F3C-44E3-8F4D-8AC6E469DBE0}" name="FunctionsTable" displayName="FunctionsTable" ref="D5:D14" totalsRowCount="1">
  <autoFilter ref="D5:D13" xr:uid="{03D5268C-D8D5-4300-AB80-4DBE465B5EC6}"/>
  <tableColumns count="1">
    <tableColumn id="1" xr3:uid="{0FB918AC-F065-4737-8C4E-E78BC8D7E96B}" name="Reminder Walker Functions" totalsRowFunction="count"/>
  </tableColumns>
  <tableStyleInfo name="Home Inventory" showFirstColumn="1"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50C8F4B-0A62-468F-881B-530D2B8197A3}" name="VendorList" displayName="VendorList" ref="A5:A18" totalsRowCount="1">
  <autoFilter ref="A5:A17" xr:uid="{A46B29EF-0855-4CBD-9023-4C69E5B4EFDB}"/>
  <tableColumns count="1">
    <tableColumn id="1" xr3:uid="{F421CABF-5C81-41C7-8CFC-169C324E9A95}" name="Vendors" totalsRowFunction="count"/>
  </tableColumns>
  <tableStyleInfo name="Home Inventory" showFirstColumn="1"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D8BA6A9-C31E-43FE-AA17-4F370A5C5749}" name="FormatKey" displayName="FormatKey" ref="E5:F13" totalsRowShown="0">
  <autoFilter ref="E5:F13" xr:uid="{4E5635C7-2C38-49CC-8C86-8D8094A14A79}"/>
  <tableColumns count="2">
    <tableColumn id="1" xr3:uid="{D47A58D5-663E-4F28-B51B-881F87029E64}" name="Format Encoded Info Definitions"/>
    <tableColumn id="2" xr3:uid="{6294C83A-8E93-4EA2-A260-94F09A8F0A87}" name="Format Shortcut Tag"/>
  </tableColumns>
  <tableStyleInfo name="Home Inventory"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CF2B24-0DC6-422D-88F0-8C4735B61FEE}" name="VendorList5" displayName="VendorList5" ref="B5:B18" totalsRowCount="1">
  <autoFilter ref="B5:B17" xr:uid="{8EAE8841-92AC-4F91-BD39-51311F30EA1B}"/>
  <tableColumns count="1">
    <tableColumn id="1" xr3:uid="{99BFCA31-EF2C-4855-AECB-FAB50F055F8D}" name="Mouser SKU Prefix" totalsRowFunction="count"/>
  </tableColumns>
  <tableStyleInfo name="Home Inventory" showFirstColumn="1"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0D1121-6D2E-4127-AFFC-4497DAD9010E}" name="RawListTable" displayName="RawListTable" ref="A3:N592" totalsRowCount="1" headerRowDxfId="562" dataDxfId="561">
  <autoFilter ref="A3:N591" xr:uid="{57EB1AFC-8A68-452F-A434-FB6A37C6CCD1}">
    <filterColumn colId="0">
      <filters>
        <filter val="Hardware Component"/>
        <filter val="Low-Level Electronics"/>
        <filter val="Primary Component"/>
        <filter val="Secondary Component"/>
        <filter val="Tools"/>
      </filters>
    </filterColumn>
    <filterColumn colId="1">
      <filters>
        <filter val="Audible Notification/Queuing"/>
        <filter val="BeagleBone Black Iot/Base Station"/>
        <filter val="Bluetooth"/>
        <filter val="Breadboard/Protoboard"/>
        <filter val="Buttons/Switches/Knobs"/>
        <filter val="Connectors, IDC"/>
        <filter val="Connectors, JST"/>
        <filter val="Connectors, Polarized (Molex)"/>
        <filter val="Connectors, Ribbon Crimp"/>
        <filter val="Connectors, Spring/Screw Terminals"/>
        <filter val="Connectors, USB"/>
        <filter val="Connectors/Sockets/Terminals, Other"/>
        <filter val="Data &amp; Signal Logging/Monitoring"/>
        <filter val="DIP/TO-#/SMD Components"/>
        <filter val="Enclosures/Mounts"/>
        <filter val="Energy Harvesting"/>
        <filter val="Flip-Pins"/>
        <filter val="GPS Logging/Fencing"/>
        <filter val="GSM/Cellular Communication"/>
        <filter val="Hand Tools"/>
        <filter val="Hardware Components/Accessories"/>
        <filter val="Headers, Female"/>
        <filter val="Headers, Male"/>
        <filter val="Headers, Stackable"/>
        <filter val="Heat Insulation/Dissipation"/>
        <filter val="High-Precision Compass"/>
        <filter val="Intel Edison Iot/Base Station"/>
        <filter val="Interface/Level/Logic Conversion"/>
        <filter val="Jumper Wires, DIY"/>
        <filter val="Jumper Wires, JST-PH"/>
        <filter val="Jumper Wires, JST-SH"/>
        <filter val="Jumper Wires, JST-SM"/>
        <filter val="Jumper Wires, Mixed"/>
        <filter val="Jumper Wires, Molex"/>
        <filter val="Jumper Wires, PTH"/>
        <filter val="LED Indicators/Lighting"/>
        <filter val="Lidar"/>
        <filter val="Linux + Arduino Home Base Station"/>
        <filter val="mBed Platform Base Station"/>
        <filter val="MCU/Development Board"/>
        <filter val="MicroView Watch/Relay"/>
        <filter val="Movement/IMU"/>
        <filter val="Onion Omega2+ + Arduino Base Station"/>
        <filter val="Onion Omega2+ Handheld"/>
        <filter val="Passive Components"/>
        <filter val="PCB/Breadboard Work Tools"/>
        <filter val="Phone/Computer App Companion"/>
        <filter val="Plastics Fabrication"/>
        <filter val="Plugs/Jacks/Adapters, Audio"/>
        <filter val="PogoPins"/>
        <filter val="Power Supply, Barrel Jack Cables/Adapters"/>
        <filter val="Power Supply, Barrel Jack Wall Wart"/>
        <filter val="Power Supply, Breadboard"/>
        <filter val="Power Supply, Control/Switch"/>
        <filter val="Power Supply, DIY Cables"/>
        <filter val="Power Supply, LiPO Battery Supply/Management"/>
        <filter val="Power Supply, USB + Barrel Jack"/>
        <filter val="Power Supply, USB Cables"/>
        <filter val="Power Supply, USB Wall Wart"/>
        <filter val="Proximity/Distance"/>
        <filter val="QWIIC System/Components"/>
        <filter val="Realtek Ameba Handheld"/>
        <filter val="Ribbon/IDC Cables"/>
        <filter val="Rotary Potentiometers/Encoders/Switches"/>
        <filter val="Signal Multiplexing/Conditioning"/>
        <filter val="Solder/SMD Rework Tools"/>
        <filter val="Solid/Stranded Hookup Wire"/>
        <filter val="Standoffs/Screws"/>
        <filter val="Storage/Organization"/>
        <filter val="Touch/Vibration"/>
        <filter val="Trace/Shielding Construction"/>
        <filter val="USB Cables/Adapters"/>
        <filter val="USB/Serial Interface Breakouts"/>
        <filter val="User Interface, IO"/>
        <filter val="User Interface, Touchscreen"/>
        <filter val="Vitals/Environment Sensing"/>
        <filter val="Vitals/Health Status Sensing"/>
        <filter val="Voice Recognition"/>
        <filter val="WiFi"/>
        <filter val="Wireless Charging"/>
      </filters>
    </filterColumn>
    <filterColumn colId="4">
      <filters>
        <filter val="1"/>
        <filter val="10"/>
        <filter val="15"/>
        <filter val="2"/>
        <filter val="20"/>
        <filter val="3"/>
        <filter val="4"/>
        <filter val="5"/>
        <filter val="6"/>
        <filter val="7"/>
        <filter val="8"/>
        <filter val="9"/>
      </filters>
    </filterColumn>
  </autoFilter>
  <tableColumns count="14">
    <tableColumn id="1" xr3:uid="{817B328E-4994-477E-9AED-000A65191FB6}" name="Type" totalsRowLabel="Total" dataDxfId="560" totalsRowDxfId="434"/>
    <tableColumn id="2" xr3:uid="{C2A2CFCE-5B87-4CD3-9427-5EA3B144A063}" name="Category" totalsRowFunction="count" dataDxfId="559" totalsRowDxfId="433"/>
    <tableColumn id="12" xr3:uid="{9AE831AF-1851-412A-9597-09EE0AF94F14}" name="Vendor" dataDxfId="558" totalsRowDxfId="432"/>
    <tableColumn id="3" xr3:uid="{6BBDFDBD-BE22-4E69-BCD3-1A37409DBF7D}" name="SKU" dataDxfId="557" totalsRowDxfId="431"/>
    <tableColumn id="4" xr3:uid="{9C75188B-DA5C-4F75-8E8D-2A79F55CC0E6}" name="Qty." totalsRowFunction="sum" dataDxfId="556" totalsRowDxfId="430"/>
    <tableColumn id="5" xr3:uid="{893C4050-D5DE-4677-AA49-DCD67FD4AABD}" name="URL" dataDxfId="555" totalsRowDxfId="429"/>
    <tableColumn id="6" xr3:uid="{3BB7C1C4-3FE0-4349-86B4-E5DC82BD7446}" name="Thumbnail Image" dataDxfId="554" totalsRowDxfId="428"/>
    <tableColumn id="7" xr3:uid="{D902478C-81DF-4B35-A9E9-5B17692980BE}" name="Name" dataDxfId="553" totalsRowDxfId="427"/>
    <tableColumn id="8" xr3:uid="{B882339A-4644-415E-A739-2D7282494845}" name="RoHS Compliance" dataDxfId="552" totalsRowDxfId="426"/>
    <tableColumn id="9" xr3:uid="{3F49A931-0D6B-4327-B869-CA4E8B5771C7}" name="Price (USD)" totalsRowFunction="average" dataDxfId="551" totalsRowDxfId="425"/>
    <tableColumn id="13" xr3:uid="{C4079F38-3586-4683-BA01-45EC5716FD50}" name="Tag" dataDxfId="550" totalsRowDxfId="424">
      <calculatedColumnFormula>Primary!K2</calculatedColumnFormula>
    </tableColumn>
    <tableColumn id="10" xr3:uid="{72A69442-6C68-4294-B2C6-7988F6101C7E}" name="Description/Comments" totalsRowFunction="count" dataDxfId="549" totalsRowDxfId="423"/>
    <tableColumn id="11" xr3:uid="{61A93700-664B-44C1-B6D0-A47E4ADC4B00}" name="Total Price" totalsRowFunction="sum" dataDxfId="548" totalsRowDxfId="422">
      <calculatedColumnFormula>E4*J4</calculatedColumnFormula>
    </tableColumn>
    <tableColumn id="14" xr3:uid="{0F0C3D8C-55FB-4408-8369-766E8796EBC4}" name="List #" totalsRowFunction="count" dataDxfId="547" totalsRowDxfId="421">
      <calculatedColumnFormula>IF($N3="List #",1,$N3+1)</calculatedColumnFormula>
    </tableColumn>
  </tableColumns>
  <tableStyleInfo name="Home Inventory" showFirstColumn="1" showLastColumn="1"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B229423-4E1F-414A-A0B3-679F69832E83}" name="MouserListTable12" displayName="MouserListTable12" ref="A13:Y608" totalsRowCount="1" headerRowDxfId="546" dataDxfId="545">
  <autoFilter ref="A13:Y607" xr:uid="{57EB1AFC-8A68-452F-A434-FB6A37C6CCD1}">
    <filterColumn colId="5">
      <filters>
        <filter val="1"/>
        <filter val="10"/>
        <filter val="2"/>
        <filter val="20"/>
        <filter val="25"/>
        <filter val="3"/>
        <filter val="5"/>
      </filters>
    </filterColumn>
  </autoFilter>
  <tableColumns count="25">
    <tableColumn id="1" xr3:uid="{96F92A1A-3779-4AA7-ACA7-F290E44AAD82}" name="Type" totalsRowLabel="Total" dataDxfId="420" totalsRowDxfId="396"/>
    <tableColumn id="2" xr3:uid="{5CC344E8-E6CC-4ADB-896E-26A3C4FFE79A}" name="Category" totalsRowFunction="count" dataDxfId="419" totalsRowDxfId="395"/>
    <tableColumn id="12" xr3:uid="{5416F2AE-182D-404A-B126-FE9D871097F0}" name="Vendor" dataDxfId="418" totalsRowDxfId="394"/>
    <tableColumn id="3" xr3:uid="{1AF7E4FC-0769-4D61-91A3-5E358BC64891}" name="SKU" dataDxfId="417" totalsRowDxfId="393">
      <calculatedColumnFormula>IF(MouserListTable12[[#This Row],[Vendor]]=FilterSpecs!$A$8,MouserListTable12[[#This Row],[Mouser SKU]], MouserListTable12[[#This Row],[Supplier SKU]])</calculatedColumnFormula>
    </tableColumn>
    <tableColumn id="4" xr3:uid="{34F0A8B8-CCF3-4F52-8355-243E5166B0E4}" name="# Left" totalsRowFunction="sum" dataDxfId="416" totalsRowDxfId="392">
      <calculatedColumnFormula>MouserListTable12[[#This Row],[Tot '#]]-MouserListTable12[[#This Row],['# Initial]]</calculatedColumnFormula>
    </tableColumn>
    <tableColumn id="19" xr3:uid="{E29BD363-C542-4687-86D3-72C38867DF9D}" name="# Initial" dataDxfId="415" totalsRowDxfId="391">
      <calculatedColumnFormula>IF(AND(MouserListTable12[[#This Row],[Tag]]&lt;&gt;FilterSpecs!$F$12, MouserListTable12[[#This Row],[Tag]]&lt;&gt;FilterSpecs!$F$9), MouserListTable12[[#This Row],['#/Unit]]*FilterSpecs!$B$3+MouserListTable12[[#This Row],[Extra Initial]],0)</calculatedColumnFormula>
    </tableColumn>
    <tableColumn id="5" xr3:uid="{93E49FE3-0B18-4377-932B-17B2BDB77624}" name="URL" dataDxfId="414" totalsRowDxfId="390"/>
    <tableColumn id="6" xr3:uid="{5FF3ED26-80FB-410A-8900-C0CB453C113D}" name="Thumbnail Image" dataDxfId="413" totalsRowDxfId="389"/>
    <tableColumn id="7" xr3:uid="{A76FB469-81AD-4F64-8F8F-FF8EB7045804}" name="Name" dataDxfId="412" totalsRowDxfId="388"/>
    <tableColumn id="8" xr3:uid="{DA645A51-9EE0-420D-97AF-93B883C60F5F}" name="RoHS Compliance" dataDxfId="411" totalsRowDxfId="387"/>
    <tableColumn id="9" xr3:uid="{DF5DCB91-AC13-4004-BA13-665B698C4998}" name="Price (USD)" totalsRowFunction="average" dataDxfId="410" totalsRowDxfId="386"/>
    <tableColumn id="13" xr3:uid="{CBC54524-D441-465D-9B0F-C0D85FDA44D3}" name="Tag" dataDxfId="409" totalsRowDxfId="385">
      <calculatedColumnFormula>Primary!K2</calculatedColumnFormula>
    </tableColumn>
    <tableColumn id="10" xr3:uid="{9CB617C5-523C-4AAD-A2A1-3A0142461544}" name="Description/Comments" totalsRowFunction="count" dataDxfId="408" totalsRowDxfId="384"/>
    <tableColumn id="11" xr3:uid="{42CB7044-5E6E-4336-9AB4-BC97D2C948A0}" name="Total Price" totalsRowFunction="sum" dataDxfId="407" totalsRowDxfId="383">
      <calculatedColumnFormula>MouserListTable12[[#This Row],['# Initial]]*MouserListTable12[[#This Row],[Price (USD)]]</calculatedColumnFormula>
    </tableColumn>
    <tableColumn id="15" xr3:uid="{52FE682D-7148-4B04-BB71-2D5F54A9ACC5}" name="Supplier SKU" totalsRowFunction="count" dataDxfId="406" totalsRowDxfId="382"/>
    <tableColumn id="17" xr3:uid="{41B570B7-57D0-442B-97A7-00ABB990D83F}" name="List #" totalsRowFunction="max" dataDxfId="405" totalsRowDxfId="381">
      <calculatedColumnFormula>IF($P13="List #",1,$P13+1)</calculatedColumnFormula>
    </tableColumn>
    <tableColumn id="14" xr3:uid="{76EF8363-36F3-4B77-90B1-D640A2BF9C8E}" name="Supplier" dataDxfId="404" totalsRowDxfId="380"/>
    <tableColumn id="20" xr3:uid="{150A8BC2-1B29-4C2C-9121-930221899E0E}" name="Mouser SKU" dataDxfId="403" totalsRowDxfId="379">
      <calculatedColumnFormula>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calculatedColumnFormula>
    </tableColumn>
    <tableColumn id="16" xr3:uid="{041266D5-EE64-4177-8BB1-B1ABE7DE1DFB}" name="Column1" dataDxfId="371" totalsRowDxfId="378">
      <calculatedColumnFormula>HYPERLINK("https://www.mouser.com/ProductDetail/" &amp;MouserListTable12[[#This Row],[Mouser SKU]])</calculatedColumnFormula>
    </tableColumn>
    <tableColumn id="22" xr3:uid="{695F525D-7304-4AF4-8FA9-C84455865511}" name="#/Unit" dataDxfId="402" totalsRowDxfId="377"/>
    <tableColumn id="23" xr3:uid="{AB09758A-497F-46C5-8D06-A8BA09533026}" name="Extra" dataDxfId="401" totalsRowDxfId="376"/>
    <tableColumn id="26" xr3:uid="{A1902C37-AD2D-4A47-8409-9A2489E93A26}" name="Extra Initial" dataDxfId="400" totalsRowDxfId="375"/>
    <tableColumn id="27" xr3:uid="{EBE042F8-1A36-4459-90C5-6116B231F7FC}" name="Tot #" dataDxfId="399" totalsRowDxfId="374">
      <calculatedColumnFormula>MouserListTable12[[#This Row],['#/Unit]]*FilterSpecs!$C$3+MouserListTable12[[#This Row],[Extra]]</calculatedColumnFormula>
    </tableColumn>
    <tableColumn id="28" xr3:uid="{F7248F43-2557-4412-8BEF-599E0C160EF4}" name="$/Unit" totalsRowFunction="sum" dataDxfId="398" totalsRowDxfId="373">
      <calculatedColumnFormula>IF(MouserListTable12[[#This Row],[Tag]]=FilterSpecs!$F$7,MouserListTable12[[#This Row],['#/Unit]]*MouserListTable12[[#This Row],[Price (USD)]],0)</calculatedColumnFormula>
    </tableColumn>
    <tableColumn id="29" xr3:uid="{281DD742-64B3-4128-B34C-240F0FBDD8B8}" name="Total $" totalsRowFunction="sum" dataDxfId="397" totalsRowDxfId="372">
      <calculatedColumnFormula>MouserListTable12[[#This Row],[Tot '#]]*MouserListTable12[[#This Row],[Price (USD)]]</calculatedColumnFormula>
    </tableColumn>
  </tableColumns>
  <tableStyleInfo name="Home Inventory" showFirstColumn="1"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37053E4-9A19-4B6C-854B-D30E96D35970}" name="Table12" displayName="Table12" ref="A611:C620" totalsRowCount="1" headerRowDxfId="544" dataDxfId="543" tableBorderDxfId="542">
  <autoFilter ref="A611:C619" xr:uid="{B02009A6-E19B-4996-8A7A-F9E6B408B03E}"/>
  <tableColumns count="3">
    <tableColumn id="1" xr3:uid="{F4C33379-D6E9-4EBE-920E-D5D7AE09B29B}" name="Cost Breakdown" totalsRowFunction="count" dataDxfId="541" dataCellStyle="Heading 1">
      <calculatedColumnFormula>FilterSpecs!C6</calculatedColumnFormula>
    </tableColumn>
    <tableColumn id="2" xr3:uid="{F65F03DE-4605-4C1F-AD90-B905CFCD69A2}" name="Initial Order" totalsRowFunction="sum" dataDxfId="540" totalsRowDxfId="539" dataCellStyle="Heading 1">
      <calculatedColumnFormula>SUMIF(MouserListTable12[Type],"=" &amp; FilterSpecs!$C6,MouserListTable12[Total Price])</calculatedColumnFormula>
    </tableColumn>
    <tableColumn id="3" xr3:uid="{1202E549-D89C-41A0-85DC-3482D97E1145}" name="Total Order" totalsRowFunction="sum" dataDxfId="538" totalsRowDxfId="537" dataCellStyle="Heading 1">
      <calculatedColumnFormula>SUMIF(MouserListTable12[Type],"=" &amp; FilterSpecs!$C6,MouserListTable12[Total $])</calculatedColumnFormula>
    </tableColumn>
  </tableColumns>
  <tableStyleInfo name="Home Inventory" showFirstColumn="1"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E870C3-2112-4205-B92C-FFD9BB59347A}" name="MouserListTable1215" displayName="MouserListTable1215" ref="A13:F608" totalsRowCount="1" headerRowDxfId="536" dataDxfId="535">
  <autoFilter ref="A13:F607" xr:uid="{57EB1AFC-8A68-452F-A434-FB6A37C6CCD1}">
    <filterColumn colId="2">
      <filters>
        <filter val="1"/>
        <filter val="10"/>
        <filter val="16"/>
        <filter val="2"/>
        <filter val="20"/>
        <filter val="25"/>
        <filter val="3"/>
        <filter val="5"/>
      </filters>
    </filterColumn>
  </autoFilter>
  <tableColumns count="6">
    <tableColumn id="1" xr3:uid="{47225BD6-745A-4350-AEF8-713C233E7BD6}" name="List #" totalsRowFunction="count" dataDxfId="19" totalsRowDxfId="18">
      <calculatedColumnFormula>IF(MouserListTable1215[[#This Row],[Qty.]]&gt;0,IF($A13="List #",1,$A13+1),IF($A13="List #",0,$A13))</calculatedColumnFormula>
    </tableColumn>
    <tableColumn id="3" xr3:uid="{432F4873-2417-457A-A49D-0BD44F22759E}" name="SKU" dataDxfId="17" totalsRowDxfId="16">
      <calculatedColumnFormula>MouserListTable12[[#This Row],[SKU]]</calculatedColumnFormula>
    </tableColumn>
    <tableColumn id="19" xr3:uid="{9EDEB626-3D7A-408C-82E3-E3ECDABFB0B8}" name="Qty." totalsRowFunction="sum" dataDxfId="15" totalsRowDxfId="14">
      <calculatedColumnFormula>MouserListTable12[[#This Row],['# Initial]]</calculatedColumnFormula>
    </tableColumn>
    <tableColumn id="7" xr3:uid="{801D5248-0CF0-4733-B703-942E4623FD0D}" name="Name" dataDxfId="13" totalsRowDxfId="12"/>
    <tableColumn id="9" xr3:uid="{FFCC6E3F-3DAC-446C-8F55-FB1F7BFD3C86}" name="Price (USD)" dataDxfId="11" totalsRowDxfId="10"/>
    <tableColumn id="11" xr3:uid="{E1EEAE46-5C7E-4F1B-97A8-B511D975A666}" name="Total Price (USD)" totalsRowFunction="sum" dataDxfId="9" totalsRowDxfId="8">
      <calculatedColumnFormula>MouserListTable12[[#This Row],[Total Price]]</calculatedColumnFormula>
    </tableColumn>
  </tableColumns>
  <tableStyleInfo name="Home Inventory" showFirstColumn="1" showLastColumn="1"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F9F7FAB-6C15-491E-A8B0-975612540CD8}" name="MouserListTable1218" displayName="MouserListTable1218" ref="A13:X609" totalsRowCount="1" headerRowDxfId="534" dataDxfId="533">
  <autoFilter ref="A13:X608" xr:uid="{57EB1AFC-8A68-452F-A434-FB6A37C6CCD1}">
    <filterColumn colId="0">
      <filters>
        <filter val="Hardware Component"/>
        <filter val="Low-Level Electronics"/>
        <filter val="Primary Component"/>
        <filter val="Secondary Component"/>
        <filter val="Tools"/>
      </filters>
    </filterColumn>
  </autoFilter>
  <tableColumns count="24">
    <tableColumn id="1" xr3:uid="{D2E73000-A3B0-4ED4-950D-7A5BCB152DD1}" name="Type" totalsRowLabel="Total" dataDxfId="532" totalsRowDxfId="531"/>
    <tableColumn id="2" xr3:uid="{AC72625A-400C-4613-9BE3-DCB4A6E90F91}" name="Category" totalsRowFunction="count" dataDxfId="530" totalsRowDxfId="529"/>
    <tableColumn id="12" xr3:uid="{DBD6ED52-A98D-453A-B976-1A61BA007242}" name="Vendor" dataDxfId="528" totalsRowDxfId="527"/>
    <tableColumn id="3" xr3:uid="{96F05C27-78B6-4937-9E8D-7BE199DA2A3F}" name="SKU" dataDxfId="526" totalsRowDxfId="525">
      <calculatedColumnFormula>IF(MouserListTable1218[[#This Row],[Vendor]]=FilterSpecs!$A$8,MouserListTable1218[[#This Row],[Mouser SKU]], MouserListTable1218[[#This Row],[Supplier SKU]])</calculatedColumnFormula>
    </tableColumn>
    <tableColumn id="4" xr3:uid="{872A90F2-4D34-48E7-9B6B-28E772B506BE}" name="# Left" totalsRowFunction="sum" dataDxfId="524" totalsRowDxfId="523">
      <calculatedColumnFormula>MouserListTable1218[[#This Row],[Tot '#]]-MouserListTable1218[[#This Row],['# Initial]]</calculatedColumnFormula>
    </tableColumn>
    <tableColumn id="19" xr3:uid="{CD45E22B-7803-43AF-981F-A2E71A86252D}" name="# Initial" dataDxfId="522" totalsRowDxfId="521">
      <calculatedColumnFormula>MouserListTable1218[[#This Row],['#/Unit]]*FilterSpecs!$B$3+MouserListTable1218[[#This Row],[Extra Initial]]</calculatedColumnFormula>
    </tableColumn>
    <tableColumn id="5" xr3:uid="{E25E8840-7BCF-4FB1-BCF3-3805739B8FA1}" name="URL" dataDxfId="520" totalsRowDxfId="519"/>
    <tableColumn id="6" xr3:uid="{8814DCD3-316A-47F6-A0AD-25C92FF5A27E}" name="Thumbnail Image" dataDxfId="518" totalsRowDxfId="517"/>
    <tableColumn id="7" xr3:uid="{EAF1F9F1-F93D-40DB-BD8F-315C0F5191D6}" name="Name" dataDxfId="516" totalsRowDxfId="515"/>
    <tableColumn id="8" xr3:uid="{414693C6-0EE0-4F29-AD23-F19E30C8AF18}" name="RoHS Compliance" dataDxfId="514" totalsRowDxfId="513"/>
    <tableColumn id="9" xr3:uid="{86766775-4A05-4663-895B-33A62974431B}" name="Price (USD)" totalsRowFunction="average" dataDxfId="512" totalsRowDxfId="511"/>
    <tableColumn id="13" xr3:uid="{F17B0871-2705-4275-B498-69459D4D7C1B}" name="Tag" dataDxfId="510" totalsRowDxfId="509">
      <calculatedColumnFormula>Primary!K2</calculatedColumnFormula>
    </tableColumn>
    <tableColumn id="10" xr3:uid="{498495C2-91BB-4951-A600-B3B78F0FAE4E}" name="Description/Comments" totalsRowFunction="count" dataDxfId="508" totalsRowDxfId="507"/>
    <tableColumn id="11" xr3:uid="{2C3B00AF-E5B5-4B0C-AE65-8D8F854C6E58}" name="Total Price" totalsRowFunction="sum" dataDxfId="506" totalsRowDxfId="505">
      <calculatedColumnFormula>MouserListTable1218[[#This Row],['# Initial]]*MouserListTable1218[[#This Row],[Price (USD)]]</calculatedColumnFormula>
    </tableColumn>
    <tableColumn id="15" xr3:uid="{50C8EFA9-1417-4022-8A38-B682A2901DA8}" name="Supplier SKU" totalsRowFunction="count" dataDxfId="504" totalsRowDxfId="503"/>
    <tableColumn id="17" xr3:uid="{B203A3CB-EE8E-4295-B05C-57D17F3E5EE9}" name="List #" totalsRowFunction="max" dataDxfId="502" totalsRowDxfId="501">
      <calculatedColumnFormula>IF($P13="List #",1,$P13+1)</calculatedColumnFormula>
    </tableColumn>
    <tableColumn id="14" xr3:uid="{BBFD3E87-3B82-413F-B8DE-8B94434FAABF}" name="Supplier" dataDxfId="500" totalsRowDxfId="499"/>
    <tableColumn id="20" xr3:uid="{DB802536-170D-4947-8815-8C34665E0FF3}" name="Mouser SKU" dataDxfId="498" totalsRowDxfId="497">
      <calculatedColumnFormula>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calculatedColumnFormula>
    </tableColumn>
    <tableColumn id="22" xr3:uid="{9795ACC7-FC3B-4BD6-9AAE-7D04C6773F59}" name="#/Unit" dataDxfId="496" totalsRowDxfId="495"/>
    <tableColumn id="23" xr3:uid="{12C31E3E-7B60-4ABB-9BD6-C6AF70AD1CAE}" name="Extra" dataDxfId="494" totalsRowDxfId="493"/>
    <tableColumn id="26" xr3:uid="{7F1F9E01-3905-4D14-986E-671C64DC891A}" name="Extra Initial" dataDxfId="492" totalsRowDxfId="491"/>
    <tableColumn id="27" xr3:uid="{520FBE1A-E9D5-4981-8D2B-235C09C4E861}" name="Tot #" dataDxfId="490" totalsRowDxfId="489">
      <calculatedColumnFormula>MouserListTable1218[[#This Row],['#/Unit]]*FilterSpecs!$C$3+MouserListTable1218[[#This Row],[Extra]]</calculatedColumnFormula>
    </tableColumn>
    <tableColumn id="28" xr3:uid="{43C364A0-5AFB-481D-9874-B2F6C864906E}" name="$/Unit" totalsRowFunction="sum" dataDxfId="488" totalsRowDxfId="487">
      <calculatedColumnFormula>IF(MouserListTable1218[[#This Row],[Tag]]=FilterSpecs!$F$7,MouserListTable1218[[#This Row],[Price (USD)]],0)</calculatedColumnFormula>
    </tableColumn>
    <tableColumn id="29" xr3:uid="{AB150AC9-11D9-4B65-ADED-8C23A3A114CF}" name="Total $" dataDxfId="486" totalsRowDxfId="485">
      <calculatedColumnFormula>MouserListTable1218[[#This Row],[Tot '#]]*MouserListTable1218[[#This Row],[Price (USD)]]</calculatedColumnFormula>
    </tableColumn>
  </tableColumns>
  <tableStyleInfo name="Home Inventory" showFirstColumn="1" showLastColumn="1"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C4278C9-14EB-4666-B176-02B2979D88C7}" name="Table1219" displayName="Table1219" ref="A612:C620" totalsRowShown="0" headerRowDxfId="484" dataDxfId="483" tableBorderDxfId="482">
  <autoFilter ref="A612:C620" xr:uid="{B02009A6-E19B-4996-8A7A-F9E6B408B03E}"/>
  <tableColumns count="3">
    <tableColumn id="1" xr3:uid="{DD77B2C5-448F-4F43-838D-EC6C1737576E}" name="Cost Breakdown" dataDxfId="481" dataCellStyle="Heading 1">
      <calculatedColumnFormula>FilterSpecs!C6</calculatedColumnFormula>
    </tableColumn>
    <tableColumn id="2" xr3:uid="{103AD548-FB2C-4F5A-A739-04E0998A9B78}" name="Initial Order" dataDxfId="480" dataCellStyle="Heading 1">
      <calculatedColumnFormula>SUMIF(MouserListTable1218[Type],"=" &amp; FilterSpecs!$C6,MouserListTable1218[Total Price])</calculatedColumnFormula>
    </tableColumn>
    <tableColumn id="3" xr3:uid="{8C939A03-6C13-4C04-968A-46CA5CF9634C}" name="Total Order" dataDxfId="479" dataCellStyle="Heading 1">
      <calculatedColumnFormula>SUMIF(MouserListTable1218[Type],"=" &amp; FilterSpecs!$C6,MouserListTable1218[Total $])</calculatedColumnFormula>
    </tableColumn>
  </tableColumns>
  <tableStyleInfo name="Home Inventory"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AB43C84-A7F0-4D59-B6D8-79EEC732B9F1}" name="Table16" displayName="Table16" ref="A2:W81" totalsRowCount="1">
  <autoFilter ref="A2:W80" xr:uid="{DF691FD7-187C-4337-BF8D-DFD26896D8E2}"/>
  <tableColumns count="23">
    <tableColumn id="1" xr3:uid="{D24DB0F2-08E4-49AB-A37B-99D57B69AAEB}" name="Type"/>
    <tableColumn id="2" xr3:uid="{4FBD9E19-3D8F-40B8-A1CF-C47FD4715284}" name="Category" totalsRowFunction="custom">
      <totalsRowFormula>COUNTA(B3:B80)</totalsRowFormula>
    </tableColumn>
    <tableColumn id="25" xr3:uid="{9BAB0D84-3250-413B-A048-4C1C5FBE932F}" name="Qty"/>
    <tableColumn id="3" xr3:uid="{894B739A-D496-4384-AE18-CB830AE7A0B0}" name="BarrelJack" totalsRowFunction="custom">
      <totalsRowFormula>SUMPRODUCT(Table16[Qty],Table16[BarrelJack])</totalsRowFormula>
    </tableColumn>
    <tableColumn id="4" xr3:uid="{9114DB9A-DBCB-40B3-B469-83B3D0D72F13}" name="USB" totalsRowFunction="custom">
      <totalsRowFormula>SUMPRODUCT(Table16[Qty],Table16[USB])</totalsRowFormula>
    </tableColumn>
    <tableColumn id="5" xr3:uid="{DB4B9A9D-5753-4163-8E13-361534197529}" name="LiPO Battery" totalsRowFunction="custom">
      <totalsRowFormula>SUMPRODUCT(Table16[Qty],Table16[LiPO Battery])</totalsRowFormula>
    </tableColumn>
    <tableColumn id="24" xr3:uid="{FC9A0C4B-C5DD-43BD-A635-B9AA2A007D89}" name="3.3V/5V" totalsRowFunction="custom">
      <totalsRowFormula>SUMPRODUCT(Table16[Qty],Table16[3.3V/5V])</totalsRowFormula>
    </tableColumn>
    <tableColumn id="8" xr3:uid="{EE291367-FE2E-4551-8ED1-83FA92788085}" name="uSD" totalsRowFunction="custom">
      <totalsRowFormula>SUMPRODUCT(Table16[Qty],Table16[uSD])</totalsRowFormula>
    </tableColumn>
    <tableColumn id="9" xr3:uid="{C3CF0C1B-6279-4E6E-87C5-E7172C292570}" name="WiFi" totalsRowFunction="custom">
      <totalsRowFormula>SUMPRODUCT(Table16[Qty],Table16[WiFi])</totalsRowFormula>
    </tableColumn>
    <tableColumn id="10" xr3:uid="{5B4F817A-C840-4A53-9663-658A716D7642}" name="Bluetooth" totalsRowFunction="custom">
      <totalsRowFormula>SUMPRODUCT(Table16[Qty],Table16[Bluetooth])</totalsRowFormula>
    </tableColumn>
    <tableColumn id="11" xr3:uid="{B9082B10-6994-4889-8629-2762B18F2B98}" name="Column5"/>
    <tableColumn id="12" xr3:uid="{FC53A817-B52F-4F9D-8A1D-64D3C1BA6F8C}" name="Column6"/>
    <tableColumn id="13" xr3:uid="{274B0898-3586-4E15-B1EF-1874512A4D7A}" name="Column7"/>
    <tableColumn id="14" xr3:uid="{6D9FF19E-A32F-44A4-936D-80D62C6FD32D}" name="Column8"/>
    <tableColumn id="15" xr3:uid="{93A236B1-028B-46EF-B287-0068AE09024D}" name="Column9"/>
    <tableColumn id="16" xr3:uid="{E373B686-BFEE-4614-82EC-0BCAAFEA0664}" name="Column10"/>
    <tableColumn id="17" xr3:uid="{2A4C4EBC-93A4-4778-A02D-388B8394F927}" name="Column11"/>
    <tableColumn id="18" xr3:uid="{7B9BD62C-0D28-4EE9-9B10-98D67A2D91D4}" name="Column12"/>
    <tableColumn id="19" xr3:uid="{9A524BE7-176E-4EAD-9BC8-3AEA170A7234}" name="Column13"/>
    <tableColumn id="20" xr3:uid="{638042E7-3E14-4AFC-90B5-F6ED99F03735}" name="Column14"/>
    <tableColumn id="21" xr3:uid="{AAE92B1B-5C64-41C9-9DFD-3D49374BF8EF}" name="Column15"/>
    <tableColumn id="22" xr3:uid="{9B32E269-8119-49CE-B57B-015F21B8F0A0}" name="Column16"/>
    <tableColumn id="23" xr3:uid="{07F39DDC-2F76-4F70-8005-35962056E065}" name="Column17"/>
  </tableColumns>
  <tableStyleInfo name="Home Inventory"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BCCB956-C45C-49FF-9BBA-892896C4E93F}" name="Table9" displayName="Table9" ref="A1:J19" totalsRowShown="0" headerRowDxfId="478">
  <autoFilter ref="A1:J19" xr:uid="{CBF8D447-B235-443D-8CE0-1E2112163157}"/>
  <tableColumns count="10">
    <tableColumn id="1" xr3:uid="{F78A8889-C402-4A37-8708-058A5CBFFBAC}" name="Cost" dataDxfId="477"/>
    <tableColumn id="10" xr3:uid="{D97E43B4-A313-4E84-8285-539E3B56CF8E}" name="Column1" dataDxfId="476"/>
    <tableColumn id="2" xr3:uid="{B6F035D8-87F6-49CA-A416-904E5A839967}" name="Object Detection Component" dataDxfId="475"/>
    <tableColumn id="3" xr3:uid="{0CD9F61D-3BE9-4678-BCC6-A62062BE76D0}" name="Detection Axis" dataDxfId="474"/>
    <tableColumn id="4" xr3:uid="{0019C839-C201-4473-84EB-EB5E8D5118FB}" name="Nominal Range" dataDxfId="473"/>
    <tableColumn id="5" xr3:uid="{9BEB30B9-2AC0-4215-9234-3A7ED928AE19}" name="User Purported Range" dataDxfId="472"/>
    <tableColumn id="6" xr3:uid="{27963C66-F409-409E-8E5C-5117950BA0F9}" name="Precision" dataDxfId="471"/>
    <tableColumn id="7" xr3:uid="{37537BA9-D838-4C15-B5E9-6B7D0B7246F7}" name="Detection Method" dataDxfId="470"/>
    <tableColumn id="8" xr3:uid="{0AB048B2-EF33-4815-B59C-063B4959A642}" name="Header Pin #s" dataDxfId="469"/>
    <tableColumn id="9" xr3:uid="{6C2B27EC-160F-49A9-B1B7-73A7E19655CF}" name="Comments/Notes" dataDxfId="468"/>
  </tableColumns>
  <tableStyleInfo name="Home Inventor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90C9D7-AEE0-4407-B521-3F0E4EF5C128}" name="Table10" displayName="Table10" ref="C21:F42" totalsRowShown="0" headerRowDxfId="467" dataDxfId="466">
  <autoFilter ref="C21:F42" xr:uid="{70429E11-B104-400C-B525-DB62E9F749FC}"/>
  <tableColumns count="4">
    <tableColumn id="1" xr3:uid="{0C4EAA43-1DEC-467E-BC8C-55107834F54D}" name="Component" dataDxfId="465"/>
    <tableColumn id="2" xr3:uid="{9E2DAA65-0C80-4691-9564-D3C7BF7B1728}" name="Header/Pin Configs" dataDxfId="464"/>
    <tableColumn id="3" xr3:uid="{8D51F1BB-E845-4BFF-A8B6-7E04448FC0D0}" name="Pre-Populated" dataDxfId="463"/>
    <tableColumn id="4" xr3:uid="{752CFF2C-EC3D-4385-8818-F5C1D91822AE}" name="M/F" dataDxfId="462"/>
  </tableColumns>
  <tableStyleInfo name="Home Inventory"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quipment" displayName="Equipment" ref="B6:M39" totalsRowCount="1" headerRowDxfId="461" dataDxfId="460" totalsRowDxfId="459">
  <autoFilter ref="B6:M38" xr:uid="{00000000-0009-0000-0100-000001000000}">
    <filterColumn colId="3">
      <filters>
        <filter val="Touch/Vibration"/>
      </filters>
    </filterColumn>
  </autoFilter>
  <tableColumns count="12">
    <tableColumn id="21" xr3:uid="{00000000-0010-0000-0000-000015000000}" name="Item #" totalsRowLabel="TOTALS" dataDxfId="458" totalsRowDxfId="446" dataCellStyle="Comma">
      <calculatedColumnFormula>ROW($A1)</calculatedColumnFormula>
    </tableColumn>
    <tableColumn id="2" xr3:uid="{0EA8163A-C93D-42D0-9DD0-7848FDC5BFC4}" name="Vendor" totalsRowFunction="custom" dataDxfId="457" totalsRowDxfId="445" dataCellStyle="Comma">
      <totalsRowFormula>"PO ITEMS: "&amp;SUBTOTAL(103,Equipment[Equipment Category])</totalsRowFormula>
    </tableColumn>
    <tableColumn id="12" xr3:uid="{CFF049F1-71B3-4FE8-9295-A454426C55EF}" name="Type" dataDxfId="456" totalsRowDxfId="444"/>
    <tableColumn id="3" xr3:uid="{00000000-0010-0000-0000-000003000000}" name="Equipment Category" dataDxfId="455" totalsRowDxfId="443"/>
    <tableColumn id="4" xr3:uid="{00000000-0010-0000-0000-000004000000}" name="Item/Description" dataDxfId="454" totalsRowDxfId="442"/>
    <tableColumn id="6" xr3:uid="{00000000-0010-0000-0000-000006000000}" name="Item SKU" dataDxfId="453" totalsRowDxfId="441" dataCellStyle="Seriel Number"/>
    <tableColumn id="8" xr3:uid="{00000000-0010-0000-0000-000008000000}" name="Units" dataDxfId="452" totalsRowDxfId="440" dataCellStyle="Currency [0]"/>
    <tableColumn id="9" xr3:uid="{00000000-0010-0000-0000-000009000000}" name="Unit_x000a_ Price" dataDxfId="451" totalsRowDxfId="439" dataCellStyle="Currency [0]"/>
    <tableColumn id="10" xr3:uid="{00000000-0010-0000-0000-00000A000000}" name="Price" totalsRowFunction="sum" dataDxfId="450" totalsRowDxfId="438" dataCellStyle="Currency [0]">
      <calculatedColumnFormula>Equipment[[#This Row],[Unit
 Price]]*Equipment[[#This Row],[Units]]</calculatedColumnFormula>
    </tableColumn>
    <tableColumn id="13" xr3:uid="{00000000-0010-0000-0000-00000D000000}" name="Thumb URL" dataDxfId="449" totalsRowDxfId="437"/>
    <tableColumn id="1" xr3:uid="{45BD6886-C728-435A-833E-B165B206C43F}" name="Thumbnail" dataDxfId="448" totalsRowDxfId="436"/>
    <tableColumn id="14" xr3:uid="{00000000-0010-0000-0000-00000E000000}" name="Link" dataDxfId="447" totalsRowDxfId="435"/>
  </tableColumns>
  <tableStyleInfo name="Home Inventory" showFirstColumn="1" showLastColumn="1" showRowStripes="1" showColumnStripes="0"/>
  <extLst>
    <ext xmlns:x14="http://schemas.microsoft.com/office/spreadsheetml/2009/9/main" uri="{504A1905-F514-4f6f-8877-14C23A59335A}">
      <x14:table altTextSummary="List of household inventory items such as, Item # (calculated field), Room/area, item information, Purchase information, Estimated Current Value, Notes, and Photo (Yes/No field)"/>
    </ext>
  </extLst>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E76AF6-F69A-41A2-9078-BFB0C1BAC158}" name="Table13" displayName="Table13" ref="A1:D20" totalsRowShown="0">
  <autoFilter ref="A1:D20" xr:uid="{3FCC085E-B25F-4E9D-A68D-CA0179142FF6}"/>
  <tableColumns count="4">
    <tableColumn id="1" xr3:uid="{5DFD31E0-6CE1-4344-B739-8E05F878C995}" name="Breadboard/Protoboard">
      <calculatedColumnFormula>OrganizedList!P1</calculatedColumnFormula>
    </tableColumn>
    <tableColumn id="2" xr3:uid="{2A80ABFA-2B61-4A7C-BC7B-68FC1EF6913C}" name="FALSE">
      <calculatedColumnFormula>OrganizedList!P1</calculatedColumnFormula>
    </tableColumn>
    <tableColumn id="3" xr3:uid="{9862BFB8-9E69-4E37-808A-6B1D2E022460}" name="Value=Breadboard/Protoboard"/>
    <tableColumn id="4" xr3:uid="{3F2F9D8C-DD44-4F75-A6B2-97EEB16BC456}" name="0">
      <calculatedColumnFormula>SplitAllFunc()</calculatedColumnFormula>
    </tableColumn>
  </tableColumns>
  <tableStyleInfo name="Home Inventory"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edian">
  <a:themeElements>
    <a:clrScheme name="Home Inventory">
      <a:dk1>
        <a:sysClr val="windowText" lastClr="000000"/>
      </a:dk1>
      <a:lt1>
        <a:sysClr val="window" lastClr="FFFFFF"/>
      </a:lt1>
      <a:dk2>
        <a:srgbClr val="4F998E"/>
      </a:dk2>
      <a:lt2>
        <a:srgbClr val="CCEBE8"/>
      </a:lt2>
      <a:accent1>
        <a:srgbClr val="CC3104"/>
      </a:accent1>
      <a:accent2>
        <a:srgbClr val="FF931E"/>
      </a:accent2>
      <a:accent3>
        <a:srgbClr val="E59881"/>
      </a:accent3>
      <a:accent4>
        <a:srgbClr val="A49B8D"/>
      </a:accent4>
      <a:accent5>
        <a:srgbClr val="A8AD6C"/>
      </a:accent5>
      <a:accent6>
        <a:srgbClr val="CC3104"/>
      </a:accent6>
      <a:hlink>
        <a:srgbClr val="FF931E"/>
      </a:hlink>
      <a:folHlink>
        <a:srgbClr val="FFC000"/>
      </a:folHlink>
    </a:clrScheme>
    <a:fontScheme name="Home Inventory">
      <a:majorFont>
        <a:latin typeface="Corbel"/>
        <a:ea typeface=""/>
        <a:cs typeface=""/>
      </a:majorFont>
      <a:minorFont>
        <a:latin typeface="Calibri"/>
        <a:ea typeface=""/>
        <a:cs typeface=""/>
      </a:minorFont>
    </a:fontScheme>
    <a:fmtScheme name="Median">
      <a:fillStyleLst>
        <a:solidFill>
          <a:schemeClr val="phClr"/>
        </a:solidFill>
        <a:solidFill>
          <a:schemeClr val="phClr">
            <a:tint val="50000"/>
          </a:schemeClr>
        </a:solidFill>
        <a:solidFill>
          <a:schemeClr val="phClr"/>
        </a:solidFill>
      </a:fillStyleLst>
      <a:lnStyleLst>
        <a:ln w="10000" cap="flat" cmpd="sng" algn="ctr">
          <a:solidFill>
            <a:schemeClr val="phClr"/>
          </a:solidFill>
          <a:prstDash val="solid"/>
        </a:ln>
        <a:ln w="19050" cap="flat" cmpd="sng" algn="ctr">
          <a:solidFill>
            <a:schemeClr val="phClr"/>
          </a:solidFill>
          <a:prstDash val="solid"/>
        </a:ln>
        <a:ln w="47625" cap="flat" cmpd="dbl" algn="ctr">
          <a:solidFill>
            <a:schemeClr val="phClr"/>
          </a:solidFill>
          <a:prstDash val="solid"/>
        </a:ln>
      </a:lnStyleLst>
      <a:effectStyleLst>
        <a:effectStyle>
          <a:effectLst>
            <a:outerShdw blurRad="38100" dist="30000" dir="5400000" rotWithShape="0">
              <a:srgbClr val="000000">
                <a:alpha val="45000"/>
              </a:srgbClr>
            </a:outerShdw>
          </a:effectLst>
        </a:effectStyle>
        <a:effectStyle>
          <a:effectLst>
            <a:outerShdw blurRad="38100" dist="30000" dir="5400000" rotWithShape="0">
              <a:srgbClr val="000000">
                <a:alpha val="45000"/>
              </a:srgbClr>
            </a:outerShdw>
          </a:effectLst>
        </a:effectStyle>
        <a:effectStyle>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hemeClr val="phClr"/>
            </a:contourClr>
          </a:sp3d>
        </a:effectStyle>
      </a:effectStyleLst>
      <a:bgFillStyleLst>
        <a:solidFill>
          <a:schemeClr val="phClr"/>
        </a:solidFill>
        <a:blipFill>
          <a:blip xmlns:r="http://schemas.openxmlformats.org/officeDocument/2006/relationships" r:embed="rId1">
            <a:duotone>
              <a:schemeClr val="phClr">
                <a:shade val="90000"/>
                <a:satMod val="140000"/>
              </a:schemeClr>
              <a:schemeClr val="phClr">
                <a:satMod val="120000"/>
              </a:schemeClr>
            </a:duotone>
          </a:blip>
          <a:tile tx="0" ty="0" sx="100000" sy="100000" flip="none" algn="tl"/>
        </a:blipFill>
        <a:blipFill>
          <a:blip xmlns:r="http://schemas.openxmlformats.org/officeDocument/2006/relationships" r:embed="rId2">
            <a:duotone>
              <a:schemeClr val="phClr">
                <a:shade val="90000"/>
                <a:satMod val="140000"/>
              </a:schemeClr>
              <a:schemeClr val="phClr">
                <a:satMod val="12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3.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0.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microsoft.com/office/2007/relationships/slicer" Target="../slicers/slicer3.xml"/><Relationship Id="rId4"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07/relationships/slicer" Target="../slicers/slicer5.xml"/><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hyperlink" Target="https://www.sparkfun.com/products/12009"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www.sparkfun.com/products/11697" TargetMode="External"/><Relationship Id="rId13" Type="http://schemas.openxmlformats.org/officeDocument/2006/relationships/hyperlink" Target="https://www.sparkfun.com/products/13968" TargetMode="External"/><Relationship Id="rId18" Type="http://schemas.openxmlformats.org/officeDocument/2006/relationships/hyperlink" Target="https://www.sparkfun.com/products/14343" TargetMode="External"/><Relationship Id="rId26" Type="http://schemas.openxmlformats.org/officeDocument/2006/relationships/hyperlink" Target="https://www.sparkfun.com/products/8674" TargetMode="External"/><Relationship Id="rId3" Type="http://schemas.openxmlformats.org/officeDocument/2006/relationships/hyperlink" Target="https://www.sparkfun.com/products/12711" TargetMode="External"/><Relationship Id="rId21" Type="http://schemas.openxmlformats.org/officeDocument/2006/relationships/hyperlink" Target="https://www.sparkfun.com/products/14111" TargetMode="External"/><Relationship Id="rId34" Type="http://schemas.openxmlformats.org/officeDocument/2006/relationships/drawing" Target="../drawings/drawing8.xml"/><Relationship Id="rId7" Type="http://schemas.openxmlformats.org/officeDocument/2006/relationships/hyperlink" Target="https://www.sparkfun.com/products/11373" TargetMode="External"/><Relationship Id="rId12" Type="http://schemas.openxmlformats.org/officeDocument/2006/relationships/hyperlink" Target="https://www.sparkfun.com/products/241" TargetMode="External"/><Relationship Id="rId17" Type="http://schemas.openxmlformats.org/officeDocument/2006/relationships/hyperlink" Target="https://www.sparkfun.com/products/12787" TargetMode="External"/><Relationship Id="rId25" Type="http://schemas.openxmlformats.org/officeDocument/2006/relationships/hyperlink" Target="https://www.sparkfun.com/products/9906" TargetMode="External"/><Relationship Id="rId33" Type="http://schemas.openxmlformats.org/officeDocument/2006/relationships/printerSettings" Target="../printerSettings/printerSettings8.bin"/><Relationship Id="rId2" Type="http://schemas.openxmlformats.org/officeDocument/2006/relationships/hyperlink" Target="https://www.sparkfun.com/products/13158" TargetMode="External"/><Relationship Id="rId16" Type="http://schemas.openxmlformats.org/officeDocument/2006/relationships/hyperlink" Target="https://www.sparkfun.com/products/13162" TargetMode="External"/><Relationship Id="rId20" Type="http://schemas.openxmlformats.org/officeDocument/2006/relationships/hyperlink" Target="https://www.sparkfun.com/products/9196" TargetMode="External"/><Relationship Id="rId29" Type="http://schemas.openxmlformats.org/officeDocument/2006/relationships/hyperlink" Target="https://www.sparkfun.com/products/12642" TargetMode="External"/><Relationship Id="rId1" Type="http://schemas.openxmlformats.org/officeDocument/2006/relationships/hyperlink" Target="https://www.sparkfun.com/products/11061" TargetMode="External"/><Relationship Id="rId6" Type="http://schemas.openxmlformats.org/officeDocument/2006/relationships/hyperlink" Target="https://www.sparkfun.com/products/13856" TargetMode="External"/><Relationship Id="rId11" Type="http://schemas.openxmlformats.org/officeDocument/2006/relationships/hyperlink" Target="https://www.sparkfun.com/products/246" TargetMode="External"/><Relationship Id="rId24" Type="http://schemas.openxmlformats.org/officeDocument/2006/relationships/hyperlink" Target="https://www.sparkfun.com/products/9637" TargetMode="External"/><Relationship Id="rId32" Type="http://schemas.openxmlformats.org/officeDocument/2006/relationships/hyperlink" Target="https://www.sparkfun.com/products/11145" TargetMode="External"/><Relationship Id="rId5" Type="http://schemas.openxmlformats.org/officeDocument/2006/relationships/hyperlink" Target="https://www.sparkfun.com/products/13777" TargetMode="External"/><Relationship Id="rId15" Type="http://schemas.openxmlformats.org/officeDocument/2006/relationships/hyperlink" Target="https://www.sparkfun.com/products/12785" TargetMode="External"/><Relationship Id="rId23" Type="http://schemas.openxmlformats.org/officeDocument/2006/relationships/hyperlink" Target="https://www.sparkfun.com/products/12661" TargetMode="External"/><Relationship Id="rId28" Type="http://schemas.openxmlformats.org/officeDocument/2006/relationships/hyperlink" Target="https://www.sparkfun.com/products/11711" TargetMode="External"/><Relationship Id="rId36" Type="http://schemas.microsoft.com/office/2007/relationships/slicer" Target="../slicers/slicer6.xml"/><Relationship Id="rId10" Type="http://schemas.openxmlformats.org/officeDocument/2006/relationships/hyperlink" Target="https://www.sparkfun.com/products/11601" TargetMode="External"/><Relationship Id="rId19" Type="http://schemas.openxmlformats.org/officeDocument/2006/relationships/hyperlink" Target="https://www.sparkfun.com/products/242" TargetMode="External"/><Relationship Id="rId31" Type="http://schemas.openxmlformats.org/officeDocument/2006/relationships/hyperlink" Target="https://www.sparkfun.com/products/9151" TargetMode="External"/><Relationship Id="rId4" Type="http://schemas.openxmlformats.org/officeDocument/2006/relationships/hyperlink" Target="https://www.sparkfun.com/products/13032" TargetMode="External"/><Relationship Id="rId9" Type="http://schemas.openxmlformats.org/officeDocument/2006/relationships/hyperlink" Target="https://www.sparkfun.com/products/9434" TargetMode="External"/><Relationship Id="rId14" Type="http://schemas.openxmlformats.org/officeDocument/2006/relationships/hyperlink" Target="https://www.sparkfun.com/products/13959" TargetMode="External"/><Relationship Id="rId22" Type="http://schemas.openxmlformats.org/officeDocument/2006/relationships/hyperlink" Target="https://www.sparkfun.com/products/13293" TargetMode="External"/><Relationship Id="rId27" Type="http://schemas.openxmlformats.org/officeDocument/2006/relationships/hyperlink" Target="https://www.sparkfun.com/products/13660" TargetMode="External"/><Relationship Id="rId30" Type="http://schemas.openxmlformats.org/officeDocument/2006/relationships/hyperlink" Target="https://www.sparkfun.com/products/14023" TargetMode="External"/><Relationship Id="rId35" Type="http://schemas.openxmlformats.org/officeDocument/2006/relationships/table" Target="../tables/table1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F6090-FFC3-4118-9140-8EEDC01FB4BB}">
  <sheetPr codeName="Sheet22">
    <tabColor rgb="FF1F4E49"/>
  </sheetPr>
  <dimension ref="B1:S627"/>
  <sheetViews>
    <sheetView topLeftCell="A9" zoomScale="40" zoomScaleNormal="40" workbookViewId="0">
      <selection activeCell="B40" sqref="B40:B622"/>
    </sheetView>
  </sheetViews>
  <sheetFormatPr defaultRowHeight="14.4" x14ac:dyDescent="0.3"/>
  <cols>
    <col min="1" max="1" width="3.88671875" customWidth="1"/>
    <col min="2" max="2" width="43.21875" bestFit="1" customWidth="1"/>
    <col min="3" max="3" width="44.109375" bestFit="1" customWidth="1"/>
    <col min="4" max="4" width="14.88671875" customWidth="1"/>
    <col min="5" max="5" width="68.6640625" customWidth="1"/>
    <col min="6" max="6" width="12" customWidth="1"/>
    <col min="7" max="7" width="9.109375" customWidth="1"/>
    <col min="8" max="8" width="14.109375" hidden="1" customWidth="1"/>
    <col min="9" max="9" width="13.33203125" style="58" bestFit="1" customWidth="1"/>
    <col min="10" max="10" width="12.109375" style="58" customWidth="1"/>
    <col min="11" max="11" width="0.21875" customWidth="1"/>
    <col min="12" max="12" width="0.44140625" hidden="1" customWidth="1"/>
    <col min="13" max="13" width="42.88671875" customWidth="1"/>
    <col min="14" max="14" width="13" customWidth="1"/>
    <col min="15" max="15" width="27.21875" customWidth="1"/>
    <col min="16" max="16" width="38" customWidth="1"/>
    <col min="17" max="17" width="21.33203125" customWidth="1"/>
    <col min="19" max="19" width="22.21875" customWidth="1"/>
  </cols>
  <sheetData>
    <row r="1" spans="2:19" ht="65.099999999999994" customHeight="1" thickBot="1" x14ac:dyDescent="0.35">
      <c r="B1" s="180" t="s">
        <v>994</v>
      </c>
      <c r="C1" s="180"/>
      <c r="D1" s="63"/>
      <c r="E1" s="59"/>
      <c r="F1" s="184" t="s">
        <v>1440</v>
      </c>
      <c r="G1" s="184"/>
      <c r="H1" s="184"/>
      <c r="I1" s="184"/>
      <c r="J1" s="184"/>
      <c r="K1" s="10"/>
      <c r="L1" s="3"/>
      <c r="M1" s="9"/>
      <c r="O1" s="3"/>
      <c r="P1" s="3"/>
      <c r="Q1" s="3"/>
      <c r="R1" s="3"/>
      <c r="S1" s="3"/>
    </row>
    <row r="2" spans="2:19" ht="30" customHeight="1" thickTop="1" thickBot="1" x14ac:dyDescent="0.35">
      <c r="B2" s="65" t="s">
        <v>891</v>
      </c>
      <c r="C2" s="62">
        <f>SUM(EquipmentTable[[#Totals],[Price]])</f>
        <v>4345.7699999999904</v>
      </c>
      <c r="D2" s="135"/>
      <c r="E2" s="59"/>
      <c r="F2" s="181" t="s">
        <v>20</v>
      </c>
      <c r="G2" s="182"/>
      <c r="H2" s="183"/>
      <c r="I2" s="185">
        <f ca="1">TODAY()</f>
        <v>43065</v>
      </c>
      <c r="J2" s="186"/>
      <c r="K2" s="10"/>
      <c r="L2" s="3"/>
    </row>
    <row r="3" spans="2:19" ht="49.8" customHeight="1" thickTop="1" x14ac:dyDescent="0.3">
      <c r="B3" s="3"/>
      <c r="C3" s="30"/>
      <c r="D3" s="30"/>
      <c r="E3" s="3"/>
      <c r="H3" s="3"/>
      <c r="I3"/>
      <c r="J3"/>
      <c r="K3" s="10"/>
      <c r="L3" s="3"/>
      <c r="M3" s="3"/>
    </row>
    <row r="37" spans="2:15" ht="15" thickBot="1" x14ac:dyDescent="0.35"/>
    <row r="38" spans="2:15" ht="7.8" customHeight="1" thickTop="1" x14ac:dyDescent="0.3">
      <c r="B38" s="36"/>
      <c r="C38" s="36"/>
      <c r="D38" s="36"/>
      <c r="E38" s="36"/>
      <c r="F38" s="36"/>
      <c r="G38" s="36"/>
      <c r="H38" s="36"/>
      <c r="I38" s="36"/>
      <c r="J38" s="36"/>
      <c r="K38" s="36"/>
      <c r="L38" s="36"/>
      <c r="M38" s="36"/>
    </row>
    <row r="39" spans="2:15" x14ac:dyDescent="0.3">
      <c r="B39" s="19" t="s">
        <v>2021</v>
      </c>
      <c r="C39" s="53" t="s">
        <v>23</v>
      </c>
      <c r="D39" s="53" t="s">
        <v>7</v>
      </c>
      <c r="E39" s="54" t="s">
        <v>22</v>
      </c>
      <c r="F39" s="54" t="s">
        <v>161</v>
      </c>
      <c r="G39" s="54" t="s">
        <v>6</v>
      </c>
      <c r="H39" s="54" t="s">
        <v>1211</v>
      </c>
      <c r="I39" s="55" t="s">
        <v>4</v>
      </c>
      <c r="J39" s="56" t="s">
        <v>5</v>
      </c>
      <c r="K39" s="54" t="s">
        <v>160</v>
      </c>
      <c r="L39" s="54" t="s">
        <v>24</v>
      </c>
      <c r="M39" s="54" t="s">
        <v>21</v>
      </c>
    </row>
    <row r="40" spans="2:15" ht="14.4" hidden="1" customHeight="1" x14ac:dyDescent="0.3">
      <c r="B40" s="50" t="str">
        <f>RawList!A4</f>
        <v>Primary Component</v>
      </c>
      <c r="C40" s="50" t="str">
        <f>RawList!B4</f>
        <v>Audible Notification/Queuing</v>
      </c>
      <c r="D40" s="50" t="str">
        <f>RawList!C4</f>
        <v>SparkFun</v>
      </c>
      <c r="E40" s="50" t="str">
        <f>RawList!H4</f>
        <v>WAV Trigger</v>
      </c>
      <c r="F40" s="50" t="str">
        <f>RawList!D4</f>
        <v>WIG-13660</v>
      </c>
      <c r="G40" s="137">
        <f>RawList!E4</f>
        <v>1</v>
      </c>
      <c r="H40" s="50" t="str">
        <f>IF(EquipmentTable[[#This Row],[Units]]&gt;0,"Quantity &gt; 0 Items","Quantity = 0 Items")</f>
        <v>Quantity &gt; 0 Items</v>
      </c>
      <c r="I40" s="141">
        <f>RawList!J4</f>
        <v>49.95</v>
      </c>
      <c r="J40" s="24">
        <f>VALUE(EquipmentTable[[#This Row],[Units]]*EquipmentTable[[#This Row],[Unit
 Price]])</f>
        <v>49.95</v>
      </c>
      <c r="K40" s="50" t="str">
        <f>RawList!G4</f>
        <v>https://cdn.sparkfun.com/r/92-92/assets/parts/1/1/0/7/3/12897-02.jpg</v>
      </c>
      <c r="L40" s="50"/>
      <c r="M40" s="50" t="str">
        <f>RawList!F4</f>
        <v>https://www.sparkfun.com/products/13660</v>
      </c>
      <c r="O40" s="3"/>
    </row>
    <row r="41" spans="2:15" ht="14.4" hidden="1" customHeight="1" x14ac:dyDescent="0.3">
      <c r="B41" s="50" t="str">
        <f>RawList!A5</f>
        <v>Primary Component</v>
      </c>
      <c r="C41" s="50" t="str">
        <f>RawList!B5</f>
        <v>Audible Notification/Queuing</v>
      </c>
      <c r="D41" s="50" t="str">
        <f>RawList!C5</f>
        <v>SparkFun</v>
      </c>
      <c r="E41" s="50" t="str">
        <f>RawList!H5</f>
        <v>Hamburger Mini Speaker</v>
      </c>
      <c r="F41" s="50" t="str">
        <f>RawList!D5</f>
        <v>COM-14023</v>
      </c>
      <c r="G41" s="137">
        <f>RawList!E5</f>
        <v>1</v>
      </c>
      <c r="H41" s="50" t="str">
        <f>IF(EquipmentTable[[#This Row],[Units]]&gt;0,"Quantity &gt; 0 Items","Quantity = 0 Items")</f>
        <v>Quantity &gt; 0 Items</v>
      </c>
      <c r="I41" s="141">
        <f>RawList!J5</f>
        <v>4.95</v>
      </c>
      <c r="J41" s="24">
        <f>VALUE(EquipmentTable[[#This Row],[Units]]*EquipmentTable[[#This Row],[Unit
 Price]])</f>
        <v>4.95</v>
      </c>
      <c r="K41" s="50" t="str">
        <f>RawList!G5</f>
        <v>https://cdn.sparkfun.com/r/92-92/assets/parts/1/1/8/3/1/14023-01.jpg</v>
      </c>
      <c r="L41" s="50"/>
      <c r="M41" s="50" t="str">
        <f>RawList!F5</f>
        <v>https://www.sparkfun.com/products/14023</v>
      </c>
      <c r="O41" s="3"/>
    </row>
    <row r="42" spans="2:15" ht="14.4" hidden="1" customHeight="1" x14ac:dyDescent="0.3">
      <c r="B42" s="50" t="str">
        <f>RawList!A6</f>
        <v>Primary Component</v>
      </c>
      <c r="C42" s="50" t="str">
        <f>RawList!B6</f>
        <v>Audible Notification/Queuing</v>
      </c>
      <c r="D42" s="50" t="str">
        <f>RawList!C6</f>
        <v>SparkFun</v>
      </c>
      <c r="E42" s="50" t="str">
        <f>RawList!H6</f>
        <v>Speaker - 0.5W (8 Ohm)</v>
      </c>
      <c r="F42" s="50" t="str">
        <f>RawList!D6</f>
        <v>COM-09151</v>
      </c>
      <c r="G42" s="137">
        <f>RawList!E6</f>
        <v>2</v>
      </c>
      <c r="H42" s="50" t="str">
        <f>IF(EquipmentTable[[#This Row],[Units]]&gt;0,"Quantity &gt; 0 Items","Quantity = 0 Items")</f>
        <v>Quantity &gt; 0 Items</v>
      </c>
      <c r="I42" s="141">
        <f>RawList!J6</f>
        <v>1.95</v>
      </c>
      <c r="J42" s="24">
        <f>VALUE(EquipmentTable[[#This Row],[Units]]*EquipmentTable[[#This Row],[Unit
 Price]])</f>
        <v>3.9</v>
      </c>
      <c r="K42" s="50" t="str">
        <f>RawList!G6</f>
        <v>https://cdn.sparkfun.com/r/92-92/assets/parts/2/5/7/0/09151-03-L.jpg</v>
      </c>
      <c r="L42" s="50"/>
      <c r="M42" s="50" t="str">
        <f>RawList!F6</f>
        <v>https://www.sparkfun.com/products/9151</v>
      </c>
    </row>
    <row r="43" spans="2:15" ht="14.4" hidden="1" customHeight="1" x14ac:dyDescent="0.3">
      <c r="B43" s="50" t="str">
        <f>RawList!A7</f>
        <v>Primary Component</v>
      </c>
      <c r="C43" s="50" t="str">
        <f>RawList!B7</f>
        <v>Audible Notification/Queuing</v>
      </c>
      <c r="D43" s="50" t="str">
        <f>RawList!C7</f>
        <v>SparkFun</v>
      </c>
      <c r="E43" s="50" t="str">
        <f>RawList!H7</f>
        <v>Speaker Terminal - 4 Spring</v>
      </c>
      <c r="F43" s="50" t="str">
        <f>RawList!D7</f>
        <v>COM-11145</v>
      </c>
      <c r="G43" s="137">
        <f>RawList!E7</f>
        <v>1</v>
      </c>
      <c r="H43" s="50" t="str">
        <f>IF(EquipmentTable[[#This Row],[Units]]&gt;0,"Quantity &gt; 0 Items","Quantity = 0 Items")</f>
        <v>Quantity &gt; 0 Items</v>
      </c>
      <c r="I43" s="141">
        <f>RawList!J7</f>
        <v>0.75</v>
      </c>
      <c r="J43" s="24">
        <f>VALUE(EquipmentTable[[#This Row],[Units]]*EquipmentTable[[#This Row],[Unit
 Price]])</f>
        <v>0.75</v>
      </c>
      <c r="K43" s="50" t="str">
        <f>RawList!G7</f>
        <v>https://cdn.sparkfun.com/r/92-92/assets/parts/6/6/0/6/11145-01.jpg</v>
      </c>
      <c r="L43" s="50"/>
      <c r="M43" s="50" t="str">
        <f>RawList!F7</f>
        <v>https://www.sparkfun.com/products/11145</v>
      </c>
    </row>
    <row r="44" spans="2:15" ht="14.4" hidden="1" customHeight="1" x14ac:dyDescent="0.3">
      <c r="B44" s="50" t="str">
        <f>RawList!A8</f>
        <v>Primary Component</v>
      </c>
      <c r="C44" s="50" t="str">
        <f>RawList!B8</f>
        <v>Audible Notification/Queuing</v>
      </c>
      <c r="D44" s="50" t="str">
        <f>RawList!C8</f>
        <v>SparkFun</v>
      </c>
      <c r="E44" s="50" t="str">
        <f>RawList!H8</f>
        <v>Vibration Motor</v>
      </c>
      <c r="F44" s="50" t="str">
        <f>RawList!D8</f>
        <v>ROB-08449</v>
      </c>
      <c r="G44" s="137">
        <f>RawList!E8</f>
        <v>2</v>
      </c>
      <c r="H44" s="50" t="str">
        <f>IF(EquipmentTable[[#This Row],[Units]]&gt;0,"Quantity &gt; 0 Items","Quantity = 0 Items")</f>
        <v>Quantity &gt; 0 Items</v>
      </c>
      <c r="I44" s="141">
        <f>RawList!J8</f>
        <v>4.95</v>
      </c>
      <c r="J44" s="24">
        <f>VALUE(EquipmentTable[[#This Row],[Units]]*EquipmentTable[[#This Row],[Unit
 Price]])</f>
        <v>9.9</v>
      </c>
      <c r="K44" s="50" t="str">
        <f>RawList!G8</f>
        <v>https://cdn.sparkfun.com/r/92-92/assets/parts/8/8/6/VibrationMotor-01-L.jpg</v>
      </c>
      <c r="L44" s="50"/>
      <c r="M44" s="50" t="str">
        <f>RawList!F8</f>
        <v>https://www.sparkfun.com/products/8449</v>
      </c>
    </row>
    <row r="45" spans="2:15" ht="14.4" hidden="1" customHeight="1" x14ac:dyDescent="0.3">
      <c r="B45" s="50" t="str">
        <f>RawList!A9</f>
        <v>Primary Component</v>
      </c>
      <c r="C45" s="50" t="str">
        <f>RawList!B9</f>
        <v>Audible Notification/Queuing</v>
      </c>
      <c r="D45" s="50" t="str">
        <f>RawList!C9</f>
        <v>SparkFun</v>
      </c>
      <c r="E45" s="50" t="str">
        <f>RawList!H9</f>
        <v>Text-to-Speech Module - Emic 2</v>
      </c>
      <c r="F45" s="50" t="str">
        <f>RawList!D9</f>
        <v>DEV-11711</v>
      </c>
      <c r="G45" s="137">
        <f>RawList!E9</f>
        <v>1</v>
      </c>
      <c r="H45" s="50" t="str">
        <f>IF(EquipmentTable[[#This Row],[Units]]&gt;0,"Quantity &gt; 0 Items","Quantity = 0 Items")</f>
        <v>Quantity &gt; 0 Items</v>
      </c>
      <c r="I45" s="141">
        <f>RawList!J9</f>
        <v>59.95</v>
      </c>
      <c r="J45" s="24">
        <f>VALUE(EquipmentTable[[#This Row],[Units]]*EquipmentTable[[#This Row],[Unit
 Price]])</f>
        <v>59.95</v>
      </c>
      <c r="K45" s="50" t="str">
        <f>RawList!G9</f>
        <v>https://cdn.sparkfun.com/r/92-92/assets/parts/7/8/9/4/11711-01.jpg</v>
      </c>
      <c r="L45" s="50"/>
      <c r="M45" s="50" t="str">
        <f>RawList!F9</f>
        <v>https://www.sparkfun.com/products/11711</v>
      </c>
    </row>
    <row r="46" spans="2:15" ht="14.4" hidden="1" customHeight="1" x14ac:dyDescent="0.3">
      <c r="B46" s="50" t="str">
        <f>RawList!A10</f>
        <v>Primary Component</v>
      </c>
      <c r="C46" s="50" t="str">
        <f>RawList!B10</f>
        <v>Audible Notification/Queuing</v>
      </c>
      <c r="D46" s="50" t="str">
        <f>RawList!C10</f>
        <v>SparkFun</v>
      </c>
      <c r="E46" s="50" t="str">
        <f>RawList!H10</f>
        <v>SparkFun MEMS Microphone Breakout - INMP401 (ADMP401)</v>
      </c>
      <c r="F46" s="50" t="str">
        <f>RawList!D10</f>
        <v>BOB-09868</v>
      </c>
      <c r="G46" s="137">
        <f>RawList!E10</f>
        <v>1</v>
      </c>
      <c r="H46" s="50" t="str">
        <f>IF(EquipmentTable[[#This Row],[Units]]&gt;0,"Quantity &gt; 0 Items","Quantity = 0 Items")</f>
        <v>Quantity &gt; 0 Items</v>
      </c>
      <c r="I46" s="141">
        <f>RawList!J10</f>
        <v>9.9499999999999993</v>
      </c>
      <c r="J46" s="24">
        <f>VALUE(EquipmentTable[[#This Row],[Units]]*EquipmentTable[[#This Row],[Unit
 Price]])</f>
        <v>9.9499999999999993</v>
      </c>
      <c r="K46" s="50" t="str">
        <f>RawList!G10</f>
        <v>https://cdn.sparkfun.com/r/92-92/assets/parts/3/9/5/1/09868-01a.jpg</v>
      </c>
      <c r="L46" s="50"/>
      <c r="M46" s="50" t="str">
        <f>RawList!F10</f>
        <v>https://www.sparkfun.com/products/9868</v>
      </c>
    </row>
    <row r="47" spans="2:15" ht="14.4" hidden="1" customHeight="1" x14ac:dyDescent="0.3">
      <c r="B47" s="50" t="str">
        <f>RawList!A11</f>
        <v>Primary Component</v>
      </c>
      <c r="C47" s="50" t="str">
        <f>RawList!B11</f>
        <v>Audible Notification/Queuing</v>
      </c>
      <c r="D47" s="50" t="str">
        <f>RawList!C11</f>
        <v>SparkFun</v>
      </c>
      <c r="E47" s="50" t="str">
        <f>RawList!H11</f>
        <v>Electret Microphone</v>
      </c>
      <c r="F47" s="50" t="str">
        <f>RawList!D11</f>
        <v>COM-08635</v>
      </c>
      <c r="G47" s="137">
        <f>RawList!E11</f>
        <v>1</v>
      </c>
      <c r="H47" s="50" t="str">
        <f>IF(EquipmentTable[[#This Row],[Units]]&gt;0,"Quantity &gt; 0 Items","Quantity = 0 Items")</f>
        <v>Quantity &gt; 0 Items</v>
      </c>
      <c r="I47" s="141">
        <f>RawList!J11</f>
        <v>0.95</v>
      </c>
      <c r="J47" s="24">
        <f>VALUE(EquipmentTable[[#This Row],[Units]]*EquipmentTable[[#This Row],[Unit
 Price]])</f>
        <v>0.95</v>
      </c>
      <c r="K47" s="50" t="str">
        <f>RawList!G11</f>
        <v>https://cdn.sparkfun.com/r/92-92/assets/parts/1/7/6/9/08635-03-L.jpg</v>
      </c>
      <c r="L47" s="50"/>
      <c r="M47" s="50" t="str">
        <f>RawList!F11</f>
        <v>https://www.sparkfun.com/products/8635</v>
      </c>
    </row>
    <row r="48" spans="2:15" ht="14.4" hidden="1" customHeight="1" x14ac:dyDescent="0.3">
      <c r="B48" s="50" t="str">
        <f>RawList!A12</f>
        <v>Primary Component</v>
      </c>
      <c r="C48" s="50" t="str">
        <f>RawList!B12</f>
        <v>Audible Notification/Queuing</v>
      </c>
      <c r="D48" s="50" t="str">
        <f>RawList!C12</f>
        <v>SparkFun</v>
      </c>
      <c r="E48" s="50" t="str">
        <f>RawList!H12</f>
        <v>SparkFun Electret Microphone Breakout</v>
      </c>
      <c r="F48" s="50" t="str">
        <f>RawList!D12</f>
        <v>BOB-12758</v>
      </c>
      <c r="G48" s="137">
        <f>RawList!E12</f>
        <v>1</v>
      </c>
      <c r="H48" s="50" t="str">
        <f>IF(EquipmentTable[[#This Row],[Units]]&gt;0,"Quantity &gt; 0 Items","Quantity = 0 Items")</f>
        <v>Quantity &gt; 0 Items</v>
      </c>
      <c r="I48" s="141">
        <f>RawList!J12</f>
        <v>5.95</v>
      </c>
      <c r="J48" s="24">
        <f>VALUE(EquipmentTable[[#This Row],[Units]]*EquipmentTable[[#This Row],[Unit
 Price]])</f>
        <v>5.95</v>
      </c>
      <c r="K48" s="50" t="str">
        <f>RawList!G12</f>
        <v>https://cdn.sparkfun.com/r/92-92/assets/parts/9/5/2/0/12758-02.jpg</v>
      </c>
      <c r="L48" s="50"/>
      <c r="M48" s="50" t="str">
        <f>RawList!F12</f>
        <v>https://www.sparkfun.com/products/12758</v>
      </c>
    </row>
    <row r="49" spans="2:13" ht="14.4" hidden="1" customHeight="1" x14ac:dyDescent="0.3">
      <c r="B49" s="50" t="str">
        <f>RawList!A13</f>
        <v>Primary Component</v>
      </c>
      <c r="C49" s="50" t="str">
        <f>RawList!B13</f>
        <v>Audible Notification/Queuing</v>
      </c>
      <c r="D49" s="50" t="str">
        <f>RawList!C13</f>
        <v>SparkFun</v>
      </c>
      <c r="E49" s="50" t="str">
        <f>RawList!H13</f>
        <v>SparkFun Sound Detector</v>
      </c>
      <c r="F49" s="50" t="str">
        <f>RawList!D13</f>
        <v>SEN-12642</v>
      </c>
      <c r="G49" s="137">
        <f>RawList!E13</f>
        <v>0</v>
      </c>
      <c r="H49" s="50" t="str">
        <f>IF(EquipmentTable[[#This Row],[Units]]&gt;0,"Quantity &gt; 0 Items","Quantity = 0 Items")</f>
        <v>Quantity = 0 Items</v>
      </c>
      <c r="I49" s="141">
        <f>RawList!J13</f>
        <v>10.95</v>
      </c>
      <c r="J49" s="24">
        <f>VALUE(EquipmentTable[[#This Row],[Units]]*EquipmentTable[[#This Row],[Unit
 Price]])</f>
        <v>0</v>
      </c>
      <c r="K49" s="50" t="str">
        <f>RawList!G13</f>
        <v>https://cdn.sparkfun.com/r/92-92/assets/parts/9/3/3/0/12642-01.jpg</v>
      </c>
      <c r="L49" s="50"/>
      <c r="M49" s="50" t="str">
        <f>RawList!F13</f>
        <v>https://www.sparkfun.com/products/12642</v>
      </c>
    </row>
    <row r="50" spans="2:13" ht="14.4" hidden="1" customHeight="1" x14ac:dyDescent="0.3">
      <c r="B50" s="50" t="str">
        <f>RawList!A14</f>
        <v>Primary Component</v>
      </c>
      <c r="C50" s="50" t="str">
        <f>RawList!B14</f>
        <v>Audible Notification/Queuing</v>
      </c>
      <c r="D50" s="50" t="str">
        <f>RawList!C14</f>
        <v>Adafruit</v>
      </c>
      <c r="E50" s="50" t="str">
        <f>RawList!H14</f>
        <v xml:space="preserve">Adafruit Wave Shield for Arduino Kit - v1.1 </v>
      </c>
      <c r="F50" s="50" t="str">
        <f>RawList!D14</f>
        <v>94</v>
      </c>
      <c r="G50" s="137">
        <f>RawList!E14</f>
        <v>0</v>
      </c>
      <c r="H50" s="50" t="str">
        <f>IF(EquipmentTable[[#This Row],[Units]]&gt;0,"Quantity &gt; 0 Items","Quantity = 0 Items")</f>
        <v>Quantity = 0 Items</v>
      </c>
      <c r="I50" s="141">
        <f>RawList!J14</f>
        <v>22</v>
      </c>
      <c r="J50" s="24">
        <f>VALUE(EquipmentTable[[#This Row],[Units]]*EquipmentTable[[#This Row],[Unit
 Price]])</f>
        <v>0</v>
      </c>
      <c r="K50" s="50">
        <f>RawList!G14</f>
        <v>0</v>
      </c>
      <c r="L50" s="50"/>
      <c r="M50" s="50">
        <f>RawList!F14</f>
        <v>0</v>
      </c>
    </row>
    <row r="51" spans="2:13" ht="14.4" hidden="1" customHeight="1" x14ac:dyDescent="0.3">
      <c r="B51" s="50" t="str">
        <f>RawList!A15</f>
        <v>Primary Component</v>
      </c>
      <c r="C51" s="50" t="str">
        <f>RawList!B15</f>
        <v>Audible Notification/Queuing</v>
      </c>
      <c r="D51" s="50" t="str">
        <f>RawList!C15</f>
        <v>Adafruit</v>
      </c>
      <c r="E51" s="50" t="str">
        <f>RawList!H15</f>
        <v xml:space="preserve">Mini External USB Stereo Speaker </v>
      </c>
      <c r="F51" s="50" t="str">
        <f>RawList!D15</f>
        <v>3369</v>
      </c>
      <c r="G51" s="137">
        <f>RawList!E15</f>
        <v>0</v>
      </c>
      <c r="H51" s="50" t="str">
        <f>IF(EquipmentTable[[#This Row],[Units]]&gt;0,"Quantity &gt; 0 Items","Quantity = 0 Items")</f>
        <v>Quantity = 0 Items</v>
      </c>
      <c r="I51" s="141">
        <f>RawList!J15</f>
        <v>12.5</v>
      </c>
      <c r="J51" s="24">
        <f>VALUE(EquipmentTable[[#This Row],[Units]]*EquipmentTable[[#This Row],[Unit
 Price]])</f>
        <v>0</v>
      </c>
      <c r="K51" s="50">
        <f>RawList!G15</f>
        <v>0</v>
      </c>
      <c r="L51" s="50"/>
      <c r="M51" s="50">
        <f>RawList!F15</f>
        <v>0</v>
      </c>
    </row>
    <row r="52" spans="2:13" ht="14.4" hidden="1" customHeight="1" x14ac:dyDescent="0.3">
      <c r="B52" s="50" t="str">
        <f>RawList!A16</f>
        <v>Primary Component</v>
      </c>
      <c r="C52" s="50" t="str">
        <f>RawList!B16</f>
        <v>Audible Notification/Queuing</v>
      </c>
      <c r="D52" s="50" t="str">
        <f>RawList!C16</f>
        <v>Adafruit</v>
      </c>
      <c r="E52" s="50" t="str">
        <f>RawList!H16</f>
        <v xml:space="preserve">Mini USB Microphone </v>
      </c>
      <c r="F52" s="50" t="str">
        <f>RawList!D16</f>
        <v>3367</v>
      </c>
      <c r="G52" s="137">
        <f>RawList!E16</f>
        <v>0</v>
      </c>
      <c r="H52" s="50" t="str">
        <f>IF(EquipmentTable[[#This Row],[Units]]&gt;0,"Quantity &gt; 0 Items","Quantity = 0 Items")</f>
        <v>Quantity = 0 Items</v>
      </c>
      <c r="I52" s="141">
        <f>RawList!J16</f>
        <v>5.95</v>
      </c>
      <c r="J52" s="24">
        <f>VALUE(EquipmentTable[[#This Row],[Units]]*EquipmentTable[[#This Row],[Unit
 Price]])</f>
        <v>0</v>
      </c>
      <c r="K52" s="50">
        <f>RawList!G16</f>
        <v>0</v>
      </c>
      <c r="L52" s="50"/>
      <c r="M52" s="50">
        <f>RawList!F16</f>
        <v>0</v>
      </c>
    </row>
    <row r="53" spans="2:13" ht="14.4" hidden="1" customHeight="1" x14ac:dyDescent="0.3">
      <c r="B53" s="50" t="str">
        <f>RawList!A17</f>
        <v>Primary Component</v>
      </c>
      <c r="C53" s="50" t="str">
        <f>RawList!B17</f>
        <v>Audible Notification/Queuing</v>
      </c>
      <c r="D53" s="50" t="str">
        <f>RawList!C17</f>
        <v>Adafruit</v>
      </c>
      <c r="E53" s="50" t="str">
        <f>RawList!H17</f>
        <v xml:space="preserve">Mono Enclosed Speaker - 3W 4 Ohm </v>
      </c>
      <c r="F53" s="50" t="str">
        <f>RawList!D17</f>
        <v>3351</v>
      </c>
      <c r="G53" s="137">
        <f>RawList!E17</f>
        <v>0</v>
      </c>
      <c r="H53" s="50" t="str">
        <f>IF(EquipmentTable[[#This Row],[Units]]&gt;0,"Quantity &gt; 0 Items","Quantity = 0 Items")</f>
        <v>Quantity = 0 Items</v>
      </c>
      <c r="I53" s="141">
        <f>RawList!J17</f>
        <v>3.95</v>
      </c>
      <c r="J53" s="24">
        <f>VALUE(EquipmentTable[[#This Row],[Units]]*EquipmentTable[[#This Row],[Unit
 Price]])</f>
        <v>0</v>
      </c>
      <c r="K53" s="50">
        <f>RawList!G17</f>
        <v>0</v>
      </c>
      <c r="L53" s="50"/>
      <c r="M53" s="50">
        <f>RawList!F17</f>
        <v>0</v>
      </c>
    </row>
    <row r="54" spans="2:13" ht="14.4" hidden="1" customHeight="1" x14ac:dyDescent="0.3">
      <c r="B54" s="50" t="str">
        <f>RawList!A18</f>
        <v>Primary Component</v>
      </c>
      <c r="C54" s="50" t="str">
        <f>RawList!B18</f>
        <v>Audible Notification/Queuing</v>
      </c>
      <c r="D54" s="50" t="str">
        <f>RawList!C18</f>
        <v>Adafruit</v>
      </c>
      <c r="E54" s="50" t="str">
        <f>RawList!H18</f>
        <v xml:space="preserve">Speaker - 3" Diameter - 4 Ohm 3 Watt </v>
      </c>
      <c r="F54" s="50" t="str">
        <f>RawList!D18</f>
        <v>1314</v>
      </c>
      <c r="G54" s="137">
        <f>RawList!E18</f>
        <v>0</v>
      </c>
      <c r="H54" s="50" t="str">
        <f>IF(EquipmentTable[[#This Row],[Units]]&gt;0,"Quantity &gt; 0 Items","Quantity = 0 Items")</f>
        <v>Quantity = 0 Items</v>
      </c>
      <c r="I54" s="141">
        <f>RawList!J18</f>
        <v>1.95</v>
      </c>
      <c r="J54" s="24">
        <f>VALUE(EquipmentTable[[#This Row],[Units]]*EquipmentTable[[#This Row],[Unit
 Price]])</f>
        <v>0</v>
      </c>
      <c r="K54" s="50">
        <f>RawList!G18</f>
        <v>0</v>
      </c>
      <c r="L54" s="50"/>
      <c r="M54" s="50">
        <f>RawList!F18</f>
        <v>0</v>
      </c>
    </row>
    <row r="55" spans="2:13" ht="14.4" hidden="1" customHeight="1" x14ac:dyDescent="0.3">
      <c r="B55" s="50" t="str">
        <f>RawList!A19</f>
        <v>Primary Component</v>
      </c>
      <c r="C55" s="50" t="str">
        <f>RawList!B19</f>
        <v>Audible Notification/Queuing</v>
      </c>
      <c r="D55" s="50" t="str">
        <f>RawList!C19</f>
        <v>Adafruit</v>
      </c>
      <c r="E55" s="50" t="str">
        <f>RawList!H19</f>
        <v xml:space="preserve">Speaker - 3" Diameter - 8 Ohm 1 Watt </v>
      </c>
      <c r="F55" s="50" t="str">
        <f>RawList!D19</f>
        <v>1313</v>
      </c>
      <c r="G55" s="137">
        <f>RawList!E19</f>
        <v>0</v>
      </c>
      <c r="H55" s="50" t="str">
        <f>IF(EquipmentTable[[#This Row],[Units]]&gt;0,"Quantity &gt; 0 Items","Quantity = 0 Items")</f>
        <v>Quantity = 0 Items</v>
      </c>
      <c r="I55" s="141">
        <f>RawList!J19</f>
        <v>1.95</v>
      </c>
      <c r="J55" s="24">
        <f>VALUE(EquipmentTable[[#This Row],[Units]]*EquipmentTable[[#This Row],[Unit
 Price]])</f>
        <v>0</v>
      </c>
      <c r="K55" s="50">
        <f>RawList!G19</f>
        <v>0</v>
      </c>
      <c r="L55" s="50"/>
      <c r="M55" s="50">
        <f>RawList!F19</f>
        <v>0</v>
      </c>
    </row>
    <row r="56" spans="2:13" ht="14.4" hidden="1" customHeight="1" x14ac:dyDescent="0.3">
      <c r="B56" s="50" t="str">
        <f>RawList!A20</f>
        <v>Primary Component</v>
      </c>
      <c r="C56" s="50" t="str">
        <f>RawList!B20</f>
        <v>Audible Notification/Queuing</v>
      </c>
      <c r="D56" s="50" t="str">
        <f>RawList!C20</f>
        <v>Adafruit</v>
      </c>
      <c r="E56" s="50" t="str">
        <f>RawList!H20</f>
        <v xml:space="preserve">Stereo Enclosed Speaker Set - 3W 4 Ohm </v>
      </c>
      <c r="F56" s="50" t="str">
        <f>RawList!D20</f>
        <v>1669</v>
      </c>
      <c r="G56" s="137">
        <f>RawList!E20</f>
        <v>0</v>
      </c>
      <c r="H56" s="50" t="str">
        <f>IF(EquipmentTable[[#This Row],[Units]]&gt;0,"Quantity &gt; 0 Items","Quantity = 0 Items")</f>
        <v>Quantity = 0 Items</v>
      </c>
      <c r="I56" s="141">
        <f>RawList!J20</f>
        <v>7.5</v>
      </c>
      <c r="J56" s="24">
        <f>VALUE(EquipmentTable[[#This Row],[Units]]*EquipmentTable[[#This Row],[Unit
 Price]])</f>
        <v>0</v>
      </c>
      <c r="K56" s="50">
        <f>RawList!G20</f>
        <v>0</v>
      </c>
      <c r="L56" s="50"/>
      <c r="M56" s="50">
        <f>RawList!F20</f>
        <v>0</v>
      </c>
    </row>
    <row r="57" spans="2:13" ht="14.4" hidden="1" customHeight="1" x14ac:dyDescent="0.3">
      <c r="B57" s="50" t="str">
        <f>RawList!A21</f>
        <v>Primary Component</v>
      </c>
      <c r="C57" s="50" t="str">
        <f>RawList!B21</f>
        <v>Audible Notification/Queuing</v>
      </c>
      <c r="D57" s="50" t="str">
        <f>RawList!C21</f>
        <v>Adafruit</v>
      </c>
      <c r="E57" s="50" t="str">
        <f>RawList!H21</f>
        <v xml:space="preserve">USB Powered Speakers </v>
      </c>
      <c r="F57" s="50" t="str">
        <f>RawList!D21</f>
        <v>1363</v>
      </c>
      <c r="G57" s="137">
        <f>RawList!E21</f>
        <v>0</v>
      </c>
      <c r="H57" s="50" t="str">
        <f>IF(EquipmentTable[[#This Row],[Units]]&gt;0,"Quantity &gt; 0 Items","Quantity = 0 Items")</f>
        <v>Quantity = 0 Items</v>
      </c>
      <c r="I57" s="141">
        <f>RawList!J21</f>
        <v>9.9499999999999993</v>
      </c>
      <c r="J57" s="24">
        <f>VALUE(EquipmentTable[[#This Row],[Units]]*EquipmentTable[[#This Row],[Unit
 Price]])</f>
        <v>0</v>
      </c>
      <c r="K57" s="50">
        <f>RawList!G21</f>
        <v>0</v>
      </c>
      <c r="L57" s="50"/>
      <c r="M57" s="50">
        <f>RawList!F21</f>
        <v>0</v>
      </c>
    </row>
    <row r="58" spans="2:13" ht="14.4" customHeight="1" x14ac:dyDescent="0.3">
      <c r="B58" s="50" t="str">
        <f>RawList!A22</f>
        <v>Primary Component</v>
      </c>
      <c r="C58" s="50" t="str">
        <f>RawList!B22</f>
        <v>Bluetooth</v>
      </c>
      <c r="D58" s="50" t="str">
        <f>RawList!C22</f>
        <v>SparkFun</v>
      </c>
      <c r="E58" s="50" t="str">
        <f>RawList!H22</f>
        <v>SparkFun XBee Explorer Regulated</v>
      </c>
      <c r="F58" s="50" t="str">
        <f>RawList!D22</f>
        <v>WRL-11373</v>
      </c>
      <c r="G58" s="137">
        <f>RawList!E22</f>
        <v>5</v>
      </c>
      <c r="H58" s="50" t="str">
        <f>IF(EquipmentTable[[#This Row],[Units]]&gt;0,"Quantity &gt; 0 Items","Quantity = 0 Items")</f>
        <v>Quantity &gt; 0 Items</v>
      </c>
      <c r="I58" s="141">
        <f>RawList!J22</f>
        <v>9.9499999999999993</v>
      </c>
      <c r="J58" s="24">
        <f>VALUE(EquipmentTable[[#This Row],[Units]]*EquipmentTable[[#This Row],[Unit
 Price]])</f>
        <v>49.75</v>
      </c>
      <c r="K58" s="50" t="str">
        <f>RawList!G22</f>
        <v>https://cdn.sparkfun.com/r/92-92/assets/parts/7/1/1/5/11373-01.jpg</v>
      </c>
      <c r="L58" s="50"/>
      <c r="M58" s="50" t="str">
        <f>RawList!F22</f>
        <v>https://www.sparkfun.com/products/11373</v>
      </c>
    </row>
    <row r="59" spans="2:13" ht="14.4" customHeight="1" x14ac:dyDescent="0.3">
      <c r="B59" s="50" t="str">
        <f>RawList!A23</f>
        <v>Primary Component</v>
      </c>
      <c r="C59" s="50" t="str">
        <f>RawList!B23</f>
        <v>Bluetooth</v>
      </c>
      <c r="D59" s="50" t="str">
        <f>RawList!C23</f>
        <v>SparkFun</v>
      </c>
      <c r="E59" s="50" t="str">
        <f>RawList!H23</f>
        <v>SparkFun XBee Explorer Dongle</v>
      </c>
      <c r="F59" s="50" t="str">
        <f>RawList!D23</f>
        <v>WRL-11697</v>
      </c>
      <c r="G59" s="137">
        <f>RawList!E23</f>
        <v>5</v>
      </c>
      <c r="H59" s="50" t="str">
        <f>IF(EquipmentTable[[#This Row],[Units]]&gt;0,"Quantity &gt; 0 Items","Quantity = 0 Items")</f>
        <v>Quantity &gt; 0 Items</v>
      </c>
      <c r="I59" s="141">
        <f>RawList!J23</f>
        <v>24.95</v>
      </c>
      <c r="J59" s="24">
        <f>VALUE(EquipmentTable[[#This Row],[Units]]*EquipmentTable[[#This Row],[Unit
 Price]])</f>
        <v>124.75</v>
      </c>
      <c r="K59" s="50" t="str">
        <f>RawList!G23</f>
        <v>https://cdn.sparkfun.com/r/92-92/assets/parts/7/8/6/5/11697-01b.jpg</v>
      </c>
      <c r="L59" s="50"/>
      <c r="M59" s="50" t="str">
        <f>RawList!F23</f>
        <v>https://www.sparkfun.com/products/11697</v>
      </c>
    </row>
    <row r="60" spans="2:13" ht="14.4" customHeight="1" x14ac:dyDescent="0.3">
      <c r="B60" s="50" t="str">
        <f>RawList!A24</f>
        <v>Primary Component</v>
      </c>
      <c r="C60" s="50" t="str">
        <f>RawList!B24</f>
        <v>Bluetooth</v>
      </c>
      <c r="D60" s="50" t="str">
        <f>RawList!C24</f>
        <v>SparkFun</v>
      </c>
      <c r="E60" s="50" t="str">
        <f>RawList!H24</f>
        <v>Bluetooth USB Module Mini</v>
      </c>
      <c r="F60" s="50" t="str">
        <f>RawList!D24</f>
        <v>WRL-09434</v>
      </c>
      <c r="G60" s="137">
        <f>RawList!E24</f>
        <v>5</v>
      </c>
      <c r="H60" s="50" t="str">
        <f>IF(EquipmentTable[[#This Row],[Units]]&gt;0,"Quantity &gt; 0 Items","Quantity = 0 Items")</f>
        <v>Quantity &gt; 0 Items</v>
      </c>
      <c r="I60" s="141">
        <f>RawList!J24</f>
        <v>10.95</v>
      </c>
      <c r="J60" s="24">
        <f>VALUE(EquipmentTable[[#This Row],[Units]]*EquipmentTable[[#This Row],[Unit
 Price]])</f>
        <v>54.75</v>
      </c>
      <c r="K60" s="50" t="str">
        <f>RawList!G24</f>
        <v>https://cdn.sparkfun.com/r/92-92/assets/parts/3/1/0/7/09434-03.jpg</v>
      </c>
      <c r="L60" s="50"/>
      <c r="M60" s="50" t="str">
        <f>RawList!F24</f>
        <v>https://www.sparkfun.com/products/9434</v>
      </c>
    </row>
    <row r="61" spans="2:13" ht="14.4" customHeight="1" x14ac:dyDescent="0.3">
      <c r="B61" s="50" t="str">
        <f>RawList!A25</f>
        <v>Primary Component</v>
      </c>
      <c r="C61" s="50" t="str">
        <f>RawList!B25</f>
        <v>Bluetooth</v>
      </c>
      <c r="D61" s="50" t="str">
        <f>RawList!C25</f>
        <v>SparkFun</v>
      </c>
      <c r="E61" s="50" t="str">
        <f>RawList!H25</f>
        <v>RN42-XV Bluetooth Module - PCB Antenna</v>
      </c>
      <c r="F61" s="50" t="str">
        <f>RawList!D25</f>
        <v>WRL-11601</v>
      </c>
      <c r="G61" s="137">
        <f>RawList!E25</f>
        <v>10</v>
      </c>
      <c r="H61" s="50" t="str">
        <f>IF(EquipmentTable[[#This Row],[Units]]&gt;0,"Quantity &gt; 0 Items","Quantity = 0 Items")</f>
        <v>Quantity &gt; 0 Items</v>
      </c>
      <c r="I61" s="141">
        <f>RawList!J25</f>
        <v>24.95</v>
      </c>
      <c r="J61" s="24">
        <f>VALUE(EquipmentTable[[#This Row],[Units]]*EquipmentTable[[#This Row],[Unit
 Price]])</f>
        <v>249.5</v>
      </c>
      <c r="K61" s="50" t="str">
        <f>RawList!G25</f>
        <v>https://cdn.sparkfun.com/r/92-92/assets/parts/7/6/1/7/11601-01.jpg</v>
      </c>
      <c r="L61" s="50"/>
      <c r="M61" s="50" t="str">
        <f>RawList!F25</f>
        <v>https://www.sparkfun.com/products/11601</v>
      </c>
    </row>
    <row r="62" spans="2:13" x14ac:dyDescent="0.3">
      <c r="B62" s="50" t="str">
        <f>RawList!A26</f>
        <v>Primary Component</v>
      </c>
      <c r="C62" s="50" t="str">
        <f>RawList!B26</f>
        <v>Data &amp; Signal Logging/Monitoring</v>
      </c>
      <c r="D62" s="50" t="str">
        <f>RawList!C26</f>
        <v>SparkFun</v>
      </c>
      <c r="E62" s="50" t="str">
        <f>RawList!H26</f>
        <v>SparkFun Logomatic v2 - Serial SD Datalogger (FAT32)</v>
      </c>
      <c r="F62" s="50" t="str">
        <f>RawList!D26</f>
        <v>WIG-12772</v>
      </c>
      <c r="G62" s="137">
        <f>RawList!E26</f>
        <v>1</v>
      </c>
      <c r="H62" s="50" t="str">
        <f>IF(EquipmentTable[[#This Row],[Units]]&gt;0,"Quantity &gt; 0 Items","Quantity = 0 Items")</f>
        <v>Quantity &gt; 0 Items</v>
      </c>
      <c r="I62" s="141">
        <f>RawList!J26</f>
        <v>54.95</v>
      </c>
      <c r="J62" s="24">
        <f>VALUE(EquipmentTable[[#This Row],[Units]]*EquipmentTable[[#This Row],[Unit
 Price]])</f>
        <v>54.95</v>
      </c>
      <c r="K62" s="50" t="str">
        <f>RawList!G26</f>
        <v>https://cdn.sparkfun.com/r/92-92/assets/parts/9/5/4/5/12772-01.jpg</v>
      </c>
      <c r="L62" s="50"/>
      <c r="M62" s="50" t="str">
        <f>RawList!F26</f>
        <v>https://www.sparkfun.com/products/12772</v>
      </c>
    </row>
    <row r="63" spans="2:13" x14ac:dyDescent="0.3">
      <c r="B63" s="50" t="str">
        <f>RawList!A27</f>
        <v>Primary Component</v>
      </c>
      <c r="C63" s="50" t="str">
        <f>RawList!B27</f>
        <v>Data &amp; Signal Logging/Monitoring</v>
      </c>
      <c r="D63" s="50" t="str">
        <f>RawList!C27</f>
        <v>SparkFun</v>
      </c>
      <c r="E63" s="50" t="str">
        <f>RawList!H27</f>
        <v>SparkFun OpenLog</v>
      </c>
      <c r="F63" s="50" t="str">
        <f>RawList!D27</f>
        <v>DEV-13712</v>
      </c>
      <c r="G63" s="137">
        <f>RawList!E27</f>
        <v>1</v>
      </c>
      <c r="H63" s="50" t="str">
        <f>IF(EquipmentTable[[#This Row],[Units]]&gt;0,"Quantity &gt; 0 Items","Quantity = 0 Items")</f>
        <v>Quantity &gt; 0 Items</v>
      </c>
      <c r="I63" s="141">
        <f>RawList!J27</f>
        <v>14.95</v>
      </c>
      <c r="J63" s="24">
        <f>VALUE(EquipmentTable[[#This Row],[Units]]*EquipmentTable[[#This Row],[Unit
 Price]])</f>
        <v>14.95</v>
      </c>
      <c r="K63" s="50" t="str">
        <f>RawList!G27</f>
        <v>https://cdn.sparkfun.com/r/92-92/assets/parts/1/1/2/0/2/13712-01a.jpg</v>
      </c>
      <c r="L63" s="50"/>
      <c r="M63" s="50" t="str">
        <f>RawList!F27</f>
        <v>https://www.sparkfun.com/products/13712</v>
      </c>
    </row>
    <row r="64" spans="2:13" x14ac:dyDescent="0.3">
      <c r="B64" s="50" t="str">
        <f>RawList!A28</f>
        <v>Primary Component</v>
      </c>
      <c r="C64" s="50" t="str">
        <f>RawList!B28</f>
        <v>Data &amp; Signal Logging/Monitoring</v>
      </c>
      <c r="D64" s="50" t="str">
        <f>RawList!C28</f>
        <v>SparkFun</v>
      </c>
      <c r="E64" s="50" t="str">
        <f>RawList!H28</f>
        <v>SparkFun microSD Shield</v>
      </c>
      <c r="F64" s="50" t="str">
        <f>RawList!D28</f>
        <v>DEV-12761</v>
      </c>
      <c r="G64" s="137">
        <f>RawList!E28</f>
        <v>1</v>
      </c>
      <c r="H64" s="50" t="str">
        <f>IF(EquipmentTable[[#This Row],[Units]]&gt;0,"Quantity &gt; 0 Items","Quantity = 0 Items")</f>
        <v>Quantity &gt; 0 Items</v>
      </c>
      <c r="I64" s="141">
        <f>RawList!J28</f>
        <v>14.95</v>
      </c>
      <c r="J64" s="24">
        <f>VALUE(EquipmentTable[[#This Row],[Units]]*EquipmentTable[[#This Row],[Unit
 Price]])</f>
        <v>14.95</v>
      </c>
      <c r="K64" s="50" t="str">
        <f>RawList!G28</f>
        <v>https://cdn.sparkfun.com/r/92-92/assets/parts/9/5/2/8/12761-05.jpg</v>
      </c>
      <c r="L64" s="50"/>
      <c r="M64" s="50" t="str">
        <f>RawList!F28</f>
        <v>https://www.sparkfun.com/products/12761</v>
      </c>
    </row>
    <row r="65" spans="2:13" x14ac:dyDescent="0.3">
      <c r="B65" s="50" t="str">
        <f>RawList!A29</f>
        <v>Primary Component</v>
      </c>
      <c r="C65" s="50" t="str">
        <f>RawList!B29</f>
        <v>Data &amp; Signal Logging/Monitoring</v>
      </c>
      <c r="D65" s="50" t="str">
        <f>RawList!C29</f>
        <v>SparkFun</v>
      </c>
      <c r="E65" s="50" t="str">
        <f>RawList!H29</f>
        <v>SparkFun microSD Sniffer</v>
      </c>
      <c r="F65" s="50" t="str">
        <f>RawList!D29</f>
        <v>TOL-09419</v>
      </c>
      <c r="G65" s="137">
        <f>RawList!E29</f>
        <v>1</v>
      </c>
      <c r="H65" s="50" t="str">
        <f>IF(EquipmentTable[[#This Row],[Units]]&gt;0,"Quantity &gt; 0 Items","Quantity = 0 Items")</f>
        <v>Quantity &gt; 0 Items</v>
      </c>
      <c r="I65" s="141">
        <f>RawList!J29</f>
        <v>9.9499999999999993</v>
      </c>
      <c r="J65" s="24">
        <f>VALUE(EquipmentTable[[#This Row],[Units]]*EquipmentTable[[#This Row],[Unit
 Price]])</f>
        <v>9.9499999999999993</v>
      </c>
      <c r="K65" s="50" t="str">
        <f>RawList!G29</f>
        <v>https://cdn.sparkfun.com/r/92-92/assets/parts/3/0/5/9/09419-01a.jpg</v>
      </c>
      <c r="L65" s="50"/>
      <c r="M65" s="50" t="str">
        <f>RawList!F29</f>
        <v>https://www.sparkfun.com/products/9419</v>
      </c>
    </row>
    <row r="66" spans="2:13" x14ac:dyDescent="0.3">
      <c r="B66" s="50" t="str">
        <f>RawList!A30</f>
        <v>Primary Component</v>
      </c>
      <c r="C66" s="50" t="str">
        <f>RawList!B30</f>
        <v>Data &amp; Signal Logging/Monitoring</v>
      </c>
      <c r="D66" s="50" t="str">
        <f>RawList!C30</f>
        <v>SparkFun</v>
      </c>
      <c r="E66" s="50" t="str">
        <f>RawList!H30</f>
        <v>SparkFun SD/MMC Card Breakout</v>
      </c>
      <c r="F66" s="50" t="str">
        <f>RawList!D30</f>
        <v>BOB-12941</v>
      </c>
      <c r="G66" s="137">
        <f>RawList!E30</f>
        <v>0</v>
      </c>
      <c r="H66" s="50" t="str">
        <f>IF(EquipmentTable[[#This Row],[Units]]&gt;0,"Quantity &gt; 0 Items","Quantity = 0 Items")</f>
        <v>Quantity = 0 Items</v>
      </c>
      <c r="I66" s="141">
        <f>RawList!J30</f>
        <v>9.9499999999999993</v>
      </c>
      <c r="J66" s="24">
        <f>VALUE(EquipmentTable[[#This Row],[Units]]*EquipmentTable[[#This Row],[Unit
 Price]])</f>
        <v>0</v>
      </c>
      <c r="K66" s="50" t="str">
        <f>RawList!G30</f>
        <v>https://cdn.sparkfun.com/r/92-92/assets/parts/9/8/7/2/12941-01.jpg</v>
      </c>
      <c r="L66" s="50"/>
      <c r="M66" s="50" t="str">
        <f>RawList!F30</f>
        <v>https://www.sparkfun.com/products/12941</v>
      </c>
    </row>
    <row r="67" spans="2:13" x14ac:dyDescent="0.3">
      <c r="B67" s="50" t="str">
        <f>RawList!A31</f>
        <v>Primary Component</v>
      </c>
      <c r="C67" s="50" t="str">
        <f>RawList!B31</f>
        <v>Data &amp; Signal Logging/Monitoring</v>
      </c>
      <c r="D67" s="50" t="str">
        <f>RawList!C31</f>
        <v>SparkFun</v>
      </c>
      <c r="E67" s="50" t="str">
        <f>RawList!H31</f>
        <v>SparkFun Level Shifting microSD Breakout</v>
      </c>
      <c r="F67" s="50" t="str">
        <f>RawList!D31</f>
        <v>DEV-13743</v>
      </c>
      <c r="G67" s="137">
        <f>RawList!E31</f>
        <v>5</v>
      </c>
      <c r="H67" s="50" t="str">
        <f>IF(EquipmentTable[[#This Row],[Units]]&gt;0,"Quantity &gt; 0 Items","Quantity = 0 Items")</f>
        <v>Quantity &gt; 0 Items</v>
      </c>
      <c r="I67" s="141">
        <f>RawList!J31</f>
        <v>4.95</v>
      </c>
      <c r="J67" s="24">
        <f>VALUE(EquipmentTable[[#This Row],[Units]]*EquipmentTable[[#This Row],[Unit
 Price]])</f>
        <v>24.75</v>
      </c>
      <c r="K67" s="50" t="str">
        <f>RawList!G31</f>
        <v>https://cdn.sparkfun.com/r/92-92/assets/parts/1/1/2/6/7/13743-01.jpg</v>
      </c>
      <c r="L67" s="50"/>
      <c r="M67" s="50" t="str">
        <f>RawList!F31</f>
        <v>https://www.sparkfun.com/products/13743</v>
      </c>
    </row>
    <row r="68" spans="2:13" x14ac:dyDescent="0.3">
      <c r="B68" s="50" t="str">
        <f>RawList!A32</f>
        <v>Primary Component</v>
      </c>
      <c r="C68" s="50" t="str">
        <f>RawList!B32</f>
        <v>Data &amp; Signal Logging/Monitoring</v>
      </c>
      <c r="D68" s="50" t="str">
        <f>RawList!C32</f>
        <v>SparkFun</v>
      </c>
      <c r="E68" s="50" t="str">
        <f>RawList!H32</f>
        <v>microSD Card with Adapter - 16GB (Class 10)</v>
      </c>
      <c r="F68" s="50" t="str">
        <f>RawList!D32</f>
        <v>COM-13833</v>
      </c>
      <c r="G68" s="137">
        <f>RawList!E32</f>
        <v>6</v>
      </c>
      <c r="H68" s="50" t="str">
        <f>IF(EquipmentTable[[#This Row],[Units]]&gt;0,"Quantity &gt; 0 Items","Quantity = 0 Items")</f>
        <v>Quantity &gt; 0 Items</v>
      </c>
      <c r="I68" s="141">
        <f>RawList!J32</f>
        <v>19.95</v>
      </c>
      <c r="J68" s="24">
        <f>VALUE(EquipmentTable[[#This Row],[Units]]*EquipmentTable[[#This Row],[Unit
 Price]])</f>
        <v>119.69999999999999</v>
      </c>
      <c r="K68" s="50" t="str">
        <f>RawList!G32</f>
        <v>https://cdn.sparkfun.com/r/92-92/assets/parts/1/1/4/3/0/13833-02.jpg</v>
      </c>
      <c r="L68" s="50"/>
      <c r="M68" s="50" t="str">
        <f>RawList!F32</f>
        <v>https://www.sparkfun.com/products/13833</v>
      </c>
    </row>
    <row r="69" spans="2:13" x14ac:dyDescent="0.3">
      <c r="B69" s="50" t="str">
        <f>RawList!A33</f>
        <v>Primary Component</v>
      </c>
      <c r="C69" s="50" t="str">
        <f>RawList!B33</f>
        <v>Data &amp; Signal Logging/Monitoring</v>
      </c>
      <c r="D69" s="50" t="str">
        <f>RawList!C33</f>
        <v>Adafruit</v>
      </c>
      <c r="E69" s="50" t="str">
        <f>RawList!H33</f>
        <v xml:space="preserve">4GB Blank SD/MicroSD Memory Card </v>
      </c>
      <c r="F69" s="50" t="str">
        <f>RawList!D33</f>
        <v>102</v>
      </c>
      <c r="G69" s="137">
        <f>RawList!E33</f>
        <v>2</v>
      </c>
      <c r="H69" s="50" t="str">
        <f>IF(EquipmentTable[[#This Row],[Units]]&gt;0,"Quantity &gt; 0 Items","Quantity = 0 Items")</f>
        <v>Quantity &gt; 0 Items</v>
      </c>
      <c r="I69" s="141">
        <f>RawList!J33</f>
        <v>7.95</v>
      </c>
      <c r="J69" s="24">
        <f>VALUE(EquipmentTable[[#This Row],[Units]]*EquipmentTable[[#This Row],[Unit
 Price]])</f>
        <v>15.9</v>
      </c>
      <c r="K69" s="50">
        <f>RawList!G33</f>
        <v>0</v>
      </c>
      <c r="L69" s="50"/>
      <c r="M69" s="50">
        <f>RawList!F33</f>
        <v>0</v>
      </c>
    </row>
    <row r="70" spans="2:13" x14ac:dyDescent="0.3">
      <c r="B70" s="50" t="str">
        <f>RawList!A34</f>
        <v>Primary Component</v>
      </c>
      <c r="C70" s="50" t="str">
        <f>RawList!B34</f>
        <v>Data &amp; Signal Logging/Monitoring</v>
      </c>
      <c r="D70" s="50" t="str">
        <f>RawList!C34</f>
        <v>Adafruit</v>
      </c>
      <c r="E70" s="50" t="str">
        <f>RawList!H34</f>
        <v>Pogo Pin Probe Clip</v>
      </c>
      <c r="F70" s="50" t="str">
        <f>RawList!D34</f>
        <v>1969</v>
      </c>
      <c r="G70" s="137">
        <f>RawList!E34</f>
        <v>1</v>
      </c>
      <c r="H70" s="50" t="str">
        <f>IF(EquipmentTable[[#This Row],[Units]]&gt;0,"Quantity &gt; 0 Items","Quantity = 0 Items")</f>
        <v>Quantity &gt; 0 Items</v>
      </c>
      <c r="I70" s="141">
        <f>RawList!J34</f>
        <v>2.95</v>
      </c>
      <c r="J70" s="24">
        <f>VALUE(EquipmentTable[[#This Row],[Units]]*EquipmentTable[[#This Row],[Unit
 Price]])</f>
        <v>2.95</v>
      </c>
      <c r="K70" s="50">
        <f>RawList!G34</f>
        <v>0</v>
      </c>
      <c r="L70" s="50"/>
      <c r="M70" s="50">
        <f>RawList!F34</f>
        <v>0</v>
      </c>
    </row>
    <row r="71" spans="2:13" x14ac:dyDescent="0.3">
      <c r="B71" s="50" t="str">
        <f>RawList!A35</f>
        <v>Primary Component</v>
      </c>
      <c r="C71" s="50" t="str">
        <f>RawList!B35</f>
        <v>Data &amp; Signal Logging/Monitoring</v>
      </c>
      <c r="D71" s="50" t="str">
        <f>RawList!C35</f>
        <v>Adafruit</v>
      </c>
      <c r="E71" s="50" t="str">
        <f>RawList!H35</f>
        <v xml:space="preserve">SD/MicroSD Memory Card - 16GB Class 10 - Adapter Included </v>
      </c>
      <c r="F71" s="50" t="str">
        <f>RawList!D35</f>
        <v>2693</v>
      </c>
      <c r="G71" s="137">
        <f>RawList!E35</f>
        <v>0</v>
      </c>
      <c r="H71" s="50" t="str">
        <f>IF(EquipmentTable[[#This Row],[Units]]&gt;0,"Quantity &gt; 0 Items","Quantity = 0 Items")</f>
        <v>Quantity = 0 Items</v>
      </c>
      <c r="I71" s="141">
        <f>RawList!J35</f>
        <v>19.95</v>
      </c>
      <c r="J71" s="24">
        <f>VALUE(EquipmentTable[[#This Row],[Units]]*EquipmentTable[[#This Row],[Unit
 Price]])</f>
        <v>0</v>
      </c>
      <c r="K71" s="50">
        <f>RawList!G35</f>
        <v>0</v>
      </c>
      <c r="L71" s="50"/>
      <c r="M71" s="50">
        <f>RawList!F35</f>
        <v>0</v>
      </c>
    </row>
    <row r="72" spans="2:13" x14ac:dyDescent="0.3">
      <c r="B72" s="50" t="str">
        <f>RawList!A36</f>
        <v>Primary Component</v>
      </c>
      <c r="C72" s="50" t="str">
        <f>RawList!B36</f>
        <v>Data &amp; Signal Logging/Monitoring</v>
      </c>
      <c r="D72" s="50" t="str">
        <f>RawList!C36</f>
        <v>Adafruit</v>
      </c>
      <c r="E72" s="50" t="str">
        <f>RawList!H36</f>
        <v xml:space="preserve">SD/MicroSD Memory Card (8 GB SDHC) </v>
      </c>
      <c r="F72" s="50" t="str">
        <f>RawList!D36</f>
        <v>1294</v>
      </c>
      <c r="G72" s="137">
        <f>RawList!E36</f>
        <v>0</v>
      </c>
      <c r="H72" s="50" t="str">
        <f>IF(EquipmentTable[[#This Row],[Units]]&gt;0,"Quantity &gt; 0 Items","Quantity = 0 Items")</f>
        <v>Quantity = 0 Items</v>
      </c>
      <c r="I72" s="141">
        <f>RawList!J36</f>
        <v>9.9499999999999993</v>
      </c>
      <c r="J72" s="24">
        <f>VALUE(EquipmentTable[[#This Row],[Units]]*EquipmentTable[[#This Row],[Unit
 Price]])</f>
        <v>0</v>
      </c>
      <c r="K72" s="50">
        <f>RawList!G36</f>
        <v>0</v>
      </c>
      <c r="L72" s="50"/>
      <c r="M72" s="50">
        <f>RawList!F36</f>
        <v>0</v>
      </c>
    </row>
    <row r="73" spans="2:13" x14ac:dyDescent="0.3">
      <c r="B73" s="50" t="str">
        <f>RawList!A37</f>
        <v>Primary Component</v>
      </c>
      <c r="C73" s="50" t="str">
        <f>RawList!B37</f>
        <v>Data &amp; Signal Logging/Monitoring</v>
      </c>
      <c r="D73" s="50" t="str">
        <f>RawList!C37</f>
        <v>SparkFun</v>
      </c>
      <c r="E73" s="50" t="str">
        <f>RawList!H37</f>
        <v>XMEGA Xprotolab</v>
      </c>
      <c r="F73" s="50" t="str">
        <f>RawList!D37</f>
        <v>DEV-11643</v>
      </c>
      <c r="G73" s="137">
        <f>RawList!E37</f>
        <v>0</v>
      </c>
      <c r="H73" s="50" t="str">
        <f>IF(EquipmentTable[[#This Row],[Units]]&gt;0,"Quantity &gt; 0 Items","Quantity = 0 Items")</f>
        <v>Quantity = 0 Items</v>
      </c>
      <c r="I73" s="141">
        <f>RawList!J37</f>
        <v>54.95</v>
      </c>
      <c r="J73" s="24">
        <f>VALUE(EquipmentTable[[#This Row],[Units]]*EquipmentTable[[#This Row],[Unit
 Price]])</f>
        <v>0</v>
      </c>
      <c r="K73" s="50" t="str">
        <f>RawList!G37</f>
        <v>https://cdn.sparkfun.com/r/92-92/assets/parts/7/7/1/7/11643-01.jpg</v>
      </c>
      <c r="L73" s="50"/>
      <c r="M73" s="50" t="str">
        <f>RawList!F37</f>
        <v>https://www.sparkfun.com/products/11643</v>
      </c>
    </row>
    <row r="74" spans="2:13" x14ac:dyDescent="0.3">
      <c r="B74" s="50" t="str">
        <f>RawList!A38</f>
        <v>Primary Component</v>
      </c>
      <c r="C74" s="50" t="str">
        <f>RawList!B38</f>
        <v>Data &amp; Signal Logging/Monitoring</v>
      </c>
      <c r="D74" s="50" t="str">
        <f>RawList!C38</f>
        <v>SparkFun</v>
      </c>
      <c r="E74" s="50" t="str">
        <f>RawList!H38</f>
        <v>microSD USB Reader</v>
      </c>
      <c r="F74" s="50" t="str">
        <f>RawList!D38</f>
        <v>COM-13004</v>
      </c>
      <c r="G74" s="137">
        <f>RawList!E38</f>
        <v>5</v>
      </c>
      <c r="H74" s="50" t="str">
        <f>IF(EquipmentTable[[#This Row],[Units]]&gt;0,"Quantity &gt; 0 Items","Quantity = 0 Items")</f>
        <v>Quantity &gt; 0 Items</v>
      </c>
      <c r="I74" s="141">
        <f>RawList!J38</f>
        <v>4.95</v>
      </c>
      <c r="J74" s="24">
        <f>VALUE(EquipmentTable[[#This Row],[Units]]*EquipmentTable[[#This Row],[Unit
 Price]])</f>
        <v>24.75</v>
      </c>
      <c r="K74" s="50" t="str">
        <f>RawList!G38</f>
        <v>https://cdn.sparkfun.com/r/92-92/assets/parts/9/9/5/8/13004-01.jpg</v>
      </c>
      <c r="L74" s="50"/>
      <c r="M74" s="50" t="str">
        <f>RawList!F38</f>
        <v>https://www.sparkfun.com/products/13004</v>
      </c>
    </row>
    <row r="75" spans="2:13" x14ac:dyDescent="0.3">
      <c r="B75" s="50" t="str">
        <f>RawList!A39</f>
        <v>Primary Component</v>
      </c>
      <c r="C75" s="50" t="str">
        <f>RawList!B39</f>
        <v>Data &amp; Signal Logging/Monitoring</v>
      </c>
      <c r="D75" s="50" t="str">
        <f>RawList!C39</f>
        <v>SparkFun</v>
      </c>
      <c r="E75" s="50" t="str">
        <f>RawList!H39</f>
        <v>SparkFun DeadOn RTC Breakout - DS3234</v>
      </c>
      <c r="F75" s="50" t="str">
        <f>RawList!D39</f>
        <v>BOB-10160</v>
      </c>
      <c r="G75" s="137">
        <f>RawList!E39</f>
        <v>1</v>
      </c>
      <c r="H75" s="50" t="str">
        <f>IF(EquipmentTable[[#This Row],[Units]]&gt;0,"Quantity &gt; 0 Items","Quantity = 0 Items")</f>
        <v>Quantity &gt; 0 Items</v>
      </c>
      <c r="I75" s="141">
        <f>RawList!J39</f>
        <v>19.95</v>
      </c>
      <c r="J75" s="24">
        <f>VALUE(EquipmentTable[[#This Row],[Units]]*EquipmentTable[[#This Row],[Unit
 Price]])</f>
        <v>19.95</v>
      </c>
      <c r="K75" s="50" t="str">
        <f>RawList!G39</f>
        <v>https://cdn.sparkfun.com/r/92-92/assets/parts/4/4/5/5/10160b-01.jpg</v>
      </c>
      <c r="L75" s="50"/>
      <c r="M75" s="50" t="str">
        <f>RawList!F39</f>
        <v>https://www.sparkfun.com/products/10160</v>
      </c>
    </row>
    <row r="76" spans="2:13" x14ac:dyDescent="0.3">
      <c r="B76" s="50" t="str">
        <f>RawList!A40</f>
        <v>Primary Component</v>
      </c>
      <c r="C76" s="50" t="str">
        <f>RawList!B40</f>
        <v>LED Indicators/Lighting</v>
      </c>
      <c r="D76" s="50" t="str">
        <f>RawList!C40</f>
        <v>SparkFun</v>
      </c>
      <c r="E76" s="50" t="str">
        <f>RawList!H40</f>
        <v>LED Light Bar - White (SMD)</v>
      </c>
      <c r="F76" s="50" t="str">
        <f>RawList!D40</f>
        <v>COM-12014</v>
      </c>
      <c r="G76" s="137">
        <f>RawList!E40</f>
        <v>1</v>
      </c>
      <c r="H76" s="50" t="str">
        <f>IF(EquipmentTable[[#This Row],[Units]]&gt;0,"Quantity &gt; 0 Items","Quantity = 0 Items")</f>
        <v>Quantity &gt; 0 Items</v>
      </c>
      <c r="I76" s="141">
        <f>RawList!J40</f>
        <v>3.95</v>
      </c>
      <c r="J76" s="24">
        <f>VALUE(EquipmentTable[[#This Row],[Units]]*EquipmentTable[[#This Row],[Unit
 Price]])</f>
        <v>3.95</v>
      </c>
      <c r="K76" s="50" t="str">
        <f>RawList!G40</f>
        <v>https://cdn.sparkfun.com/r/92-92/assets/parts/8/5/3/5/12014-01.jpg</v>
      </c>
      <c r="L76" s="50"/>
      <c r="M76" s="50" t="str">
        <f>RawList!F40</f>
        <v>https://www.sparkfun.com/products/12014</v>
      </c>
    </row>
    <row r="77" spans="2:13" x14ac:dyDescent="0.3">
      <c r="B77" s="50" t="str">
        <f>RawList!A41</f>
        <v>Primary Component</v>
      </c>
      <c r="C77" s="50" t="str">
        <f>RawList!B41</f>
        <v>LED Indicators/Lighting</v>
      </c>
      <c r="D77" s="50" t="str">
        <f>RawList!C41</f>
        <v>SparkFun</v>
      </c>
      <c r="E77" s="50" t="str">
        <f>RawList!H41</f>
        <v>7-Segment Display - 20mm (Blue)</v>
      </c>
      <c r="F77" s="50" t="str">
        <f>RawList!D41</f>
        <v>COM-11408</v>
      </c>
      <c r="G77" s="137">
        <f>RawList!E41</f>
        <v>1</v>
      </c>
      <c r="H77" s="50" t="str">
        <f>IF(EquipmentTable[[#This Row],[Units]]&gt;0,"Quantity &gt; 0 Items","Quantity = 0 Items")</f>
        <v>Quantity &gt; 0 Items</v>
      </c>
      <c r="I77" s="141">
        <f>RawList!J41</f>
        <v>2.95</v>
      </c>
      <c r="J77" s="24">
        <f>VALUE(EquipmentTable[[#This Row],[Units]]*EquipmentTable[[#This Row],[Unit
 Price]])</f>
        <v>2.95</v>
      </c>
      <c r="K77" s="50" t="str">
        <f>RawList!G41</f>
        <v>https://cdn.sparkfun.com/r/92-92/assets/parts/7/1/9/9/11408-03.jpg</v>
      </c>
      <c r="L77" s="50"/>
      <c r="M77" s="50" t="str">
        <f>RawList!F41</f>
        <v>https://www.sparkfun.com/products/11408</v>
      </c>
    </row>
    <row r="78" spans="2:13" x14ac:dyDescent="0.3">
      <c r="B78" s="50" t="str">
        <f>RawList!A42</f>
        <v>Primary Component</v>
      </c>
      <c r="C78" s="50" t="str">
        <f>RawList!B42</f>
        <v>LED Indicators/Lighting</v>
      </c>
      <c r="D78" s="50" t="str">
        <f>RawList!C42</f>
        <v>SparkFun</v>
      </c>
      <c r="E78" s="50" t="str">
        <f>RawList!H42</f>
        <v>Dual 7-Segment Display - LED (RGB)</v>
      </c>
      <c r="F78" s="50" t="str">
        <f>RawList!D42</f>
        <v>COM-13999</v>
      </c>
      <c r="G78" s="137">
        <f>RawList!E42</f>
        <v>1</v>
      </c>
      <c r="H78" s="50" t="str">
        <f>IF(EquipmentTable[[#This Row],[Units]]&gt;0,"Quantity &gt; 0 Items","Quantity = 0 Items")</f>
        <v>Quantity &gt; 0 Items</v>
      </c>
      <c r="I78" s="141">
        <f>RawList!J42</f>
        <v>3.95</v>
      </c>
      <c r="J78" s="24">
        <f>VALUE(EquipmentTable[[#This Row],[Units]]*EquipmentTable[[#This Row],[Unit
 Price]])</f>
        <v>3.95</v>
      </c>
      <c r="K78" s="50" t="str">
        <f>RawList!G42</f>
        <v>https://cdn.sparkfun.com/r/92-92/assets/parts/1/1/7/7/2/13999-01.jpg</v>
      </c>
      <c r="L78" s="50"/>
      <c r="M78" s="50" t="str">
        <f>RawList!F42</f>
        <v>https://www.sparkfun.com/products/13999</v>
      </c>
    </row>
    <row r="79" spans="2:13" x14ac:dyDescent="0.3">
      <c r="B79" s="50" t="str">
        <f>RawList!A43</f>
        <v>Primary Component</v>
      </c>
      <c r="C79" s="50" t="str">
        <f>RawList!B43</f>
        <v>LED Indicators/Lighting</v>
      </c>
      <c r="D79" s="50" t="str">
        <f>RawList!C43</f>
        <v>SparkFun</v>
      </c>
      <c r="E79" s="50" t="str">
        <f>RawList!H43</f>
        <v>10 Segment LED Bar Graph - Green</v>
      </c>
      <c r="F79" s="50" t="str">
        <f>RawList!D43</f>
        <v>COM-09938</v>
      </c>
      <c r="G79" s="137">
        <f>RawList!E43</f>
        <v>10</v>
      </c>
      <c r="H79" s="50" t="str">
        <f>IF(EquipmentTable[[#This Row],[Units]]&gt;0,"Quantity &gt; 0 Items","Quantity = 0 Items")</f>
        <v>Quantity &gt; 0 Items</v>
      </c>
      <c r="I79" s="141">
        <f>RawList!J43</f>
        <v>1.95</v>
      </c>
      <c r="J79" s="24">
        <f>VALUE(EquipmentTable[[#This Row],[Units]]*EquipmentTable[[#This Row],[Unit
 Price]])</f>
        <v>19.5</v>
      </c>
      <c r="K79" s="50" t="str">
        <f>RawList!G43</f>
        <v>https://cdn.sparkfun.com/r/92-92/assets/parts/3/9/3/1/09935-01.jpg</v>
      </c>
      <c r="L79" s="50"/>
      <c r="M79" s="50" t="str">
        <f>RawList!F43</f>
        <v>https://www.sparkfun.com/products/9938</v>
      </c>
    </row>
    <row r="80" spans="2:13" x14ac:dyDescent="0.3">
      <c r="B80" s="50" t="str">
        <f>RawList!A44</f>
        <v>Primary Component</v>
      </c>
      <c r="C80" s="50" t="str">
        <f>RawList!B44</f>
        <v>LED Indicators/Lighting</v>
      </c>
      <c r="D80" s="50" t="str">
        <f>RawList!C44</f>
        <v>SparkFun</v>
      </c>
      <c r="E80" s="50" t="str">
        <f>RawList!H44</f>
        <v>SparkFun RGB LED Breakout - WS2812B</v>
      </c>
      <c r="F80" s="50" t="str">
        <f>RawList!D44</f>
        <v>BOB-13282</v>
      </c>
      <c r="G80" s="137">
        <f>RawList!E44</f>
        <v>2</v>
      </c>
      <c r="H80" s="50" t="str">
        <f>IF(EquipmentTable[[#This Row],[Units]]&gt;0,"Quantity &gt; 0 Items","Quantity = 0 Items")</f>
        <v>Quantity &gt; 0 Items</v>
      </c>
      <c r="I80" s="141">
        <f>RawList!J44</f>
        <v>2.95</v>
      </c>
      <c r="J80" s="24">
        <f>VALUE(EquipmentTable[[#This Row],[Units]]*EquipmentTable[[#This Row],[Unit
 Price]])</f>
        <v>5.9</v>
      </c>
      <c r="K80" s="50" t="str">
        <f>RawList!G44</f>
        <v>https://cdn.sparkfun.com/r/92-92/assets/parts/1/0/5/2/2/13282-03.jpg</v>
      </c>
      <c r="L80" s="50"/>
      <c r="M80" s="50" t="str">
        <f>RawList!F44</f>
        <v>https://www.sparkfun.com/products/13282</v>
      </c>
    </row>
    <row r="81" spans="2:13" x14ac:dyDescent="0.3">
      <c r="B81" s="50" t="str">
        <f>RawList!A45</f>
        <v>Primary Component</v>
      </c>
      <c r="C81" s="50" t="str">
        <f>RawList!B45</f>
        <v>LED Indicators/Lighting</v>
      </c>
      <c r="D81" s="50" t="str">
        <f>RawList!C45</f>
        <v>SparkFun</v>
      </c>
      <c r="E81" s="50" t="str">
        <f>RawList!H45</f>
        <v xml:space="preserve">SparkFun LED Driver Breakout - LP55231 </v>
      </c>
      <c r="F81" s="50" t="str">
        <f>RawList!D45</f>
        <v>BOB-13884</v>
      </c>
      <c r="G81" s="137">
        <f>RawList!E45</f>
        <v>5</v>
      </c>
      <c r="H81" s="50" t="str">
        <f>IF(EquipmentTable[[#This Row],[Units]]&gt;0,"Quantity &gt; 0 Items","Quantity = 0 Items")</f>
        <v>Quantity &gt; 0 Items</v>
      </c>
      <c r="I81" s="141">
        <f>RawList!J45</f>
        <v>7.95</v>
      </c>
      <c r="J81" s="24">
        <f>VALUE(EquipmentTable[[#This Row],[Units]]*EquipmentTable[[#This Row],[Unit
 Price]])</f>
        <v>39.75</v>
      </c>
      <c r="K81" s="50" t="str">
        <f>RawList!G45</f>
        <v>https://cdn.sparkfun.com/r/92-92/assets/parts/1/1/5/2/0/13884-02.jpg</v>
      </c>
      <c r="L81" s="50"/>
      <c r="M81" s="50" t="str">
        <f>RawList!F45</f>
        <v>https://www.sparkfun.com/products/13884</v>
      </c>
    </row>
    <row r="82" spans="2:13" x14ac:dyDescent="0.3">
      <c r="B82" s="50" t="str">
        <f>RawList!A46</f>
        <v>Primary Component</v>
      </c>
      <c r="C82" s="50" t="str">
        <f>RawList!B46</f>
        <v>LED Indicators/Lighting</v>
      </c>
      <c r="D82" s="50" t="str">
        <f>RawList!C46</f>
        <v>SparkFun</v>
      </c>
      <c r="E82" s="50" t="str">
        <f>RawList!H46</f>
        <v>NeoPixel Stick - 8 x WS2812 5050 RGB LED</v>
      </c>
      <c r="F82" s="50" t="str">
        <f>RawList!D46</f>
        <v>COM-12661</v>
      </c>
      <c r="G82" s="137">
        <f>RawList!E46</f>
        <v>1</v>
      </c>
      <c r="H82" s="50" t="str">
        <f>IF(EquipmentTable[[#This Row],[Units]]&gt;0,"Quantity &gt; 0 Items","Quantity = 0 Items")</f>
        <v>Quantity &gt; 0 Items</v>
      </c>
      <c r="I82" s="141">
        <f>RawList!J46</f>
        <v>5.95</v>
      </c>
      <c r="J82" s="24">
        <f>VALUE(EquipmentTable[[#This Row],[Units]]*EquipmentTable[[#This Row],[Unit
 Price]])</f>
        <v>5.95</v>
      </c>
      <c r="K82" s="50" t="str">
        <f>RawList!G46</f>
        <v>https://cdn.sparkfun.com/r/92-92/assets/parts/9/3/7/2/12661-01a.jpg</v>
      </c>
      <c r="L82" s="50"/>
      <c r="M82" s="50" t="str">
        <f>RawList!F46</f>
        <v>https://www.sparkfun.com/products/12661</v>
      </c>
    </row>
    <row r="83" spans="2:13" x14ac:dyDescent="0.3">
      <c r="B83" s="50" t="str">
        <f>RawList!A47</f>
        <v>Primary Component</v>
      </c>
      <c r="C83" s="50" t="str">
        <f>RawList!B47</f>
        <v>LED Indicators/Lighting</v>
      </c>
      <c r="D83" s="50" t="str">
        <f>RawList!C47</f>
        <v>SparkFun</v>
      </c>
      <c r="E83" s="50" t="str">
        <f>RawList!H47</f>
        <v>Luxeon Rebel High Power LED - Warm White</v>
      </c>
      <c r="F83" s="50" t="str">
        <f>RawList!D47</f>
        <v>COM-09637</v>
      </c>
      <c r="G83" s="137">
        <f>RawList!E47</f>
        <v>3</v>
      </c>
      <c r="H83" s="50" t="str">
        <f>IF(EquipmentTable[[#This Row],[Units]]&gt;0,"Quantity &gt; 0 Items","Quantity = 0 Items")</f>
        <v>Quantity &gt; 0 Items</v>
      </c>
      <c r="I83" s="141">
        <f>RawList!J47</f>
        <v>4.95</v>
      </c>
      <c r="J83" s="24">
        <f>VALUE(EquipmentTable[[#This Row],[Units]]*EquipmentTable[[#This Row],[Unit
 Price]])</f>
        <v>14.850000000000001</v>
      </c>
      <c r="K83" s="50" t="str">
        <f>RawList!G47</f>
        <v>https://cdn.sparkfun.com/r/92-92/assets/parts/3/4/8/3/09637-01.jpg</v>
      </c>
      <c r="L83" s="50"/>
      <c r="M83" s="50" t="str">
        <f>RawList!F47</f>
        <v>https://www.sparkfun.com/products/9637</v>
      </c>
    </row>
    <row r="84" spans="2:13" x14ac:dyDescent="0.3">
      <c r="B84" s="50" t="str">
        <f>RawList!A48</f>
        <v>Primary Component</v>
      </c>
      <c r="C84" s="50" t="str">
        <f>RawList!B48</f>
        <v>LED Indicators/Lighting</v>
      </c>
      <c r="D84" s="50" t="str">
        <f>RawList!C48</f>
        <v>Adafruit</v>
      </c>
      <c r="E84" s="50" t="str">
        <f>RawList!H48</f>
        <v xml:space="preserve">White LED Backlight Module - Large 45mm x 86mm </v>
      </c>
      <c r="F84" s="50" t="str">
        <f>RawList!D48</f>
        <v>1621</v>
      </c>
      <c r="G84" s="137">
        <f>RawList!E48</f>
        <v>0</v>
      </c>
      <c r="H84" s="50" t="str">
        <f>IF(EquipmentTable[[#This Row],[Units]]&gt;0,"Quantity &gt; 0 Items","Quantity = 0 Items")</f>
        <v>Quantity = 0 Items</v>
      </c>
      <c r="I84" s="141">
        <f>RawList!J48</f>
        <v>2.95</v>
      </c>
      <c r="J84" s="24">
        <f>VALUE(EquipmentTable[[#This Row],[Units]]*EquipmentTable[[#This Row],[Unit
 Price]])</f>
        <v>0</v>
      </c>
      <c r="K84" s="50">
        <f>RawList!G48</f>
        <v>0</v>
      </c>
      <c r="L84" s="50"/>
      <c r="M84" s="50">
        <f>RawList!F48</f>
        <v>0</v>
      </c>
    </row>
    <row r="85" spans="2:13" x14ac:dyDescent="0.3">
      <c r="B85" s="50" t="str">
        <f>RawList!A49</f>
        <v>Primary Component</v>
      </c>
      <c r="C85" s="50" t="str">
        <f>RawList!B49</f>
        <v>LED Indicators/Lighting</v>
      </c>
      <c r="D85" s="50" t="str">
        <f>RawList!C49</f>
        <v>Adafruit</v>
      </c>
      <c r="E85" s="50" t="str">
        <f>RawList!H49</f>
        <v xml:space="preserve">White LED Backlight Module - Medium 23mm x 75mm </v>
      </c>
      <c r="F85" s="50" t="str">
        <f>RawList!D49</f>
        <v>1622</v>
      </c>
      <c r="G85" s="137">
        <f>RawList!E49</f>
        <v>0</v>
      </c>
      <c r="H85" s="50" t="str">
        <f>IF(EquipmentTable[[#This Row],[Units]]&gt;0,"Quantity &gt; 0 Items","Quantity = 0 Items")</f>
        <v>Quantity = 0 Items</v>
      </c>
      <c r="I85" s="141">
        <f>RawList!J49</f>
        <v>2.5</v>
      </c>
      <c r="J85" s="24">
        <f>VALUE(EquipmentTable[[#This Row],[Units]]*EquipmentTable[[#This Row],[Unit
 Price]])</f>
        <v>0</v>
      </c>
      <c r="K85" s="50">
        <f>RawList!G49</f>
        <v>0</v>
      </c>
      <c r="L85" s="50"/>
      <c r="M85" s="50">
        <f>RawList!F49</f>
        <v>0</v>
      </c>
    </row>
    <row r="86" spans="2:13" x14ac:dyDescent="0.3">
      <c r="B86" s="50" t="str">
        <f>RawList!A50</f>
        <v>Primary Component</v>
      </c>
      <c r="C86" s="50" t="str">
        <f>RawList!B50</f>
        <v>MCU/Development Board</v>
      </c>
      <c r="D86" s="50" t="str">
        <f>RawList!C50</f>
        <v>SparkFun</v>
      </c>
      <c r="E86" s="50" t="str">
        <f>RawList!H50</f>
        <v>Arduino Mega 2560 R3</v>
      </c>
      <c r="F86" s="50" t="str">
        <f>RawList!D50</f>
        <v>DEV-11061</v>
      </c>
      <c r="G86" s="137">
        <f>RawList!E50</f>
        <v>5</v>
      </c>
      <c r="H86" s="50" t="str">
        <f>IF(EquipmentTable[[#This Row],[Units]]&gt;0,"Quantity &gt; 0 Items","Quantity = 0 Items")</f>
        <v>Quantity &gt; 0 Items</v>
      </c>
      <c r="I86" s="141">
        <f>RawList!J50</f>
        <v>45.95</v>
      </c>
      <c r="J86" s="24">
        <f>VALUE(EquipmentTable[[#This Row],[Units]]*EquipmentTable[[#This Row],[Unit
 Price]])</f>
        <v>229.75</v>
      </c>
      <c r="K86" s="50" t="str">
        <f>RawList!G50</f>
        <v>https://cdn.sparkfun.com/r/92-92/assets/parts/6/4/3/3/11061-01c.jpg</v>
      </c>
      <c r="L86" s="50"/>
      <c r="M86" s="50" t="str">
        <f>RawList!F50</f>
        <v>https://www.sparkfun.com/products/11061</v>
      </c>
    </row>
    <row r="87" spans="2:13" x14ac:dyDescent="0.3">
      <c r="B87" s="50" t="str">
        <f>RawList!A51</f>
        <v>Primary Component</v>
      </c>
      <c r="C87" s="50" t="str">
        <f>RawList!B51</f>
        <v>Power Supply, Barrel Jack Wall Wart</v>
      </c>
      <c r="D87" s="50" t="str">
        <f>RawList!C51</f>
        <v>SparkFun</v>
      </c>
      <c r="E87" s="50" t="str">
        <f>RawList!H51</f>
        <v>Wall Adapter Power Supply - 5V DC 2A (Barrel Jack)</v>
      </c>
      <c r="F87" s="50" t="str">
        <f>RawList!D51</f>
        <v>TOL-12889</v>
      </c>
      <c r="G87" s="137">
        <f>RawList!E51</f>
        <v>0</v>
      </c>
      <c r="H87" s="50" t="str">
        <f>IF(EquipmentTable[[#This Row],[Units]]&gt;0,"Quantity &gt; 0 Items","Quantity = 0 Items")</f>
        <v>Quantity = 0 Items</v>
      </c>
      <c r="I87" s="141">
        <f>RawList!J51</f>
        <v>5.95</v>
      </c>
      <c r="J87" s="24">
        <f>VALUE(EquipmentTable[[#This Row],[Units]]*EquipmentTable[[#This Row],[Unit
 Price]])</f>
        <v>0</v>
      </c>
      <c r="K87" s="50" t="str">
        <f>RawList!G51</f>
        <v>https://cdn.sparkfun.com/r/92-92/assets/parts/9/7/8/1/12889-01.jpg</v>
      </c>
      <c r="L87" s="50"/>
      <c r="M87" s="50" t="str">
        <f>RawList!F51</f>
        <v>https://www.sparkfun.com/products/12889</v>
      </c>
    </row>
    <row r="88" spans="2:13" x14ac:dyDescent="0.3">
      <c r="B88" s="50" t="str">
        <f>RawList!A52</f>
        <v>Primary Component</v>
      </c>
      <c r="C88" s="50" t="str">
        <f>RawList!B52</f>
        <v>Power Supply, Barrel Jack Wall Wart</v>
      </c>
      <c r="D88" s="50" t="str">
        <f>RawList!C52</f>
        <v>SparkFun</v>
      </c>
      <c r="E88" s="50" t="str">
        <f>RawList!H52</f>
        <v>Wall Adapter Power Supply - 12VDC 600mA</v>
      </c>
      <c r="F88" s="50" t="str">
        <f>RawList!D52</f>
        <v>TOL-09442</v>
      </c>
      <c r="G88" s="137">
        <f>RawList!E52</f>
        <v>0</v>
      </c>
      <c r="H88" s="50" t="str">
        <f>IF(EquipmentTable[[#This Row],[Units]]&gt;0,"Quantity &gt; 0 Items","Quantity = 0 Items")</f>
        <v>Quantity = 0 Items</v>
      </c>
      <c r="I88" s="141">
        <f>RawList!J52</f>
        <v>5.95</v>
      </c>
      <c r="J88" s="24">
        <f>VALUE(EquipmentTable[[#This Row],[Units]]*EquipmentTable[[#This Row],[Unit
 Price]])</f>
        <v>0</v>
      </c>
      <c r="K88" s="50" t="str">
        <f>RawList!G52</f>
        <v>https://cdn.sparkfun.com/r/92-92/assets/parts/3/1/2/4/09442-01.jpg</v>
      </c>
      <c r="L88" s="50"/>
      <c r="M88" s="50" t="str">
        <f>RawList!F52</f>
        <v>https://www.sparkfun.com/products/9442</v>
      </c>
    </row>
    <row r="89" spans="2:13" x14ac:dyDescent="0.3">
      <c r="B89" s="50" t="str">
        <f>RawList!A53</f>
        <v>Primary Component</v>
      </c>
      <c r="C89" s="50" t="str">
        <f>RawList!B53</f>
        <v>Power Supply, Barrel Jack Wall Wart</v>
      </c>
      <c r="D89" s="50" t="str">
        <f>RawList!C53</f>
        <v>Adafruit</v>
      </c>
      <c r="E89" s="50" t="str">
        <f>RawList!H53</f>
        <v>5V 2A (2000mA) switching power supply - UL Listed</v>
      </c>
      <c r="F89" s="50" t="str">
        <f>RawList!D53</f>
        <v>276</v>
      </c>
      <c r="G89" s="137">
        <f>RawList!E53</f>
        <v>0</v>
      </c>
      <c r="H89" s="50" t="str">
        <f>IF(EquipmentTable[[#This Row],[Units]]&gt;0,"Quantity &gt; 0 Items","Quantity = 0 Items")</f>
        <v>Quantity = 0 Items</v>
      </c>
      <c r="I89" s="141">
        <f>RawList!J53</f>
        <v>7.95</v>
      </c>
      <c r="J89" s="24">
        <f>VALUE(EquipmentTable[[#This Row],[Units]]*EquipmentTable[[#This Row],[Unit
 Price]])</f>
        <v>0</v>
      </c>
      <c r="K89" s="50">
        <f>RawList!G53</f>
        <v>0</v>
      </c>
      <c r="L89" s="50"/>
      <c r="M89" s="50">
        <f>RawList!F53</f>
        <v>0</v>
      </c>
    </row>
    <row r="90" spans="2:13" x14ac:dyDescent="0.3">
      <c r="B90" s="50" t="str">
        <f>RawList!A54</f>
        <v>Primary Component</v>
      </c>
      <c r="C90" s="50" t="str">
        <f>RawList!B54</f>
        <v>Power Supply, Barrel Jack Wall Wart</v>
      </c>
      <c r="D90" s="50" t="str">
        <f>RawList!C54</f>
        <v>Adafruit</v>
      </c>
      <c r="E90" s="50" t="str">
        <f>RawList!H54</f>
        <v>Compact Switching Power Supply - Selectable Output 3-12VDC</v>
      </c>
      <c r="F90" s="50" t="str">
        <f>RawList!D54</f>
        <v>1448</v>
      </c>
      <c r="G90" s="137">
        <f>RawList!E54</f>
        <v>0</v>
      </c>
      <c r="H90" s="50" t="str">
        <f>IF(EquipmentTable[[#This Row],[Units]]&gt;0,"Quantity &gt; 0 Items","Quantity = 0 Items")</f>
        <v>Quantity = 0 Items</v>
      </c>
      <c r="I90" s="141">
        <f>RawList!J54</f>
        <v>14.95</v>
      </c>
      <c r="J90" s="24">
        <f>VALUE(EquipmentTable[[#This Row],[Units]]*EquipmentTable[[#This Row],[Unit
 Price]])</f>
        <v>0</v>
      </c>
      <c r="K90" s="50">
        <f>RawList!G54</f>
        <v>0</v>
      </c>
      <c r="L90" s="50"/>
      <c r="M90" s="50">
        <f>RawList!F54</f>
        <v>0</v>
      </c>
    </row>
    <row r="91" spans="2:13" x14ac:dyDescent="0.3">
      <c r="B91" s="50" t="str">
        <f>RawList!A55</f>
        <v>Primary Component</v>
      </c>
      <c r="C91" s="50" t="str">
        <f>RawList!B55</f>
        <v>Power Supply, Barrel Jack Cables/Adapters</v>
      </c>
      <c r="D91" s="50" t="str">
        <f>RawList!C55</f>
        <v>SparkFun</v>
      </c>
      <c r="E91" s="50" t="str">
        <f>RawList!H55</f>
        <v>Barrel Jack Extension Cable - M-F (6 ft)</v>
      </c>
      <c r="F91" s="50" t="str">
        <f>RawList!D55</f>
        <v>COM-11707</v>
      </c>
      <c r="G91" s="137">
        <f>RawList!E55</f>
        <v>5</v>
      </c>
      <c r="H91" s="50" t="str">
        <f>IF(EquipmentTable[[#This Row],[Units]]&gt;0,"Quantity &gt; 0 Items","Quantity = 0 Items")</f>
        <v>Quantity &gt; 0 Items</v>
      </c>
      <c r="I91" s="141">
        <f>RawList!J55</f>
        <v>1.95</v>
      </c>
      <c r="J91" s="24">
        <f>VALUE(EquipmentTable[[#This Row],[Units]]*EquipmentTable[[#This Row],[Unit
 Price]])</f>
        <v>9.75</v>
      </c>
      <c r="K91" s="50" t="str">
        <f>RawList!G55</f>
        <v>https://cdn.sparkfun.com/r/92-92/assets/parts/7/8/8/8/11707-01.jpg</v>
      </c>
      <c r="L91" s="50"/>
      <c r="M91" s="50" t="str">
        <f>RawList!F55</f>
        <v>https://www.sparkfun.com/products/11707</v>
      </c>
    </row>
    <row r="92" spans="2:13" x14ac:dyDescent="0.3">
      <c r="B92" s="50" t="str">
        <f>RawList!A56</f>
        <v>Primary Component</v>
      </c>
      <c r="C92" s="50" t="str">
        <f>RawList!B56</f>
        <v>Power Supply, Barrel Jack Cables/Adapters</v>
      </c>
      <c r="D92" s="50" t="str">
        <f>RawList!C56</f>
        <v>SparkFun</v>
      </c>
      <c r="E92" s="50" t="str">
        <f>RawList!H56</f>
        <v>Barrel Jack to 2-pin JST</v>
      </c>
      <c r="F92" s="50" t="str">
        <f>RawList!D56</f>
        <v>TOL-08734</v>
      </c>
      <c r="G92" s="137">
        <f>RawList!E56</f>
        <v>5</v>
      </c>
      <c r="H92" s="50" t="str">
        <f>IF(EquipmentTable[[#This Row],[Units]]&gt;0,"Quantity &gt; 0 Items","Quantity = 0 Items")</f>
        <v>Quantity &gt; 0 Items</v>
      </c>
      <c r="I92" s="141">
        <f>RawList!J56</f>
        <v>2.95</v>
      </c>
      <c r="J92" s="24">
        <f>VALUE(EquipmentTable[[#This Row],[Units]]*EquipmentTable[[#This Row],[Unit
 Price]])</f>
        <v>14.75</v>
      </c>
      <c r="K92" s="50" t="str">
        <f>RawList!G56</f>
        <v>https://cdn.sparkfun.com/r/92-92/assets/parts/1/9/2/1/08734-03-L.jpg</v>
      </c>
      <c r="L92" s="50"/>
      <c r="M92" s="50" t="str">
        <f>RawList!F56</f>
        <v>https://www.sparkfun.com/products/8734</v>
      </c>
    </row>
    <row r="93" spans="2:13" x14ac:dyDescent="0.3">
      <c r="B93" s="50" t="str">
        <f>RawList!A57</f>
        <v>Primary Component</v>
      </c>
      <c r="C93" s="50" t="str">
        <f>RawList!B57</f>
        <v>Power Supply, Barrel Jack Cables/Adapters</v>
      </c>
      <c r="D93" s="50" t="str">
        <f>RawList!C57</f>
        <v>SparkFun</v>
      </c>
      <c r="E93" s="50" t="str">
        <f>RawList!H57</f>
        <v>Barrel Jack Adapter - USB to 5.5mm</v>
      </c>
      <c r="F93" s="50" t="str">
        <f>RawList!D57</f>
        <v>TOL-08639</v>
      </c>
      <c r="G93" s="137">
        <f>RawList!E57</f>
        <v>5</v>
      </c>
      <c r="H93" s="50" t="str">
        <f>IF(EquipmentTable[[#This Row],[Units]]&gt;0,"Quantity &gt; 0 Items","Quantity = 0 Items")</f>
        <v>Quantity &gt; 0 Items</v>
      </c>
      <c r="I93" s="141">
        <f>RawList!J57</f>
        <v>2.95</v>
      </c>
      <c r="J93" s="24">
        <f>VALUE(EquipmentTable[[#This Row],[Units]]*EquipmentTable[[#This Row],[Unit
 Price]])</f>
        <v>14.75</v>
      </c>
      <c r="K93" s="50" t="str">
        <f>RawList!G57</f>
        <v>https://cdn.sparkfun.com/r/92-92/assets/parts/1/7/7/8/08639-01.jpg</v>
      </c>
      <c r="L93" s="50"/>
      <c r="M93" s="50" t="str">
        <f>RawList!F57</f>
        <v>https://www.sparkfun.com/products/8639</v>
      </c>
    </row>
    <row r="94" spans="2:13" x14ac:dyDescent="0.3">
      <c r="B94" s="50" t="str">
        <f>RawList!A58</f>
        <v>Primary Component</v>
      </c>
      <c r="C94" s="50" t="str">
        <f>RawList!B58</f>
        <v>Power Supply, Barrel Jack Cables/Adapters</v>
      </c>
      <c r="D94" s="50" t="str">
        <f>RawList!C58</f>
        <v>SparkFun</v>
      </c>
      <c r="E94" s="50" t="str">
        <f>RawList!H58</f>
        <v>Barrel Jack Power Switch - M-F (3\")</v>
      </c>
      <c r="F94" s="50" t="str">
        <f>RawList!D58</f>
        <v>COM-11705</v>
      </c>
      <c r="G94" s="137">
        <f>RawList!E58</f>
        <v>5</v>
      </c>
      <c r="H94" s="50" t="str">
        <f>IF(EquipmentTable[[#This Row],[Units]]&gt;0,"Quantity &gt; 0 Items","Quantity = 0 Items")</f>
        <v>Quantity &gt; 0 Items</v>
      </c>
      <c r="I94" s="141">
        <f>RawList!J58</f>
        <v>2.5</v>
      </c>
      <c r="J94" s="24">
        <f>VALUE(EquipmentTable[[#This Row],[Units]]*EquipmentTable[[#This Row],[Unit
 Price]])</f>
        <v>12.5</v>
      </c>
      <c r="K94" s="50" t="str">
        <f>RawList!G58</f>
        <v>https://cdn.sparkfun.com/r/92-92/assets/parts/7/8/8/6/11705-01.jpg</v>
      </c>
      <c r="L94" s="50"/>
      <c r="M94" s="50" t="str">
        <f>RawList!F58</f>
        <v>https://www.sparkfun.com/products/11705</v>
      </c>
    </row>
    <row r="95" spans="2:13" x14ac:dyDescent="0.3">
      <c r="B95" s="50" t="str">
        <f>RawList!A59</f>
        <v>Primary Component</v>
      </c>
      <c r="C95" s="50" t="str">
        <f>RawList!B59</f>
        <v>Power Supply, Barrel Jack Cables/Adapters</v>
      </c>
      <c r="D95" s="50" t="str">
        <f>RawList!C59</f>
        <v>Adafruit</v>
      </c>
      <c r="E95" s="50" t="str">
        <f>RawList!H59</f>
        <v>2.1mm female/male barrel jack extension cable - 1.5m / 5 ft</v>
      </c>
      <c r="F95" s="50" t="str">
        <f>RawList!D59</f>
        <v>327</v>
      </c>
      <c r="G95" s="137">
        <f>RawList!E59</f>
        <v>0</v>
      </c>
      <c r="H95" s="50" t="str">
        <f>IF(EquipmentTable[[#This Row],[Units]]&gt;0,"Quantity &gt; 0 Items","Quantity = 0 Items")</f>
        <v>Quantity = 0 Items</v>
      </c>
      <c r="I95" s="141">
        <f>RawList!J59</f>
        <v>2.95</v>
      </c>
      <c r="J95" s="24">
        <f>VALUE(EquipmentTable[[#This Row],[Units]]*EquipmentTable[[#This Row],[Unit
 Price]])</f>
        <v>0</v>
      </c>
      <c r="K95" s="50">
        <f>RawList!G59</f>
        <v>0</v>
      </c>
      <c r="L95" s="50"/>
      <c r="M95" s="50">
        <f>RawList!F59</f>
        <v>0</v>
      </c>
    </row>
    <row r="96" spans="2:13" x14ac:dyDescent="0.3">
      <c r="B96" s="50" t="str">
        <f>RawList!A60</f>
        <v>Primary Component</v>
      </c>
      <c r="C96" s="50" t="str">
        <f>RawList!B60</f>
        <v>Power Supply, Barrel Jack Cables/Adapters</v>
      </c>
      <c r="D96" s="50" t="str">
        <f>RawList!C60</f>
        <v>Adafruit</v>
      </c>
      <c r="E96" s="50" t="str">
        <f>RawList!H60</f>
        <v>2.1mm to 1.7mm DC jack adapter</v>
      </c>
      <c r="F96" s="50" t="str">
        <f>RawList!D60</f>
        <v>411</v>
      </c>
      <c r="G96" s="137">
        <f>RawList!E60</f>
        <v>1</v>
      </c>
      <c r="H96" s="50" t="str">
        <f>IF(EquipmentTable[[#This Row],[Units]]&gt;0,"Quantity &gt; 0 Items","Quantity = 0 Items")</f>
        <v>Quantity &gt; 0 Items</v>
      </c>
      <c r="I96" s="141">
        <f>RawList!J60</f>
        <v>2.5</v>
      </c>
      <c r="J96" s="24">
        <f>VALUE(EquipmentTable[[#This Row],[Units]]*EquipmentTable[[#This Row],[Unit
 Price]])</f>
        <v>2.5</v>
      </c>
      <c r="K96" s="50">
        <f>RawList!G60</f>
        <v>0</v>
      </c>
      <c r="L96" s="50"/>
      <c r="M96" s="50">
        <f>RawList!F60</f>
        <v>0</v>
      </c>
    </row>
    <row r="97" spans="2:13" x14ac:dyDescent="0.3">
      <c r="B97" s="50" t="str">
        <f>RawList!A61</f>
        <v>Primary Component</v>
      </c>
      <c r="C97" s="50" t="str">
        <f>RawList!B61</f>
        <v>Power Supply, Barrel Jack Cables/Adapters</v>
      </c>
      <c r="D97" s="50" t="str">
        <f>RawList!C61</f>
        <v>Adafruit</v>
      </c>
      <c r="E97" s="50" t="str">
        <f>RawList!H61</f>
        <v>2.1mm to 2.5mm DC Barrel Plug Adapter</v>
      </c>
      <c r="F97" s="50" t="str">
        <f>RawList!D61</f>
        <v>2897</v>
      </c>
      <c r="G97" s="137">
        <f>RawList!E61</f>
        <v>1</v>
      </c>
      <c r="H97" s="50" t="str">
        <f>IF(EquipmentTable[[#This Row],[Units]]&gt;0,"Quantity &gt; 0 Items","Quantity = 0 Items")</f>
        <v>Quantity &gt; 0 Items</v>
      </c>
      <c r="I97" s="141">
        <f>RawList!J61</f>
        <v>0.95</v>
      </c>
      <c r="J97" s="24">
        <f>VALUE(EquipmentTable[[#This Row],[Units]]*EquipmentTable[[#This Row],[Unit
 Price]])</f>
        <v>0.95</v>
      </c>
      <c r="K97" s="50">
        <f>RawList!G61</f>
        <v>0</v>
      </c>
      <c r="L97" s="50"/>
      <c r="M97" s="50">
        <f>RawList!F61</f>
        <v>0</v>
      </c>
    </row>
    <row r="98" spans="2:13" x14ac:dyDescent="0.3">
      <c r="B98" s="50" t="str">
        <f>RawList!A62</f>
        <v>Primary Component</v>
      </c>
      <c r="C98" s="50" t="str">
        <f>RawList!B62</f>
        <v>Power Supply, Barrel Jack Cables/Adapters</v>
      </c>
      <c r="D98" s="50" t="str">
        <f>RawList!C62</f>
        <v>Adafruit</v>
      </c>
      <c r="E98" s="50" t="str">
        <f>RawList!H62</f>
        <v>3.5 / 1.3mm or 3.8 / 1.1mm to 5.5 / 2.1mm DC Jack Adapter Cable</v>
      </c>
      <c r="F98" s="50" t="str">
        <f>RawList!D62</f>
        <v>2788</v>
      </c>
      <c r="G98" s="137">
        <f>RawList!E62</f>
        <v>1</v>
      </c>
      <c r="H98" s="50" t="str">
        <f>IF(EquipmentTable[[#This Row],[Units]]&gt;0,"Quantity &gt; 0 Items","Quantity = 0 Items")</f>
        <v>Quantity &gt; 0 Items</v>
      </c>
      <c r="I98" s="141">
        <f>RawList!J62</f>
        <v>0.95</v>
      </c>
      <c r="J98" s="24">
        <f>VALUE(EquipmentTable[[#This Row],[Units]]*EquipmentTable[[#This Row],[Unit
 Price]])</f>
        <v>0.95</v>
      </c>
      <c r="K98" s="50">
        <f>RawList!G62</f>
        <v>0</v>
      </c>
      <c r="L98" s="50"/>
      <c r="M98" s="50">
        <f>RawList!F62</f>
        <v>0</v>
      </c>
    </row>
    <row r="99" spans="2:13" x14ac:dyDescent="0.3">
      <c r="B99" s="50" t="str">
        <f>RawList!A63</f>
        <v>Primary Component</v>
      </c>
      <c r="C99" s="50" t="str">
        <f>RawList!B63</f>
        <v>Power Supply, USB Wall Wart</v>
      </c>
      <c r="D99" s="50" t="str">
        <f>RawList!C63</f>
        <v>SparkFun</v>
      </c>
      <c r="E99" s="50" t="str">
        <f>RawList!H63</f>
        <v>Wall Adapter Power Supply - 5V DC 2A (USB Micro-B)</v>
      </c>
      <c r="F99" s="50" t="str">
        <f>RawList!D63</f>
        <v>TOL-12890</v>
      </c>
      <c r="G99" s="137">
        <f>RawList!E63</f>
        <v>0</v>
      </c>
      <c r="H99" s="50" t="str">
        <f>IF(EquipmentTable[[#This Row],[Units]]&gt;0,"Quantity &gt; 0 Items","Quantity = 0 Items")</f>
        <v>Quantity = 0 Items</v>
      </c>
      <c r="I99" s="141">
        <f>RawList!J63</f>
        <v>5.95</v>
      </c>
      <c r="J99" s="24">
        <f>VALUE(EquipmentTable[[#This Row],[Units]]*EquipmentTable[[#This Row],[Unit
 Price]])</f>
        <v>0</v>
      </c>
      <c r="K99" s="50" t="str">
        <f>RawList!G63</f>
        <v>https://cdn.sparkfun.com/r/92-92/assets/parts/9/7/8/2/12890-01.jpg</v>
      </c>
      <c r="L99" s="50"/>
      <c r="M99" s="50" t="str">
        <f>RawList!F63</f>
        <v>https://www.sparkfun.com/products/12890</v>
      </c>
    </row>
    <row r="100" spans="2:13" x14ac:dyDescent="0.3">
      <c r="B100" s="50" t="str">
        <f>RawList!A64</f>
        <v>Primary Component</v>
      </c>
      <c r="C100" s="50" t="str">
        <f>RawList!B64</f>
        <v>Power Supply, USB Wall Wart</v>
      </c>
      <c r="D100" s="50" t="str">
        <f>RawList!C64</f>
        <v>Adafruit</v>
      </c>
      <c r="E100" s="50" t="str">
        <f>RawList!H64</f>
        <v>5V 1A (1000mA) USB port power supply - UL Listed</v>
      </c>
      <c r="F100" s="50" t="str">
        <f>RawList!D64</f>
        <v>501</v>
      </c>
      <c r="G100" s="137">
        <f>RawList!E64</f>
        <v>0</v>
      </c>
      <c r="H100" s="50" t="str">
        <f>IF(EquipmentTable[[#This Row],[Units]]&gt;0,"Quantity &gt; 0 Items","Quantity = 0 Items")</f>
        <v>Quantity = 0 Items</v>
      </c>
      <c r="I100" s="141">
        <f>RawList!J64</f>
        <v>5.95</v>
      </c>
      <c r="J100" s="24">
        <f>VALUE(EquipmentTable[[#This Row],[Units]]*EquipmentTable[[#This Row],[Unit
 Price]])</f>
        <v>0</v>
      </c>
      <c r="K100" s="50">
        <f>RawList!G64</f>
        <v>0</v>
      </c>
      <c r="L100" s="50"/>
      <c r="M100" s="50">
        <f>RawList!F64</f>
        <v>0</v>
      </c>
    </row>
    <row r="101" spans="2:13" x14ac:dyDescent="0.3">
      <c r="B101" s="50" t="str">
        <f>RawList!A65</f>
        <v>Primary Component</v>
      </c>
      <c r="C101" s="50" t="str">
        <f>RawList!B65</f>
        <v>Power Supply, USB Wall Wart</v>
      </c>
      <c r="D101" s="50" t="str">
        <f>RawList!C65</f>
        <v>Adafruit</v>
      </c>
      <c r="E101" s="50" t="str">
        <f>RawList!H65</f>
        <v>5V 2A Switching Power Supply w/ USB-A Connector</v>
      </c>
      <c r="F101" s="50" t="str">
        <f>RawList!D65</f>
        <v>1994</v>
      </c>
      <c r="G101" s="137">
        <f>RawList!E65</f>
        <v>5</v>
      </c>
      <c r="H101" s="50" t="str">
        <f>IF(EquipmentTable[[#This Row],[Units]]&gt;0,"Quantity &gt; 0 Items","Quantity = 0 Items")</f>
        <v>Quantity &gt; 0 Items</v>
      </c>
      <c r="I101" s="141">
        <f>RawList!J65</f>
        <v>6.95</v>
      </c>
      <c r="J101" s="24">
        <f>VALUE(EquipmentTable[[#This Row],[Units]]*EquipmentTable[[#This Row],[Unit
 Price]])</f>
        <v>34.75</v>
      </c>
      <c r="K101" s="50">
        <f>RawList!G65</f>
        <v>0</v>
      </c>
      <c r="L101" s="50"/>
      <c r="M101" s="50">
        <f>RawList!F65</f>
        <v>0</v>
      </c>
    </row>
    <row r="102" spans="2:13" x14ac:dyDescent="0.3">
      <c r="B102" s="50" t="str">
        <f>RawList!A66</f>
        <v>Primary Component</v>
      </c>
      <c r="C102" s="50" t="str">
        <f>RawList!B66</f>
        <v>Power Supply, USB Cables</v>
      </c>
      <c r="D102" s="50" t="str">
        <f>RawList!C66</f>
        <v>SparkFun</v>
      </c>
      <c r="E102" s="50" t="str">
        <f>RawList!H66</f>
        <v>USB Cable A to B - 6 Foot</v>
      </c>
      <c r="F102" s="50" t="str">
        <f>RawList!D66</f>
        <v>CAB-00512</v>
      </c>
      <c r="G102" s="137">
        <f>RawList!E66</f>
        <v>5</v>
      </c>
      <c r="H102" s="50" t="str">
        <f>IF(EquipmentTable[[#This Row],[Units]]&gt;0,"Quantity &gt; 0 Items","Quantity = 0 Items")</f>
        <v>Quantity &gt; 0 Items</v>
      </c>
      <c r="I102" s="141">
        <f>RawList!J66</f>
        <v>3.95</v>
      </c>
      <c r="J102" s="24">
        <f>VALUE(EquipmentTable[[#This Row],[Units]]*EquipmentTable[[#This Row],[Unit
 Price]])</f>
        <v>19.75</v>
      </c>
      <c r="K102" s="50" t="str">
        <f>RawList!G66</f>
        <v>https://cdn.sparkfun.com/r/92-92/assets/parts/2/7/7/00512-1.jpg</v>
      </c>
      <c r="L102" s="50"/>
      <c r="M102" s="50" t="str">
        <f>RawList!F66</f>
        <v>https://www.sparkfun.com/products/512</v>
      </c>
    </row>
    <row r="103" spans="2:13" x14ac:dyDescent="0.3">
      <c r="B103" s="50" t="str">
        <f>RawList!A67</f>
        <v>Primary Component</v>
      </c>
      <c r="C103" s="50" t="str">
        <f>RawList!B67</f>
        <v>Power Supply, USB Cables</v>
      </c>
      <c r="D103" s="50" t="str">
        <f>RawList!C67</f>
        <v>SparkFun</v>
      </c>
      <c r="E103" s="50" t="str">
        <f>RawList!H67</f>
        <v>SparkFun USB Mini-B Cable - 6 Foot</v>
      </c>
      <c r="F103" s="50" t="str">
        <f>RawList!D67</f>
        <v>CAB-11301</v>
      </c>
      <c r="G103" s="137">
        <f>RawList!E67</f>
        <v>5</v>
      </c>
      <c r="H103" s="50" t="str">
        <f>IF(EquipmentTable[[#This Row],[Units]]&gt;0,"Quantity &gt; 0 Items","Quantity = 0 Items")</f>
        <v>Quantity &gt; 0 Items</v>
      </c>
      <c r="I103" s="141">
        <f>RawList!J67</f>
        <v>3.95</v>
      </c>
      <c r="J103" s="24">
        <f>VALUE(EquipmentTable[[#This Row],[Units]]*EquipmentTable[[#This Row],[Unit
 Price]])</f>
        <v>19.75</v>
      </c>
      <c r="K103" s="50" t="str">
        <f>RawList!G67</f>
        <v>https://cdn.sparkfun.com/r/92-92/assets/parts/6/9/8/0/11301-01.jpg</v>
      </c>
      <c r="L103" s="50"/>
      <c r="M103" s="50" t="str">
        <f>RawList!F67</f>
        <v>https://www.sparkfun.com/products/11301</v>
      </c>
    </row>
    <row r="104" spans="2:13" x14ac:dyDescent="0.3">
      <c r="B104" s="50" t="str">
        <f>RawList!A68</f>
        <v>Primary Component</v>
      </c>
      <c r="C104" s="50" t="str">
        <f>RawList!B68</f>
        <v>Power Supply, USB Cables</v>
      </c>
      <c r="D104" s="50" t="str">
        <f>RawList!C68</f>
        <v>SparkFun</v>
      </c>
      <c r="E104" s="50" t="str">
        <f>RawList!H68</f>
        <v>USB Mini-B Cable - 6\"</v>
      </c>
      <c r="F104" s="50" t="str">
        <f>RawList!D68</f>
        <v>CAB-13243</v>
      </c>
      <c r="G104" s="137">
        <f>RawList!E68</f>
        <v>0</v>
      </c>
      <c r="H104" s="50" t="str">
        <f>IF(EquipmentTable[[#This Row],[Units]]&gt;0,"Quantity &gt; 0 Items","Quantity = 0 Items")</f>
        <v>Quantity = 0 Items</v>
      </c>
      <c r="I104" s="141">
        <f>RawList!J68</f>
        <v>1.95</v>
      </c>
      <c r="J104" s="24">
        <f>VALUE(EquipmentTable[[#This Row],[Units]]*EquipmentTable[[#This Row],[Unit
 Price]])</f>
        <v>0</v>
      </c>
      <c r="K104" s="50" t="str">
        <f>RawList!G68</f>
        <v>https://cdn.sparkfun.com/r/92-92/assets/parts/1/0/4/2/9/13243-01.jpg</v>
      </c>
      <c r="L104" s="50"/>
      <c r="M104" s="50" t="str">
        <f>RawList!F68</f>
        <v>https://www.sparkfun.com/products/13243</v>
      </c>
    </row>
    <row r="105" spans="2:13" x14ac:dyDescent="0.3">
      <c r="B105" s="50" t="str">
        <f>RawList!A69</f>
        <v>Primary Component</v>
      </c>
      <c r="C105" s="50" t="str">
        <f>RawList!B69</f>
        <v>Power Supply, USB Cables</v>
      </c>
      <c r="D105" s="50" t="str">
        <f>RawList!C69</f>
        <v>SparkFun</v>
      </c>
      <c r="E105" s="50" t="str">
        <f>RawList!H69</f>
        <v>Panel Mount USB to 4-pin Female Header Cable - 6\'</v>
      </c>
      <c r="F105" s="50" t="str">
        <f>RawList!D69</f>
        <v>CAB-10177</v>
      </c>
      <c r="G105" s="137">
        <f>RawList!E69</f>
        <v>1</v>
      </c>
      <c r="H105" s="50" t="str">
        <f>IF(EquipmentTable[[#This Row],[Units]]&gt;0,"Quantity &gt; 0 Items","Quantity = 0 Items")</f>
        <v>Quantity &gt; 0 Items</v>
      </c>
      <c r="I105" s="141">
        <f>RawList!J69</f>
        <v>2.95</v>
      </c>
      <c r="J105" s="24">
        <f>VALUE(EquipmentTable[[#This Row],[Units]]*EquipmentTable[[#This Row],[Unit
 Price]])</f>
        <v>2.95</v>
      </c>
      <c r="K105" s="50" t="str">
        <f>RawList!G69</f>
        <v>https://cdn.sparkfun.com/r/92-92/assets/parts/4/4/8/3/10177-01.jpg</v>
      </c>
      <c r="L105" s="50"/>
      <c r="M105" s="50" t="str">
        <f>RawList!F69</f>
        <v>https://www.sparkfun.com/products/10177</v>
      </c>
    </row>
    <row r="106" spans="2:13" x14ac:dyDescent="0.3">
      <c r="B106" s="50" t="str">
        <f>RawList!A70</f>
        <v>Primary Component</v>
      </c>
      <c r="C106" s="50" t="str">
        <f>RawList!B70</f>
        <v>Power Supply, USB Cables</v>
      </c>
      <c r="D106" s="50" t="str">
        <f>RawList!C70</f>
        <v>SparkFun</v>
      </c>
      <c r="E106" s="50" t="str">
        <f>RawList!H70</f>
        <v>USB micro-B Cable - 6 Foot</v>
      </c>
      <c r="F106" s="50" t="str">
        <f>RawList!D70</f>
        <v>CAB-10215</v>
      </c>
      <c r="G106" s="137">
        <f>RawList!E70</f>
        <v>5</v>
      </c>
      <c r="H106" s="50" t="str">
        <f>IF(EquipmentTable[[#This Row],[Units]]&gt;0,"Quantity &gt; 0 Items","Quantity = 0 Items")</f>
        <v>Quantity &gt; 0 Items</v>
      </c>
      <c r="I106" s="141">
        <f>RawList!J70</f>
        <v>4.95</v>
      </c>
      <c r="J106" s="24">
        <f>VALUE(EquipmentTable[[#This Row],[Units]]*EquipmentTable[[#This Row],[Unit
 Price]])</f>
        <v>24.75</v>
      </c>
      <c r="K106" s="50" t="str">
        <f>RawList!G70</f>
        <v>https://cdn.sparkfun.com/r/92-92/assets/parts/4/5/5/8/10215-01.jpg</v>
      </c>
      <c r="L106" s="50"/>
      <c r="M106" s="50" t="str">
        <f>RawList!F70</f>
        <v>https://www.sparkfun.com/products/10215</v>
      </c>
    </row>
    <row r="107" spans="2:13" x14ac:dyDescent="0.3">
      <c r="B107" s="50" t="str">
        <f>RawList!A71</f>
        <v>Primary Component</v>
      </c>
      <c r="C107" s="50" t="str">
        <f>RawList!B71</f>
        <v>Power Supply, USB Cables</v>
      </c>
      <c r="D107" s="50" t="str">
        <f>RawList!C71</f>
        <v>SparkFun</v>
      </c>
      <c r="E107" s="50" t="str">
        <f>RawList!H71</f>
        <v>USB Micro-B Cable - 6\"</v>
      </c>
      <c r="F107" s="50" t="str">
        <f>RawList!D71</f>
        <v>CAB-13244</v>
      </c>
      <c r="G107" s="137">
        <f>RawList!E71</f>
        <v>0</v>
      </c>
      <c r="H107" s="50" t="str">
        <f>IF(EquipmentTable[[#This Row],[Units]]&gt;0,"Quantity &gt; 0 Items","Quantity = 0 Items")</f>
        <v>Quantity = 0 Items</v>
      </c>
      <c r="I107" s="141">
        <f>RawList!J71</f>
        <v>1.95</v>
      </c>
      <c r="J107" s="24">
        <f>VALUE(EquipmentTable[[#This Row],[Units]]*EquipmentTable[[#This Row],[Unit
 Price]])</f>
        <v>0</v>
      </c>
      <c r="K107" s="50" t="str">
        <f>RawList!G71</f>
        <v>https://cdn.sparkfun.com/r/92-92/assets/parts/1/0/4/3/0/13244-01.jpg</v>
      </c>
      <c r="L107" s="50"/>
      <c r="M107" s="50" t="str">
        <f>RawList!F71</f>
        <v>https://www.sparkfun.com/products/13244</v>
      </c>
    </row>
    <row r="108" spans="2:13" x14ac:dyDescent="0.3">
      <c r="B108" s="50" t="str">
        <f>RawList!A72</f>
        <v>Primary Component</v>
      </c>
      <c r="C108" s="50" t="str">
        <f>RawList!B72</f>
        <v>Power Supply, USB Cables</v>
      </c>
      <c r="D108" s="50" t="str">
        <f>RawList!C72</f>
        <v>SparkFun</v>
      </c>
      <c r="E108" s="50" t="str">
        <f>RawList!H72</f>
        <v>SparkFun Hydra Power Cable - 6ft</v>
      </c>
      <c r="F108" s="50" t="str">
        <f>RawList!D72</f>
        <v>CAB-11579</v>
      </c>
      <c r="G108" s="137">
        <f>RawList!E72</f>
        <v>1</v>
      </c>
      <c r="H108" s="50" t="str">
        <f>IF(EquipmentTable[[#This Row],[Units]]&gt;0,"Quantity &gt; 0 Items","Quantity = 0 Items")</f>
        <v>Quantity &gt; 0 Items</v>
      </c>
      <c r="I108" s="141">
        <f>RawList!J72</f>
        <v>4.95</v>
      </c>
      <c r="J108" s="24">
        <f>VALUE(EquipmentTable[[#This Row],[Units]]*EquipmentTable[[#This Row],[Unit
 Price]])</f>
        <v>4.95</v>
      </c>
      <c r="K108" s="50" t="str">
        <f>RawList!G72</f>
        <v>https://cdn.sparkfun.com/r/92-92/assets/parts/7/5/6/8/11579-01.jpg</v>
      </c>
      <c r="L108" s="50"/>
      <c r="M108" s="50" t="str">
        <f>RawList!F72</f>
        <v>https://www.sparkfun.com/products/11579</v>
      </c>
    </row>
    <row r="109" spans="2:13" x14ac:dyDescent="0.3">
      <c r="B109" s="50" t="str">
        <f>RawList!A73</f>
        <v>Primary Component</v>
      </c>
      <c r="C109" s="50" t="str">
        <f>RawList!B73</f>
        <v>Power Supply, USB + Barrel Jack</v>
      </c>
      <c r="D109" s="50" t="str">
        <f>RawList!C73</f>
        <v>Adafruit</v>
      </c>
      <c r="E109" s="50" t="str">
        <f>RawList!H73</f>
        <v>MicroUSB Plug to 5.5/2.1mm DC Barrel Jack Adapter</v>
      </c>
      <c r="F109" s="50" t="str">
        <f>RawList!D73</f>
        <v>2727</v>
      </c>
      <c r="G109" s="137">
        <f>RawList!E73</f>
        <v>0</v>
      </c>
      <c r="H109" s="50" t="str">
        <f>IF(EquipmentTable[[#This Row],[Units]]&gt;0,"Quantity &gt; 0 Items","Quantity = 0 Items")</f>
        <v>Quantity = 0 Items</v>
      </c>
      <c r="I109" s="141">
        <f>RawList!J73</f>
        <v>1.95</v>
      </c>
      <c r="J109" s="24">
        <f>VALUE(EquipmentTable[[#This Row],[Units]]*EquipmentTable[[#This Row],[Unit
 Price]])</f>
        <v>0</v>
      </c>
      <c r="K109" s="50">
        <f>RawList!G73</f>
        <v>0</v>
      </c>
      <c r="L109" s="50"/>
      <c r="M109" s="50">
        <f>RawList!F73</f>
        <v>0</v>
      </c>
    </row>
    <row r="110" spans="2:13" x14ac:dyDescent="0.3">
      <c r="B110" s="50" t="str">
        <f>RawList!A74</f>
        <v>Primary Component</v>
      </c>
      <c r="C110" s="50" t="str">
        <f>RawList!B74</f>
        <v>Power Supply, USB + Barrel Jack</v>
      </c>
      <c r="D110" s="50" t="str">
        <f>RawList!C74</f>
        <v>Adafruit</v>
      </c>
      <c r="E110" s="50" t="str">
        <f>RawList!H74</f>
        <v>USB A Jack to 5.5/2.1mm jack adapter</v>
      </c>
      <c r="F110" s="50" t="str">
        <f>RawList!D74</f>
        <v>988</v>
      </c>
      <c r="G110" s="137">
        <f>RawList!E74</f>
        <v>0</v>
      </c>
      <c r="H110" s="50" t="str">
        <f>IF(EquipmentTable[[#This Row],[Units]]&gt;0,"Quantity &gt; 0 Items","Quantity = 0 Items")</f>
        <v>Quantity = 0 Items</v>
      </c>
      <c r="I110" s="141">
        <f>RawList!J74</f>
        <v>2.95</v>
      </c>
      <c r="J110" s="24">
        <f>VALUE(EquipmentTable[[#This Row],[Units]]*EquipmentTable[[#This Row],[Unit
 Price]])</f>
        <v>0</v>
      </c>
      <c r="K110" s="50">
        <f>RawList!G74</f>
        <v>0</v>
      </c>
      <c r="L110" s="50"/>
      <c r="M110" s="50">
        <f>RawList!F74</f>
        <v>0</v>
      </c>
    </row>
    <row r="111" spans="2:13" x14ac:dyDescent="0.3">
      <c r="B111" s="50" t="str">
        <f>RawList!A75</f>
        <v>Primary Component</v>
      </c>
      <c r="C111" s="50" t="str">
        <f>RawList!B75</f>
        <v>Power Supply, USB + Barrel Jack</v>
      </c>
      <c r="D111" s="50" t="str">
        <f>RawList!C75</f>
        <v>Adafruit</v>
      </c>
      <c r="E111" s="50" t="str">
        <f>RawList!H75</f>
        <v>USB to 2.1mm DC Booster Cable - 12V</v>
      </c>
      <c r="F111" s="50" t="str">
        <f>RawList!D75</f>
        <v>2778</v>
      </c>
      <c r="G111" s="137">
        <f>RawList!E75</f>
        <v>2</v>
      </c>
      <c r="H111" s="50" t="str">
        <f>IF(EquipmentTable[[#This Row],[Units]]&gt;0,"Quantity &gt; 0 Items","Quantity = 0 Items")</f>
        <v>Quantity &gt; 0 Items</v>
      </c>
      <c r="I111" s="141">
        <f>RawList!J75</f>
        <v>6.5</v>
      </c>
      <c r="J111" s="24">
        <f>VALUE(EquipmentTable[[#This Row],[Units]]*EquipmentTable[[#This Row],[Unit
 Price]])</f>
        <v>13</v>
      </c>
      <c r="K111" s="50">
        <f>RawList!G75</f>
        <v>0</v>
      </c>
      <c r="L111" s="50"/>
      <c r="M111" s="50">
        <f>RawList!F75</f>
        <v>0</v>
      </c>
    </row>
    <row r="112" spans="2:13" x14ac:dyDescent="0.3">
      <c r="B112" s="50" t="str">
        <f>RawList!A76</f>
        <v>Primary Component</v>
      </c>
      <c r="C112" s="50" t="str">
        <f>RawList!B76</f>
        <v>Power Supply, USB + Barrel Jack</v>
      </c>
      <c r="D112" s="50" t="str">
        <f>RawList!C76</f>
        <v>Adafruit</v>
      </c>
      <c r="E112" s="50" t="str">
        <f>RawList!H76</f>
        <v>USB to 2.1mm DC Booster Cable - 9V</v>
      </c>
      <c r="F112" s="50" t="str">
        <f>RawList!D76</f>
        <v>2777</v>
      </c>
      <c r="G112" s="137">
        <f>RawList!E76</f>
        <v>0</v>
      </c>
      <c r="H112" s="50" t="str">
        <f>IF(EquipmentTable[[#This Row],[Units]]&gt;0,"Quantity &gt; 0 Items","Quantity = 0 Items")</f>
        <v>Quantity = 0 Items</v>
      </c>
      <c r="I112" s="141">
        <f>RawList!J76</f>
        <v>6.5</v>
      </c>
      <c r="J112" s="24">
        <f>VALUE(EquipmentTable[[#This Row],[Units]]*EquipmentTable[[#This Row],[Unit
 Price]])</f>
        <v>0</v>
      </c>
      <c r="K112" s="50">
        <f>RawList!G76</f>
        <v>0</v>
      </c>
      <c r="L112" s="50"/>
      <c r="M112" s="50">
        <f>RawList!F76</f>
        <v>0</v>
      </c>
    </row>
    <row r="113" spans="2:13" x14ac:dyDescent="0.3">
      <c r="B113" s="50" t="str">
        <f>RawList!A77</f>
        <v>Primary Component</v>
      </c>
      <c r="C113" s="50" t="str">
        <f>RawList!B77</f>
        <v>Power Supply, USB + Barrel Jack</v>
      </c>
      <c r="D113" s="50" t="str">
        <f>RawList!C77</f>
        <v>Adafruit</v>
      </c>
      <c r="E113" s="50" t="str">
        <f>RawList!H77</f>
        <v>USB to 2.1mm Male Barrel Jack Cable - 22AWG &amp; 1 meter</v>
      </c>
      <c r="F113" s="50" t="str">
        <f>RawList!D77</f>
        <v>2697</v>
      </c>
      <c r="G113" s="137">
        <f>RawList!E77</f>
        <v>0</v>
      </c>
      <c r="H113" s="50" t="str">
        <f>IF(EquipmentTable[[#This Row],[Units]]&gt;0,"Quantity &gt; 0 Items","Quantity = 0 Items")</f>
        <v>Quantity = 0 Items</v>
      </c>
      <c r="I113" s="141">
        <f>RawList!J77</f>
        <v>2.75</v>
      </c>
      <c r="J113" s="24">
        <f>VALUE(EquipmentTable[[#This Row],[Units]]*EquipmentTable[[#This Row],[Unit
 Price]])</f>
        <v>0</v>
      </c>
      <c r="K113" s="50">
        <f>RawList!G77</f>
        <v>0</v>
      </c>
      <c r="L113" s="50"/>
      <c r="M113" s="50">
        <f>RawList!F77</f>
        <v>0</v>
      </c>
    </row>
    <row r="114" spans="2:13" x14ac:dyDescent="0.3">
      <c r="B114" s="50" t="str">
        <f>RawList!A78</f>
        <v>Primary Component</v>
      </c>
      <c r="C114" s="50" t="str">
        <f>RawList!B78</f>
        <v>Power Supply, USB + Barrel Jack</v>
      </c>
      <c r="D114" s="50" t="str">
        <f>RawList!C78</f>
        <v>Adafruit</v>
      </c>
      <c r="E114" s="50" t="str">
        <f>RawList!H78</f>
        <v>MicroUSB to 5.5/2.1mm DC Barrel Jack Adapter</v>
      </c>
      <c r="F114" s="50" t="str">
        <f>RawList!D78</f>
        <v>2789</v>
      </c>
      <c r="G114" s="137">
        <f>RawList!E78</f>
        <v>5</v>
      </c>
      <c r="H114" s="50" t="str">
        <f>IF(EquipmentTable[[#This Row],[Units]]&gt;0,"Quantity &gt; 0 Items","Quantity = 0 Items")</f>
        <v>Quantity &gt; 0 Items</v>
      </c>
      <c r="I114" s="141">
        <f>RawList!J78</f>
        <v>1.95</v>
      </c>
      <c r="J114" s="24">
        <f>VALUE(EquipmentTable[[#This Row],[Units]]*EquipmentTable[[#This Row],[Unit
 Price]])</f>
        <v>9.75</v>
      </c>
      <c r="K114" s="50">
        <f>RawList!G78</f>
        <v>0</v>
      </c>
      <c r="L114" s="50"/>
      <c r="M114" s="50">
        <f>RawList!F78</f>
        <v>0</v>
      </c>
    </row>
    <row r="115" spans="2:13" x14ac:dyDescent="0.3">
      <c r="B115" s="50" t="str">
        <f>RawList!A79</f>
        <v>Primary Component</v>
      </c>
      <c r="C115" s="50" t="str">
        <f>RawList!B79</f>
        <v>Power Supply, LiPO Battery Supply/Management</v>
      </c>
      <c r="D115" s="50" t="str">
        <f>RawList!C79</f>
        <v>SparkFun</v>
      </c>
      <c r="E115" s="50" t="str">
        <f>RawList!H79</f>
        <v>SparkFun LiPower Shield</v>
      </c>
      <c r="F115" s="50" t="str">
        <f>RawList!D79</f>
        <v>DEV-13158</v>
      </c>
      <c r="G115" s="137">
        <f>RawList!E79</f>
        <v>5</v>
      </c>
      <c r="H115" s="50" t="str">
        <f>IF(EquipmentTable[[#This Row],[Units]]&gt;0,"Quantity &gt; 0 Items","Quantity = 0 Items")</f>
        <v>Quantity &gt; 0 Items</v>
      </c>
      <c r="I115" s="141">
        <f>RawList!J79</f>
        <v>29.95</v>
      </c>
      <c r="J115" s="24">
        <f>VALUE(EquipmentTable[[#This Row],[Units]]*EquipmentTable[[#This Row],[Unit
 Price]])</f>
        <v>149.75</v>
      </c>
      <c r="K115" s="50" t="str">
        <f>RawList!G79</f>
        <v>https://cdn.sparkfun.com/r/92-92/assets/parts/1/0/2/7/0/13158-01.jpg</v>
      </c>
      <c r="L115" s="50"/>
      <c r="M115" s="50" t="str">
        <f>RawList!F79</f>
        <v>https://www.sparkfun.com/products/13158</v>
      </c>
    </row>
    <row r="116" spans="2:13" x14ac:dyDescent="0.3">
      <c r="B116" s="50" t="str">
        <f>RawList!A80</f>
        <v>Primary Component</v>
      </c>
      <c r="C116" s="50" t="str">
        <f>RawList!B80</f>
        <v>Power Supply, LiPO Battery Supply/Management</v>
      </c>
      <c r="D116" s="50" t="str">
        <f>RawList!C80</f>
        <v>SparkFun</v>
      </c>
      <c r="E116" s="50" t="str">
        <f>RawList!H80</f>
        <v>SparkFun USB LiPoly Charger - Single Cell</v>
      </c>
      <c r="F116" s="50" t="str">
        <f>RawList!D80</f>
        <v>PRT-12711</v>
      </c>
      <c r="G116" s="137">
        <f>RawList!E80</f>
        <v>5</v>
      </c>
      <c r="H116" s="50" t="str">
        <f>IF(EquipmentTable[[#This Row],[Units]]&gt;0,"Quantity &gt; 0 Items","Quantity = 0 Items")</f>
        <v>Quantity &gt; 0 Items</v>
      </c>
      <c r="I116" s="141">
        <f>RawList!J80</f>
        <v>14.95</v>
      </c>
      <c r="J116" s="24">
        <f>VALUE(EquipmentTable[[#This Row],[Units]]*EquipmentTable[[#This Row],[Unit
 Price]])</f>
        <v>74.75</v>
      </c>
      <c r="K116" s="50" t="str">
        <f>RawList!G80</f>
        <v>https://cdn.sparkfun.com/r/92-92/assets/parts/9/4/5/6/12711-01.jpg</v>
      </c>
      <c r="L116" s="50"/>
      <c r="M116" s="50" t="str">
        <f>RawList!F80</f>
        <v>https://www.sparkfun.com/products/12711</v>
      </c>
    </row>
    <row r="117" spans="2:13" x14ac:dyDescent="0.3">
      <c r="B117" s="50" t="str">
        <f>RawList!A81</f>
        <v>Primary Component</v>
      </c>
      <c r="C117" s="50" t="str">
        <f>RawList!B81</f>
        <v>Power Supply, LiPO Battery Supply/Management</v>
      </c>
      <c r="D117" s="50" t="str">
        <f>RawList!C81</f>
        <v>SparkFun</v>
      </c>
      <c r="E117" s="50" t="str">
        <f>RawList!H81</f>
        <v>SparkFun Battery Babysitter - LiPo Battery Manager</v>
      </c>
      <c r="F117" s="50" t="str">
        <f>RawList!D81</f>
        <v>PRT-13777</v>
      </c>
      <c r="G117" s="137">
        <f>RawList!E81</f>
        <v>1</v>
      </c>
      <c r="H117" s="50" t="str">
        <f>IF(EquipmentTable[[#This Row],[Units]]&gt;0,"Quantity &gt; 0 Items","Quantity = 0 Items")</f>
        <v>Quantity &gt; 0 Items</v>
      </c>
      <c r="I117" s="141">
        <f>RawList!J81</f>
        <v>19.95</v>
      </c>
      <c r="J117" s="24">
        <f>VALUE(EquipmentTable[[#This Row],[Units]]*EquipmentTable[[#This Row],[Unit
 Price]])</f>
        <v>19.95</v>
      </c>
      <c r="K117" s="50" t="str">
        <f>RawList!G81</f>
        <v>https://cdn.sparkfun.com/r/92-92/assets/parts/1/1/3/3/1/13777-01.jpg</v>
      </c>
      <c r="L117" s="50"/>
      <c r="M117" s="50" t="str">
        <f>RawList!F81</f>
        <v>https://www.sparkfun.com/products/13777</v>
      </c>
    </row>
    <row r="118" spans="2:13" x14ac:dyDescent="0.3">
      <c r="B118" s="50" t="str">
        <f>RawList!A82</f>
        <v>Primary Component</v>
      </c>
      <c r="C118" s="50" t="str">
        <f>RawList!B82</f>
        <v>Power Supply, LiPO Battery Supply/Management</v>
      </c>
      <c r="D118" s="50" t="str">
        <f>RawList!C82</f>
        <v>SparkFun</v>
      </c>
      <c r="E118" s="50" t="str">
        <f>RawList!H82</f>
        <v>Lithium Ion Battery - 6Ah</v>
      </c>
      <c r="F118" s="50" t="str">
        <f>RawList!D82</f>
        <v>PRT-13856</v>
      </c>
      <c r="G118" s="137">
        <f>RawList!E82</f>
        <v>5</v>
      </c>
      <c r="H118" s="50" t="str">
        <f>IF(EquipmentTable[[#This Row],[Units]]&gt;0,"Quantity &gt; 0 Items","Quantity = 0 Items")</f>
        <v>Quantity &gt; 0 Items</v>
      </c>
      <c r="I118" s="141">
        <f>RawList!J82</f>
        <v>29.95</v>
      </c>
      <c r="J118" s="24">
        <f>VALUE(EquipmentTable[[#This Row],[Units]]*EquipmentTable[[#This Row],[Unit
 Price]])</f>
        <v>149.75</v>
      </c>
      <c r="K118" s="50" t="str">
        <f>RawList!G82</f>
        <v>https://cdn.sparkfun.com/r/92-92/assets/parts/1/1/4/6/3/13856-01.jpg</v>
      </c>
      <c r="L118" s="50"/>
      <c r="M118" s="50" t="str">
        <f>RawList!F82</f>
        <v>https://www.sparkfun.com/products/13856</v>
      </c>
    </row>
    <row r="119" spans="2:13" x14ac:dyDescent="0.3">
      <c r="B119" s="50" t="str">
        <f>RawList!A83</f>
        <v>Primary Component</v>
      </c>
      <c r="C119" s="50" t="str">
        <f>RawList!B83</f>
        <v>Power Supply, LiPO Battery Supply/Management</v>
      </c>
      <c r="D119" s="50" t="str">
        <f>RawList!C83</f>
        <v>SparkFun</v>
      </c>
      <c r="E119" s="50" t="str">
        <f>RawList!H83</f>
        <v>Lithium Ion Battery - 2Ah</v>
      </c>
      <c r="F119" s="50" t="str">
        <f>RawList!D83</f>
        <v>PRT-13855</v>
      </c>
      <c r="G119" s="137">
        <f>RawList!E83</f>
        <v>2</v>
      </c>
      <c r="H119" s="50" t="str">
        <f>IF(EquipmentTable[[#This Row],[Units]]&gt;0,"Quantity &gt; 0 Items","Quantity = 0 Items")</f>
        <v>Quantity &gt; 0 Items</v>
      </c>
      <c r="I119" s="141">
        <f>RawList!J83</f>
        <v>12.95</v>
      </c>
      <c r="J119" s="24">
        <f>VALUE(EquipmentTable[[#This Row],[Units]]*EquipmentTable[[#This Row],[Unit
 Price]])</f>
        <v>25.9</v>
      </c>
      <c r="K119" s="50" t="str">
        <f>RawList!G83</f>
        <v>https://cdn.sparkfun.com/r/92-92/assets/parts/1/1/4/6/2/13855-01.jpg</v>
      </c>
      <c r="L119" s="50"/>
      <c r="M119" s="50" t="str">
        <f>RawList!F83</f>
        <v>https://www.sparkfun.com/products/13855</v>
      </c>
    </row>
    <row r="120" spans="2:13" x14ac:dyDescent="0.3">
      <c r="B120" s="50" t="str">
        <f>RawList!A84</f>
        <v>Primary Component</v>
      </c>
      <c r="C120" s="50" t="str">
        <f>RawList!B84</f>
        <v>Power Supply, Breadboard</v>
      </c>
      <c r="D120" s="50" t="str">
        <f>RawList!C84</f>
        <v>SparkFun</v>
      </c>
      <c r="E120" s="50" t="str">
        <f>RawList!H84</f>
        <v>SparkFun Breadboard Power Supply Stick - 5V/3.3V</v>
      </c>
      <c r="F120" s="50" t="str">
        <f>RawList!D84</f>
        <v>PRT-13032</v>
      </c>
      <c r="G120" s="137">
        <f>RawList!E84</f>
        <v>5</v>
      </c>
      <c r="H120" s="50" t="str">
        <f>IF(EquipmentTable[[#This Row],[Units]]&gt;0,"Quantity &gt; 0 Items","Quantity = 0 Items")</f>
        <v>Quantity &gt; 0 Items</v>
      </c>
      <c r="I120" s="141">
        <f>RawList!J84</f>
        <v>9.9499999999999993</v>
      </c>
      <c r="J120" s="24">
        <f>VALUE(EquipmentTable[[#This Row],[Units]]*EquipmentTable[[#This Row],[Unit
 Price]])</f>
        <v>49.75</v>
      </c>
      <c r="K120" s="50" t="str">
        <f>RawList!G84</f>
        <v>https://cdn.sparkfun.com/r/92-92/assets/parts/1/0/0/3/2/13032-01.jpg</v>
      </c>
      <c r="L120" s="50"/>
      <c r="M120" s="50" t="str">
        <f>RawList!F84</f>
        <v>https://www.sparkfun.com/products/13032</v>
      </c>
    </row>
    <row r="121" spans="2:13" x14ac:dyDescent="0.3">
      <c r="B121" s="50" t="str">
        <f>RawList!A85</f>
        <v>Primary Component</v>
      </c>
      <c r="C121" s="50" t="str">
        <f>RawList!B85</f>
        <v>Power Supply, Breadboard</v>
      </c>
      <c r="D121" s="50" t="str">
        <f>RawList!C85</f>
        <v>SparkFun</v>
      </c>
      <c r="E121" s="50" t="str">
        <f>RawList!H85</f>
        <v>SparkFun Breadboard Power Supply 5V/3.3V</v>
      </c>
      <c r="F121" s="50" t="str">
        <f>RawList!D85</f>
        <v>PRT-00114</v>
      </c>
      <c r="G121" s="137">
        <f>RawList!E85</f>
        <v>2</v>
      </c>
      <c r="H121" s="50" t="str">
        <f>IF(EquipmentTable[[#This Row],[Units]]&gt;0,"Quantity &gt; 0 Items","Quantity = 0 Items")</f>
        <v>Quantity &gt; 0 Items</v>
      </c>
      <c r="I121" s="141">
        <f>RawList!J85</f>
        <v>9.9499999999999993</v>
      </c>
      <c r="J121" s="24">
        <f>VALUE(EquipmentTable[[#This Row],[Units]]*EquipmentTable[[#This Row],[Unit
 Price]])</f>
        <v>19.899999999999999</v>
      </c>
      <c r="K121" s="50" t="str">
        <f>RawList!G85</f>
        <v>https://cdn.sparkfun.com/r/92-92/assets/parts/1/0/4/00114-05.jpg</v>
      </c>
      <c r="L121" s="50"/>
      <c r="M121" s="50" t="str">
        <f>RawList!F85</f>
        <v>https://www.sparkfun.com/products/114</v>
      </c>
    </row>
    <row r="122" spans="2:13" x14ac:dyDescent="0.3">
      <c r="B122" s="50" t="str">
        <f>RawList!A86</f>
        <v>Primary Component</v>
      </c>
      <c r="C122" s="50" t="str">
        <f>RawList!B86</f>
        <v>Power Supply, Breadboard</v>
      </c>
      <c r="D122" s="50" t="str">
        <f>RawList!C86</f>
        <v>Adafruit</v>
      </c>
      <c r="E122" s="50" t="str">
        <f>RawList!H86</f>
        <v>Adjustable breadboard power supply kit - v1.0</v>
      </c>
      <c r="F122" s="50" t="str">
        <f>RawList!D86</f>
        <v>184</v>
      </c>
      <c r="G122" s="137">
        <f>RawList!E86</f>
        <v>0</v>
      </c>
      <c r="H122" s="50" t="str">
        <f>IF(EquipmentTable[[#This Row],[Units]]&gt;0,"Quantity &gt; 0 Items","Quantity = 0 Items")</f>
        <v>Quantity = 0 Items</v>
      </c>
      <c r="I122" s="141">
        <f>RawList!J86</f>
        <v>14.95</v>
      </c>
      <c r="J122" s="24">
        <f>VALUE(EquipmentTable[[#This Row],[Units]]*EquipmentTable[[#This Row],[Unit
 Price]])</f>
        <v>0</v>
      </c>
      <c r="K122" s="50">
        <f>RawList!G86</f>
        <v>0</v>
      </c>
      <c r="L122" s="50"/>
      <c r="M122" s="50">
        <f>RawList!F86</f>
        <v>0</v>
      </c>
    </row>
    <row r="123" spans="2:13" x14ac:dyDescent="0.3">
      <c r="B123" s="50" t="str">
        <f>RawList!A87</f>
        <v>Primary Component</v>
      </c>
      <c r="C123" s="50" t="str">
        <f>RawList!B87</f>
        <v>Power Supply, Breadboard</v>
      </c>
      <c r="D123" s="50" t="str">
        <f>RawList!C87</f>
        <v>SparkFun</v>
      </c>
      <c r="E123" s="50" t="str">
        <f>RawList!H87</f>
        <v>DC Barrel Jack Adapter - Breadboard Compatible</v>
      </c>
      <c r="F123" s="50" t="str">
        <f>RawList!D87</f>
        <v>PRT-10811</v>
      </c>
      <c r="G123" s="137">
        <f>RawList!E87</f>
        <v>6</v>
      </c>
      <c r="H123" s="50" t="str">
        <f>IF(EquipmentTable[[#This Row],[Units]]&gt;0,"Quantity &gt; 0 Items","Quantity = 0 Items")</f>
        <v>Quantity &gt; 0 Items</v>
      </c>
      <c r="I123" s="141">
        <f>RawList!J87</f>
        <v>0.95</v>
      </c>
      <c r="J123" s="24">
        <f>VALUE(EquipmentTable[[#This Row],[Units]]*EquipmentTable[[#This Row],[Unit
 Price]])</f>
        <v>5.6999999999999993</v>
      </c>
      <c r="K123" s="50" t="str">
        <f>RawList!G87</f>
        <v>https://cdn.sparkfun.com/r/92-92/assets/parts/5/8/0/3/10811-01.jpg</v>
      </c>
      <c r="L123" s="50"/>
      <c r="M123" s="50" t="str">
        <f>RawList!F87</f>
        <v>https://www.sparkfun.com/products/10811</v>
      </c>
    </row>
    <row r="124" spans="2:13" x14ac:dyDescent="0.3">
      <c r="B124" s="50" t="str">
        <f>RawList!A88</f>
        <v>Primary Component</v>
      </c>
      <c r="C124" s="50" t="str">
        <f>RawList!B88</f>
        <v>Power Supply, Breadboard</v>
      </c>
      <c r="D124" s="50" t="str">
        <f>RawList!C88</f>
        <v>Adafruit</v>
      </c>
      <c r="E124" s="50" t="str">
        <f>RawList!H88</f>
        <v xml:space="preserve">Breadboard-friendly 2.1mm DC barrel jack </v>
      </c>
      <c r="F124" s="50" t="str">
        <f>RawList!D88</f>
        <v>373</v>
      </c>
      <c r="G124" s="137">
        <f>RawList!E88</f>
        <v>0</v>
      </c>
      <c r="H124" s="50" t="str">
        <f>IF(EquipmentTable[[#This Row],[Units]]&gt;0,"Quantity &gt; 0 Items","Quantity = 0 Items")</f>
        <v>Quantity = 0 Items</v>
      </c>
      <c r="I124" s="141">
        <f>RawList!J88</f>
        <v>0.95</v>
      </c>
      <c r="J124" s="24">
        <f>VALUE(EquipmentTable[[#This Row],[Units]]*EquipmentTable[[#This Row],[Unit
 Price]])</f>
        <v>0</v>
      </c>
      <c r="K124" s="50">
        <f>RawList!G88</f>
        <v>0</v>
      </c>
      <c r="L124" s="50"/>
      <c r="M124" s="50">
        <f>RawList!F88</f>
        <v>0</v>
      </c>
    </row>
    <row r="125" spans="2:13" x14ac:dyDescent="0.3">
      <c r="B125" s="50" t="str">
        <f>RawList!A89</f>
        <v>Primary Component</v>
      </c>
      <c r="C125" s="50" t="str">
        <f>RawList!B89</f>
        <v>Power Supply, Control/Switch</v>
      </c>
      <c r="D125" s="50" t="str">
        <f>RawList!C89</f>
        <v>SparkFun</v>
      </c>
      <c r="E125" s="50" t="str">
        <f>RawList!H89</f>
        <v>SparkFun MOSFET Power Controller</v>
      </c>
      <c r="F125" s="50" t="str">
        <f>RawList!D89</f>
        <v>PRT-11214</v>
      </c>
      <c r="G125" s="137">
        <f>RawList!E89</f>
        <v>5</v>
      </c>
      <c r="H125" s="50" t="str">
        <f>IF(EquipmentTable[[#This Row],[Units]]&gt;0,"Quantity &gt; 0 Items","Quantity = 0 Items")</f>
        <v>Quantity &gt; 0 Items</v>
      </c>
      <c r="I125" s="141">
        <f>RawList!J89</f>
        <v>6.95</v>
      </c>
      <c r="J125" s="24">
        <f>VALUE(EquipmentTable[[#This Row],[Units]]*EquipmentTable[[#This Row],[Unit
 Price]])</f>
        <v>34.75</v>
      </c>
      <c r="K125" s="50" t="str">
        <f>RawList!G89</f>
        <v>https://cdn.sparkfun.com/r/92-92/assets/parts/6/7/9/7/11214-02.jpg</v>
      </c>
      <c r="L125" s="50"/>
      <c r="M125" s="50" t="str">
        <f>RawList!F89</f>
        <v>https://www.sparkfun.com/products/11214</v>
      </c>
    </row>
    <row r="126" spans="2:13" x14ac:dyDescent="0.3">
      <c r="B126" s="50" t="str">
        <f>RawList!A90</f>
        <v>Primary Component</v>
      </c>
      <c r="C126" s="50" t="str">
        <f>RawList!B90</f>
        <v>Power Supply, Control/Switch</v>
      </c>
      <c r="D126" s="50" t="str">
        <f>RawList!C90</f>
        <v>Adafruit</v>
      </c>
      <c r="E126" s="50" t="str">
        <f>RawList!H90</f>
        <v>In-line power switch for 2.1mm barrel jack</v>
      </c>
      <c r="F126" s="50" t="str">
        <f>RawList!D90</f>
        <v>1125</v>
      </c>
      <c r="G126" s="137">
        <f>RawList!E90</f>
        <v>0</v>
      </c>
      <c r="H126" s="50" t="str">
        <f>IF(EquipmentTable[[#This Row],[Units]]&gt;0,"Quantity &gt; 0 Items","Quantity = 0 Items")</f>
        <v>Quantity = 0 Items</v>
      </c>
      <c r="I126" s="141">
        <f>RawList!J90</f>
        <v>2.5</v>
      </c>
      <c r="J126" s="24">
        <f>VALUE(EquipmentTable[[#This Row],[Units]]*EquipmentTable[[#This Row],[Unit
 Price]])</f>
        <v>0</v>
      </c>
      <c r="K126" s="50">
        <f>RawList!G90</f>
        <v>0</v>
      </c>
      <c r="L126" s="50"/>
      <c r="M126" s="50">
        <f>RawList!F90</f>
        <v>0</v>
      </c>
    </row>
    <row r="127" spans="2:13" x14ac:dyDescent="0.3">
      <c r="B127" s="50" t="str">
        <f>RawList!A91</f>
        <v>Primary Component</v>
      </c>
      <c r="C127" s="50" t="str">
        <f>RawList!B91</f>
        <v>Power Supply, DIY Cables</v>
      </c>
      <c r="D127" s="50" t="str">
        <f>RawList!C91</f>
        <v>Adafruit</v>
      </c>
      <c r="E127" s="50" t="str">
        <f>RawList!H91</f>
        <v>Waterproof DC Power Cable Set - 5.5/2.1mm</v>
      </c>
      <c r="F127" s="50" t="str">
        <f>RawList!D91</f>
        <v>743</v>
      </c>
      <c r="G127" s="137">
        <f>RawList!E91</f>
        <v>6</v>
      </c>
      <c r="H127" s="50" t="str">
        <f>IF(EquipmentTable[[#This Row],[Units]]&gt;0,"Quantity &gt; 0 Items","Quantity = 0 Items")</f>
        <v>Quantity &gt; 0 Items</v>
      </c>
      <c r="I127" s="141">
        <f>RawList!J91</f>
        <v>2.5</v>
      </c>
      <c r="J127" s="24">
        <f>VALUE(EquipmentTable[[#This Row],[Units]]*EquipmentTable[[#This Row],[Unit
 Price]])</f>
        <v>15</v>
      </c>
      <c r="K127" s="50">
        <f>RawList!G91</f>
        <v>0</v>
      </c>
      <c r="L127" s="50"/>
      <c r="M127" s="50">
        <f>RawList!F91</f>
        <v>0</v>
      </c>
    </row>
    <row r="128" spans="2:13" x14ac:dyDescent="0.3">
      <c r="B128" s="50" t="str">
        <f>RawList!A92</f>
        <v>Primary Component</v>
      </c>
      <c r="C128" s="50" t="str">
        <f>RawList!B92</f>
        <v>Power Supply, DIY Cables</v>
      </c>
      <c r="D128" s="50" t="str">
        <f>RawList!C92</f>
        <v>SparkFun</v>
      </c>
      <c r="E128" s="50" t="str">
        <f>RawList!H92</f>
        <v>DC Barrel Jack Adapter - Female</v>
      </c>
      <c r="F128" s="50" t="str">
        <f>RawList!D92</f>
        <v>PRT-10288</v>
      </c>
      <c r="G128" s="137">
        <f>RawList!E92</f>
        <v>0</v>
      </c>
      <c r="H128" s="50" t="str">
        <f>IF(EquipmentTable[[#This Row],[Units]]&gt;0,"Quantity &gt; 0 Items","Quantity = 0 Items")</f>
        <v>Quantity = 0 Items</v>
      </c>
      <c r="I128" s="141">
        <f>RawList!J92</f>
        <v>2.95</v>
      </c>
      <c r="J128" s="24">
        <f>VALUE(EquipmentTable[[#This Row],[Units]]*EquipmentTable[[#This Row],[Unit
 Price]])</f>
        <v>0</v>
      </c>
      <c r="K128" s="50" t="str">
        <f>RawList!G92</f>
        <v>https://cdn.sparkfun.com/r/92-92/assets/parts/4/6/8/4/10288-02.jpg</v>
      </c>
      <c r="L128" s="50"/>
      <c r="M128" s="50" t="str">
        <f>RawList!F92</f>
        <v>https://www.sparkfun.com/products/10288</v>
      </c>
    </row>
    <row r="129" spans="2:13" x14ac:dyDescent="0.3">
      <c r="B129" s="50" t="str">
        <f>RawList!A93</f>
        <v>Primary Component</v>
      </c>
      <c r="C129" s="50" t="str">
        <f>RawList!B93</f>
        <v>Power Supply, DIY Cables</v>
      </c>
      <c r="D129" s="50" t="str">
        <f>RawList!C93</f>
        <v>SparkFun</v>
      </c>
      <c r="E129" s="50" t="str">
        <f>RawList!H93</f>
        <v>DC Barrel Jack Adapter - Male</v>
      </c>
      <c r="F129" s="50" t="str">
        <f>RawList!D93</f>
        <v>PRT-10287</v>
      </c>
      <c r="G129" s="137">
        <f>RawList!E93</f>
        <v>0</v>
      </c>
      <c r="H129" s="50" t="str">
        <f>IF(EquipmentTable[[#This Row],[Units]]&gt;0,"Quantity &gt; 0 Items","Quantity = 0 Items")</f>
        <v>Quantity = 0 Items</v>
      </c>
      <c r="I129" s="141">
        <f>RawList!J93</f>
        <v>2.95</v>
      </c>
      <c r="J129" s="24">
        <f>VALUE(EquipmentTable[[#This Row],[Units]]*EquipmentTable[[#This Row],[Unit
 Price]])</f>
        <v>0</v>
      </c>
      <c r="K129" s="50" t="str">
        <f>RawList!G93</f>
        <v>https://cdn.sparkfun.com/r/92-92/assets/parts/4/6/8/3/10287-01.jpg</v>
      </c>
      <c r="L129" s="50"/>
      <c r="M129" s="50" t="str">
        <f>RawList!F93</f>
        <v>https://www.sparkfun.com/products/10287</v>
      </c>
    </row>
    <row r="130" spans="2:13" x14ac:dyDescent="0.3">
      <c r="B130" s="50" t="str">
        <f>RawList!A94</f>
        <v>Primary Component</v>
      </c>
      <c r="C130" s="50" t="str">
        <f>RawList!B94</f>
        <v>Power Supply, DIY Cables</v>
      </c>
      <c r="D130" s="50" t="str">
        <f>RawList!C94</f>
        <v>Adafruit</v>
      </c>
      <c r="E130" s="50" t="str">
        <f>RawList!H94</f>
        <v>Female DC Power adapter - 2.1mm jack to screw terminal block</v>
      </c>
      <c r="F130" s="50" t="str">
        <f>RawList!D94</f>
        <v>368</v>
      </c>
      <c r="G130" s="137">
        <f>RawList!E94</f>
        <v>0</v>
      </c>
      <c r="H130" s="50" t="str">
        <f>IF(EquipmentTable[[#This Row],[Units]]&gt;0,"Quantity &gt; 0 Items","Quantity = 0 Items")</f>
        <v>Quantity = 0 Items</v>
      </c>
      <c r="I130" s="141">
        <f>RawList!J94</f>
        <v>2</v>
      </c>
      <c r="J130" s="24">
        <f>VALUE(EquipmentTable[[#This Row],[Units]]*EquipmentTable[[#This Row],[Unit
 Price]])</f>
        <v>0</v>
      </c>
      <c r="K130" s="50">
        <f>RawList!G94</f>
        <v>0</v>
      </c>
      <c r="L130" s="50"/>
      <c r="M130" s="50">
        <f>RawList!F94</f>
        <v>0</v>
      </c>
    </row>
    <row r="131" spans="2:13" x14ac:dyDescent="0.3">
      <c r="B131" s="50" t="str">
        <f>RawList!A95</f>
        <v>Primary Component</v>
      </c>
      <c r="C131" s="50" t="str">
        <f>RawList!B95</f>
        <v>Power Supply, DIY Cables</v>
      </c>
      <c r="D131" s="50" t="str">
        <f>RawList!C95</f>
        <v>Adafruit</v>
      </c>
      <c r="E131" s="50" t="str">
        <f>RawList!H95</f>
        <v>Male DC Power adapter - 2.1mm plug to screw terminal block</v>
      </c>
      <c r="F131" s="50" t="str">
        <f>RawList!D95</f>
        <v>369</v>
      </c>
      <c r="G131" s="137">
        <f>RawList!E95</f>
        <v>0</v>
      </c>
      <c r="H131" s="50" t="str">
        <f>IF(EquipmentTable[[#This Row],[Units]]&gt;0,"Quantity &gt; 0 Items","Quantity = 0 Items")</f>
        <v>Quantity = 0 Items</v>
      </c>
      <c r="I131" s="141">
        <f>RawList!J95</f>
        <v>2</v>
      </c>
      <c r="J131" s="24">
        <f>VALUE(EquipmentTable[[#This Row],[Units]]*EquipmentTable[[#This Row],[Unit
 Price]])</f>
        <v>0</v>
      </c>
      <c r="K131" s="50">
        <f>RawList!G95</f>
        <v>0</v>
      </c>
      <c r="L131" s="50"/>
      <c r="M131" s="50">
        <f>RawList!F95</f>
        <v>0</v>
      </c>
    </row>
    <row r="132" spans="2:13" x14ac:dyDescent="0.3">
      <c r="B132" s="50" t="str">
        <f>RawList!A96</f>
        <v>Primary Component</v>
      </c>
      <c r="C132" s="50" t="str">
        <f>RawList!B96</f>
        <v>Power Supply, DIY Cables</v>
      </c>
      <c r="D132" s="50" t="str">
        <f>RawList!C96</f>
        <v>SparkFun</v>
      </c>
      <c r="E132" s="50" t="str">
        <f>RawList!H96</f>
        <v>DC Barrel Jack Plug - Female</v>
      </c>
      <c r="F132" s="50" t="str">
        <f>RawList!D96</f>
        <v>PRT-13126</v>
      </c>
      <c r="G132" s="137">
        <f>RawList!E96</f>
        <v>2</v>
      </c>
      <c r="H132" s="50" t="str">
        <f>IF(EquipmentTable[[#This Row],[Units]]&gt;0,"Quantity &gt; 0 Items","Quantity = 0 Items")</f>
        <v>Quantity &gt; 0 Items</v>
      </c>
      <c r="I132" s="141">
        <f>RawList!J96</f>
        <v>0.95</v>
      </c>
      <c r="J132" s="24">
        <f>VALUE(EquipmentTable[[#This Row],[Units]]*EquipmentTable[[#This Row],[Unit
 Price]])</f>
        <v>1.9</v>
      </c>
      <c r="K132" s="50" t="str">
        <f>RawList!G96</f>
        <v>https://cdn.sparkfun.com/r/92-92/assets/parts/1/0/1/9/0/13126-01.jpg</v>
      </c>
      <c r="L132" s="50"/>
      <c r="M132" s="50" t="str">
        <f>RawList!F96</f>
        <v>https://www.sparkfun.com/products/13126</v>
      </c>
    </row>
    <row r="133" spans="2:13" x14ac:dyDescent="0.3">
      <c r="B133" s="50" t="str">
        <f>RawList!A97</f>
        <v>Primary Component</v>
      </c>
      <c r="C133" s="50" t="str">
        <f>RawList!B97</f>
        <v>Power Supply, DIY Cables</v>
      </c>
      <c r="D133" s="50" t="str">
        <f>RawList!C97</f>
        <v>SparkFun</v>
      </c>
      <c r="E133" s="50" t="str">
        <f>RawList!H97</f>
        <v>DC Barrel Jack Plug - Male</v>
      </c>
      <c r="F133" s="50" t="str">
        <f>RawList!D97</f>
        <v>PRT-11476</v>
      </c>
      <c r="G133" s="137">
        <f>RawList!E97</f>
        <v>6</v>
      </c>
      <c r="H133" s="50" t="str">
        <f>IF(EquipmentTable[[#This Row],[Units]]&gt;0,"Quantity &gt; 0 Items","Quantity = 0 Items")</f>
        <v>Quantity &gt; 0 Items</v>
      </c>
      <c r="I133" s="141">
        <f>RawList!J97</f>
        <v>0.95</v>
      </c>
      <c r="J133" s="24">
        <f>VALUE(EquipmentTable[[#This Row],[Units]]*EquipmentTable[[#This Row],[Unit
 Price]])</f>
        <v>5.6999999999999993</v>
      </c>
      <c r="K133" s="50" t="str">
        <f>RawList!G97</f>
        <v>https://cdn.sparkfun.com/r/92-92/assets/parts/7/3/6/3/11476-01.jpg</v>
      </c>
      <c r="L133" s="50"/>
      <c r="M133" s="50" t="str">
        <f>RawList!F97</f>
        <v>https://www.sparkfun.com/products/11476</v>
      </c>
    </row>
    <row r="134" spans="2:13" x14ac:dyDescent="0.3">
      <c r="B134" s="50" t="str">
        <f>RawList!A98</f>
        <v>Primary Component</v>
      </c>
      <c r="C134" s="50" t="str">
        <f>RawList!B98</f>
        <v>Power Supply, DIY Cables</v>
      </c>
      <c r="D134" s="50" t="str">
        <f>RawList!C98</f>
        <v>SparkFun</v>
      </c>
      <c r="E134" s="50" t="str">
        <f>RawList!H98</f>
        <v>Car Adapter Plug - Red LED</v>
      </c>
      <c r="F134" s="50" t="str">
        <f>RawList!D98</f>
        <v>PRT-11474</v>
      </c>
      <c r="G134" s="137">
        <f>RawList!E98</f>
        <v>4</v>
      </c>
      <c r="H134" s="50" t="str">
        <f>IF(EquipmentTable[[#This Row],[Units]]&gt;0,"Quantity &gt; 0 Items","Quantity = 0 Items")</f>
        <v>Quantity &gt; 0 Items</v>
      </c>
      <c r="I134" s="141">
        <f>RawList!J98</f>
        <v>0.3</v>
      </c>
      <c r="J134" s="24">
        <f>VALUE(EquipmentTable[[#This Row],[Units]]*EquipmentTable[[#This Row],[Unit
 Price]])</f>
        <v>1.2</v>
      </c>
      <c r="K134" s="50" t="str">
        <f>RawList!G98</f>
        <v>https://cdn.sparkfun.com/r/92-92/assets/parts/7/3/6/1/11474-01.jpg</v>
      </c>
      <c r="L134" s="50"/>
      <c r="M134" s="50" t="str">
        <f>RawList!F98</f>
        <v>https://www.sparkfun.com/products/11474</v>
      </c>
    </row>
    <row r="135" spans="2:13" x14ac:dyDescent="0.3">
      <c r="B135" s="50" t="str">
        <f>RawList!A99</f>
        <v>Primary Component</v>
      </c>
      <c r="C135" s="50" t="str">
        <f>RawList!B99</f>
        <v>Power Supply, DIY Cables</v>
      </c>
      <c r="D135" s="50" t="str">
        <f>RawList!C99</f>
        <v>Adafruit</v>
      </c>
      <c r="E135" s="50" t="str">
        <f>RawList!H99</f>
        <v>USB DIY Connector - MicroB Female Plug</v>
      </c>
      <c r="F135" s="50" t="str">
        <f>RawList!D99</f>
        <v>1829</v>
      </c>
      <c r="G135" s="137">
        <f>RawList!E99</f>
        <v>0</v>
      </c>
      <c r="H135" s="50" t="str">
        <f>IF(EquipmentTable[[#This Row],[Units]]&gt;0,"Quantity &gt; 0 Items","Quantity = 0 Items")</f>
        <v>Quantity = 0 Items</v>
      </c>
      <c r="I135" s="141">
        <f>RawList!J99</f>
        <v>0.95</v>
      </c>
      <c r="J135" s="24">
        <f>VALUE(EquipmentTable[[#This Row],[Units]]*EquipmentTable[[#This Row],[Unit
 Price]])</f>
        <v>0</v>
      </c>
      <c r="K135" s="50">
        <f>RawList!G99</f>
        <v>0</v>
      </c>
      <c r="L135" s="50"/>
      <c r="M135" s="50">
        <f>RawList!F99</f>
        <v>0</v>
      </c>
    </row>
    <row r="136" spans="2:13" x14ac:dyDescent="0.3">
      <c r="B136" s="50" t="str">
        <f>RawList!A100</f>
        <v>Primary Component</v>
      </c>
      <c r="C136" s="50" t="str">
        <f>RawList!B100</f>
        <v>Power Supply, DIY Cables</v>
      </c>
      <c r="D136" s="50" t="str">
        <f>RawList!C100</f>
        <v>Adafruit</v>
      </c>
      <c r="E136" s="50" t="str">
        <f>RawList!H100</f>
        <v>USB DIY Connector Shell - Type A Socket</v>
      </c>
      <c r="F136" s="50" t="str">
        <f>RawList!D100</f>
        <v>1388</v>
      </c>
      <c r="G136" s="137">
        <f>RawList!E100</f>
        <v>0</v>
      </c>
      <c r="H136" s="50" t="str">
        <f>IF(EquipmentTable[[#This Row],[Units]]&gt;0,"Quantity &gt; 0 Items","Quantity = 0 Items")</f>
        <v>Quantity = 0 Items</v>
      </c>
      <c r="I136" s="141">
        <f>RawList!J100</f>
        <v>0.95</v>
      </c>
      <c r="J136" s="24">
        <f>VALUE(EquipmentTable[[#This Row],[Units]]*EquipmentTable[[#This Row],[Unit
 Price]])</f>
        <v>0</v>
      </c>
      <c r="K136" s="50">
        <f>RawList!G100</f>
        <v>0</v>
      </c>
      <c r="L136" s="50"/>
      <c r="M136" s="50">
        <f>RawList!F100</f>
        <v>0</v>
      </c>
    </row>
    <row r="137" spans="2:13" x14ac:dyDescent="0.3">
      <c r="B137" s="50" t="str">
        <f>RawList!A101</f>
        <v>Primary Component</v>
      </c>
      <c r="C137" s="50" t="str">
        <f>RawList!B101</f>
        <v>Power Supply, DIY Cables</v>
      </c>
      <c r="D137" s="50" t="str">
        <f>RawList!C101</f>
        <v>Adafruit</v>
      </c>
      <c r="E137" s="50" t="str">
        <f>RawList!H101</f>
        <v>USB DIY Connector Shell - Type Micro-B Plug</v>
      </c>
      <c r="F137" s="50" t="str">
        <f>RawList!D101</f>
        <v>1390</v>
      </c>
      <c r="G137" s="137">
        <f>RawList!E101</f>
        <v>0</v>
      </c>
      <c r="H137" s="50" t="str">
        <f>IF(EquipmentTable[[#This Row],[Units]]&gt;0,"Quantity &gt; 0 Items","Quantity = 0 Items")</f>
        <v>Quantity = 0 Items</v>
      </c>
      <c r="I137" s="141">
        <f>RawList!J101</f>
        <v>0.95</v>
      </c>
      <c r="J137" s="24">
        <f>VALUE(EquipmentTable[[#This Row],[Units]]*EquipmentTable[[#This Row],[Unit
 Price]])</f>
        <v>0</v>
      </c>
      <c r="K137" s="50">
        <f>RawList!G101</f>
        <v>0</v>
      </c>
      <c r="L137" s="50"/>
      <c r="M137" s="50">
        <f>RawList!F101</f>
        <v>0</v>
      </c>
    </row>
    <row r="138" spans="2:13" x14ac:dyDescent="0.3">
      <c r="B138" s="50" t="str">
        <f>RawList!A102</f>
        <v>Primary Component</v>
      </c>
      <c r="C138" s="50" t="str">
        <f>RawList!B102</f>
        <v>Power Supply, DIY Cables</v>
      </c>
      <c r="D138" s="50" t="str">
        <f>RawList!C102</f>
        <v>Adafruit</v>
      </c>
      <c r="E138" s="50" t="str">
        <f>RawList!H102</f>
        <v>USB DIY Connector Shell - Type Mini-B Plug</v>
      </c>
      <c r="F138" s="50" t="str">
        <f>RawList!D102</f>
        <v>1389</v>
      </c>
      <c r="G138" s="137">
        <f>RawList!E102</f>
        <v>0</v>
      </c>
      <c r="H138" s="50" t="str">
        <f>IF(EquipmentTable[[#This Row],[Units]]&gt;0,"Quantity &gt; 0 Items","Quantity = 0 Items")</f>
        <v>Quantity = 0 Items</v>
      </c>
      <c r="I138" s="141">
        <f>RawList!J102</f>
        <v>0.95</v>
      </c>
      <c r="J138" s="24">
        <f>VALUE(EquipmentTable[[#This Row],[Units]]*EquipmentTable[[#This Row],[Unit
 Price]])</f>
        <v>0</v>
      </c>
      <c r="K138" s="50">
        <f>RawList!G102</f>
        <v>0</v>
      </c>
      <c r="L138" s="50"/>
      <c r="M138" s="50">
        <f>RawList!F102</f>
        <v>0</v>
      </c>
    </row>
    <row r="139" spans="2:13" x14ac:dyDescent="0.3">
      <c r="B139" s="50" t="str">
        <f>RawList!A103</f>
        <v>Primary Component</v>
      </c>
      <c r="C139" s="50" t="str">
        <f>RawList!B103</f>
        <v>Power Supply, DIY Cables</v>
      </c>
      <c r="D139" s="50" t="str">
        <f>RawList!C103</f>
        <v>Adafruit</v>
      </c>
      <c r="E139" s="50" t="str">
        <f>RawList!H103</f>
        <v>USB DIY Slim Connector Shell - A-M Plug</v>
      </c>
      <c r="F139" s="50" t="str">
        <f>RawList!D103</f>
        <v>1827</v>
      </c>
      <c r="G139" s="137">
        <f>RawList!E103</f>
        <v>0</v>
      </c>
      <c r="H139" s="50" t="str">
        <f>IF(EquipmentTable[[#This Row],[Units]]&gt;0,"Quantity &gt; 0 Items","Quantity = 0 Items")</f>
        <v>Quantity = 0 Items</v>
      </c>
      <c r="I139" s="141">
        <f>RawList!J103</f>
        <v>0.95</v>
      </c>
      <c r="J139" s="24">
        <f>VALUE(EquipmentTable[[#This Row],[Units]]*EquipmentTable[[#This Row],[Unit
 Price]])</f>
        <v>0</v>
      </c>
      <c r="K139" s="50">
        <f>RawList!G103</f>
        <v>0</v>
      </c>
      <c r="L139" s="50"/>
      <c r="M139" s="50">
        <f>RawList!F103</f>
        <v>0</v>
      </c>
    </row>
    <row r="140" spans="2:13" x14ac:dyDescent="0.3">
      <c r="B140" s="50" t="str">
        <f>RawList!A104</f>
        <v>Primary Component</v>
      </c>
      <c r="C140" s="50" t="str">
        <f>RawList!B104</f>
        <v>Power Supply, DIY Cables</v>
      </c>
      <c r="D140" s="50" t="str">
        <f>RawList!C104</f>
        <v>Adafruit</v>
      </c>
      <c r="E140" s="50" t="str">
        <f>RawList!H104</f>
        <v>USB DIY Slim Connector Shell - MicroB Plug</v>
      </c>
      <c r="F140" s="50" t="str">
        <f>RawList!D104</f>
        <v>1826</v>
      </c>
      <c r="G140" s="137">
        <f>RawList!E104</f>
        <v>0</v>
      </c>
      <c r="H140" s="50" t="str">
        <f>IF(EquipmentTable[[#This Row],[Units]]&gt;0,"Quantity &gt; 0 Items","Quantity = 0 Items")</f>
        <v>Quantity = 0 Items</v>
      </c>
      <c r="I140" s="141">
        <f>RawList!J104</f>
        <v>0.95</v>
      </c>
      <c r="J140" s="24">
        <f>VALUE(EquipmentTable[[#This Row],[Units]]*EquipmentTable[[#This Row],[Unit
 Price]])</f>
        <v>0</v>
      </c>
      <c r="K140" s="50">
        <f>RawList!G104</f>
        <v>0</v>
      </c>
      <c r="L140" s="50"/>
      <c r="M140" s="50">
        <f>RawList!F104</f>
        <v>0</v>
      </c>
    </row>
    <row r="141" spans="2:13" x14ac:dyDescent="0.3">
      <c r="B141" s="50" t="str">
        <f>RawList!A105</f>
        <v>Primary Component</v>
      </c>
      <c r="C141" s="50" t="str">
        <f>RawList!B105</f>
        <v>Proximity/Distance</v>
      </c>
      <c r="D141" s="50" t="str">
        <f>RawList!C105</f>
        <v>SparkFun</v>
      </c>
      <c r="E141" s="50" t="str">
        <f>RawList!H105</f>
        <v>Optical Detector / Phototransistor - QRD1114</v>
      </c>
      <c r="F141" s="50" t="str">
        <f>RawList!D105</f>
        <v>SEN-00246</v>
      </c>
      <c r="G141" s="137">
        <f>RawList!E105</f>
        <v>5</v>
      </c>
      <c r="H141" s="50" t="str">
        <f>IF(EquipmentTable[[#This Row],[Units]]&gt;0,"Quantity &gt; 0 Items","Quantity = 0 Items")</f>
        <v>Quantity &gt; 0 Items</v>
      </c>
      <c r="I141" s="141">
        <f>RawList!J105</f>
        <v>0.95</v>
      </c>
      <c r="J141" s="24">
        <f>VALUE(EquipmentTable[[#This Row],[Units]]*EquipmentTable[[#This Row],[Unit
 Price]])</f>
        <v>4.75</v>
      </c>
      <c r="K141" s="50" t="str">
        <f>RawList!G105</f>
        <v>https://cdn.sparkfun.com/r/92-92/assets/parts/1/8/8/00246a-01.jpg</v>
      </c>
      <c r="L141" s="50"/>
      <c r="M141" s="50" t="str">
        <f>RawList!F105</f>
        <v>https://www.sparkfun.com/products/246</v>
      </c>
    </row>
    <row r="142" spans="2:13" x14ac:dyDescent="0.3">
      <c r="B142" s="50" t="str">
        <f>RawList!A106</f>
        <v>Primary Component</v>
      </c>
      <c r="C142" s="50" t="str">
        <f>RawList!B106</f>
        <v>Proximity/Distance</v>
      </c>
      <c r="D142" s="50" t="str">
        <f>RawList!C106</f>
        <v>SparkFun</v>
      </c>
      <c r="E142" s="50" t="str">
        <f>RawList!H106</f>
        <v>Infrared Emitters and Detectors</v>
      </c>
      <c r="F142" s="50" t="str">
        <f>RawList!D106</f>
        <v>SEN-00241</v>
      </c>
      <c r="G142" s="137">
        <f>RawList!E106</f>
        <v>20</v>
      </c>
      <c r="H142" s="50" t="str">
        <f>IF(EquipmentTable[[#This Row],[Units]]&gt;0,"Quantity &gt; 0 Items","Quantity = 0 Items")</f>
        <v>Quantity &gt; 0 Items</v>
      </c>
      <c r="I142" s="141">
        <f>RawList!J106</f>
        <v>1.95</v>
      </c>
      <c r="J142" s="24">
        <f>VALUE(EquipmentTable[[#This Row],[Units]]*EquipmentTable[[#This Row],[Unit
 Price]])</f>
        <v>39</v>
      </c>
      <c r="K142" s="50" t="str">
        <f>RawList!G106</f>
        <v>https://cdn.sparkfun.com/r/92-92/assets/parts/1/8/3/00241-02.jpg</v>
      </c>
      <c r="L142" s="50"/>
      <c r="M142" s="50" t="str">
        <f>RawList!F106</f>
        <v>https://www.sparkfun.com/products/241</v>
      </c>
    </row>
    <row r="143" spans="2:13" x14ac:dyDescent="0.3">
      <c r="B143" s="50" t="str">
        <f>RawList!A107</f>
        <v>Primary Component</v>
      </c>
      <c r="C143" s="50" t="str">
        <f>RawList!B107</f>
        <v>Proximity/Distance</v>
      </c>
      <c r="D143" s="50" t="str">
        <f>RawList!C107</f>
        <v>SparkFun</v>
      </c>
      <c r="E143" s="50" t="str">
        <f>RawList!H107</f>
        <v>SparkFun OpenPIR</v>
      </c>
      <c r="F143" s="50" t="str">
        <f>RawList!D107</f>
        <v>SEN-13968</v>
      </c>
      <c r="G143" s="137">
        <f>RawList!E107</f>
        <v>5</v>
      </c>
      <c r="H143" s="50" t="str">
        <f>IF(EquipmentTable[[#This Row],[Units]]&gt;0,"Quantity &gt; 0 Items","Quantity = 0 Items")</f>
        <v>Quantity &gt; 0 Items</v>
      </c>
      <c r="I143" s="141">
        <f>RawList!J107</f>
        <v>14.95</v>
      </c>
      <c r="J143" s="24">
        <f>VALUE(EquipmentTable[[#This Row],[Units]]*EquipmentTable[[#This Row],[Unit
 Price]])</f>
        <v>74.75</v>
      </c>
      <c r="K143" s="50" t="str">
        <f>RawList!G107</f>
        <v>https://cdn.sparkfun.com/r/92-92/assets/parts/1/1/7/0/6/13968-01.jpg</v>
      </c>
      <c r="L143" s="50"/>
      <c r="M143" s="50" t="str">
        <f>RawList!F107</f>
        <v>https://www.sparkfun.com/products/13968</v>
      </c>
    </row>
    <row r="144" spans="2:13" x14ac:dyDescent="0.3">
      <c r="B144" s="50" t="str">
        <f>RawList!A108</f>
        <v>Primary Component</v>
      </c>
      <c r="C144" s="50" t="str">
        <f>RawList!B108</f>
        <v>Proximity/Distance</v>
      </c>
      <c r="D144" s="50" t="str">
        <f>RawList!C108</f>
        <v>SparkFun</v>
      </c>
      <c r="E144" s="50" t="str">
        <f>RawList!H108</f>
        <v>Ultrasonic Sensor - HC-SR04</v>
      </c>
      <c r="F144" s="50" t="str">
        <f>RawList!D108</f>
        <v>SEN-13959</v>
      </c>
      <c r="G144" s="137">
        <f>RawList!E108</f>
        <v>10</v>
      </c>
      <c r="H144" s="50" t="str">
        <f>IF(EquipmentTable[[#This Row],[Units]]&gt;0,"Quantity &gt; 0 Items","Quantity = 0 Items")</f>
        <v>Quantity &gt; 0 Items</v>
      </c>
      <c r="I144" s="141">
        <f>RawList!J108</f>
        <v>3.95</v>
      </c>
      <c r="J144" s="24">
        <f>VALUE(EquipmentTable[[#This Row],[Units]]*EquipmentTable[[#This Row],[Unit
 Price]])</f>
        <v>39.5</v>
      </c>
      <c r="K144" s="50" t="str">
        <f>RawList!G108</f>
        <v>https://cdn.sparkfun.com/r/92-92/assets/parts/1/1/6/6/8/13959-01a.jpg</v>
      </c>
      <c r="L144" s="50"/>
      <c r="M144" s="50" t="str">
        <f>RawList!F108</f>
        <v>https://www.sparkfun.com/products/13959</v>
      </c>
    </row>
    <row r="145" spans="2:13" x14ac:dyDescent="0.3">
      <c r="B145" s="50" t="str">
        <f>RawList!A109</f>
        <v>Primary Component</v>
      </c>
      <c r="C145" s="50" t="str">
        <f>RawList!B109</f>
        <v>Proximity/Distance</v>
      </c>
      <c r="D145" s="50" t="str">
        <f>RawList!C109</f>
        <v>SparkFun</v>
      </c>
      <c r="E145" s="50" t="str">
        <f>RawList!H109</f>
        <v>SparkFun ToF Range Finder Sensor - VL6180</v>
      </c>
      <c r="F145" s="50" t="str">
        <f>RawList!D109</f>
        <v>SEN-12785</v>
      </c>
      <c r="G145" s="137">
        <f>RawList!E109</f>
        <v>0</v>
      </c>
      <c r="H145" s="50" t="str">
        <f>IF(EquipmentTable[[#This Row],[Units]]&gt;0,"Quantity &gt; 0 Items","Quantity = 0 Items")</f>
        <v>Quantity = 0 Items</v>
      </c>
      <c r="I145" s="141">
        <f>RawList!J109</f>
        <v>24.95</v>
      </c>
      <c r="J145" s="24">
        <f>VALUE(EquipmentTable[[#This Row],[Units]]*EquipmentTable[[#This Row],[Unit
 Price]])</f>
        <v>0</v>
      </c>
      <c r="K145" s="50" t="str">
        <f>RawList!G109</f>
        <v>https://cdn.sparkfun.com/r/92-92/assets/parts/9/5/9/7/12785-01.jpg</v>
      </c>
      <c r="L145" s="50"/>
      <c r="M145" s="50" t="str">
        <f>RawList!F109</f>
        <v>https://www.sparkfun.com/products/12785</v>
      </c>
    </row>
    <row r="146" spans="2:13" x14ac:dyDescent="0.3">
      <c r="B146" s="50" t="str">
        <f>RawList!A110</f>
        <v>Primary Component</v>
      </c>
      <c r="C146" s="50" t="str">
        <f>RawList!B110</f>
        <v>Proximity/Distance</v>
      </c>
      <c r="D146" s="50" t="str">
        <f>RawList!C110</f>
        <v>SparkFun</v>
      </c>
      <c r="E146" s="50" t="str">
        <f>RawList!H110</f>
        <v>ZX Distance and Gesture Sensor</v>
      </c>
      <c r="F146" s="50" t="str">
        <f>RawList!D110</f>
        <v>SEN-13162</v>
      </c>
      <c r="G146" s="137">
        <f>RawList!E110</f>
        <v>5</v>
      </c>
      <c r="H146" s="50" t="str">
        <f>IF(EquipmentTable[[#This Row],[Units]]&gt;0,"Quantity &gt; 0 Items","Quantity = 0 Items")</f>
        <v>Quantity &gt; 0 Items</v>
      </c>
      <c r="I146" s="141">
        <f>RawList!J110</f>
        <v>24.95</v>
      </c>
      <c r="J146" s="24">
        <f>VALUE(EquipmentTable[[#This Row],[Units]]*EquipmentTable[[#This Row],[Unit
 Price]])</f>
        <v>124.75</v>
      </c>
      <c r="K146" s="50" t="str">
        <f>RawList!G110</f>
        <v>https://cdn.sparkfun.com/r/92-92/assets/parts/1/0/2/7/9/13162-01a.jpg</v>
      </c>
      <c r="L146" s="50"/>
      <c r="M146" s="50" t="str">
        <f>RawList!F110</f>
        <v>https://www.sparkfun.com/products/13162</v>
      </c>
    </row>
    <row r="147" spans="2:13" x14ac:dyDescent="0.3">
      <c r="B147" s="50" t="str">
        <f>RawList!A111</f>
        <v>Primary Component</v>
      </c>
      <c r="C147" s="50" t="str">
        <f>RawList!B111</f>
        <v>Proximity/Distance</v>
      </c>
      <c r="D147" s="50" t="str">
        <f>RawList!C111</f>
        <v>SparkFun</v>
      </c>
      <c r="E147" s="50" t="str">
        <f>RawList!H111</f>
        <v>SparkFun RGB and Gesture Sensor - APDS-9960</v>
      </c>
      <c r="F147" s="50" t="str">
        <f>RawList!D111</f>
        <v>SEN-12787</v>
      </c>
      <c r="G147" s="137">
        <f>RawList!E111</f>
        <v>0</v>
      </c>
      <c r="H147" s="50" t="str">
        <f>IF(EquipmentTable[[#This Row],[Units]]&gt;0,"Quantity &gt; 0 Items","Quantity = 0 Items")</f>
        <v>Quantity = 0 Items</v>
      </c>
      <c r="I147" s="141">
        <f>RawList!J111</f>
        <v>14.95</v>
      </c>
      <c r="J147" s="24">
        <f>VALUE(EquipmentTable[[#This Row],[Units]]*EquipmentTable[[#This Row],[Unit
 Price]])</f>
        <v>0</v>
      </c>
      <c r="K147" s="50" t="str">
        <f>RawList!G111</f>
        <v>https://cdn.sparkfun.com/r/92-92/assets/parts/9/6/0/3/12787-01.jpg</v>
      </c>
      <c r="L147" s="50"/>
      <c r="M147" s="50" t="str">
        <f>RawList!F111</f>
        <v>https://www.sparkfun.com/products/12787</v>
      </c>
    </row>
    <row r="148" spans="2:13" x14ac:dyDescent="0.3">
      <c r="B148" s="50" t="str">
        <f>RawList!A112</f>
        <v>Primary Component</v>
      </c>
      <c r="C148" s="50" t="str">
        <f>RawList!B112</f>
        <v>Proximity/Distance</v>
      </c>
      <c r="D148" s="50" t="str">
        <f>RawList!C112</f>
        <v>SparkFun</v>
      </c>
      <c r="E148" s="50" t="str">
        <f>RawList!H112</f>
        <v>Qwiic Distance Sensor - RFD77402</v>
      </c>
      <c r="F148" s="50" t="str">
        <f>RawList!D112</f>
        <v>SPX-14343</v>
      </c>
      <c r="G148" s="137">
        <f>RawList!E112</f>
        <v>3</v>
      </c>
      <c r="H148" s="50" t="str">
        <f>IF(EquipmentTable[[#This Row],[Units]]&gt;0,"Quantity &gt; 0 Items","Quantity = 0 Items")</f>
        <v>Quantity &gt; 0 Items</v>
      </c>
      <c r="I148" s="141">
        <f>RawList!J112</f>
        <v>19.95</v>
      </c>
      <c r="J148" s="24">
        <f>VALUE(EquipmentTable[[#This Row],[Units]]*EquipmentTable[[#This Row],[Unit
 Price]])</f>
        <v>59.849999999999994</v>
      </c>
      <c r="K148" s="50" t="str">
        <f>RawList!G112</f>
        <v>https://cdn.sparkfun.com/r/92-92/assets/parts/1/2/3/1/9/ToFQuarter.jpg</v>
      </c>
      <c r="L148" s="50"/>
      <c r="M148" s="50" t="str">
        <f>RawList!F112</f>
        <v>https://www.sparkfun.com/products/14343</v>
      </c>
    </row>
    <row r="149" spans="2:13" x14ac:dyDescent="0.3">
      <c r="B149" s="50" t="str">
        <f>RawList!A113</f>
        <v>Primary Component</v>
      </c>
      <c r="C149" s="50" t="str">
        <f>RawList!B113</f>
        <v>Proximity/Distance</v>
      </c>
      <c r="D149" s="50" t="str">
        <f>RawList!C113</f>
        <v>SparkFun</v>
      </c>
      <c r="E149" s="50" t="str">
        <f>RawList!H113</f>
        <v>Infrared Proximity Sensor - Sharp GP2Y0A21YK</v>
      </c>
      <c r="F149" s="50" t="str">
        <f>RawList!D113</f>
        <v>SEN-00242</v>
      </c>
      <c r="G149" s="137">
        <f>RawList!E113</f>
        <v>0</v>
      </c>
      <c r="H149" s="50" t="str">
        <f>IF(EquipmentTable[[#This Row],[Units]]&gt;0,"Quantity &gt; 0 Items","Quantity = 0 Items")</f>
        <v>Quantity = 0 Items</v>
      </c>
      <c r="I149" s="141">
        <f>RawList!J113</f>
        <v>13.95</v>
      </c>
      <c r="J149" s="24">
        <f>VALUE(EquipmentTable[[#This Row],[Units]]*EquipmentTable[[#This Row],[Unit
 Price]])</f>
        <v>0</v>
      </c>
      <c r="K149" s="50" t="str">
        <f>RawList!G113</f>
        <v>https://cdn.sparkfun.com/r/92-92/assets/parts/1/8/4/00242-1.jpg</v>
      </c>
      <c r="L149" s="50"/>
      <c r="M149" s="50" t="str">
        <f>RawList!F113</f>
        <v>https://www.sparkfun.com/products/242</v>
      </c>
    </row>
    <row r="150" spans="2:13" x14ac:dyDescent="0.3">
      <c r="B150" s="50" t="str">
        <f>RawList!A114</f>
        <v>Primary Component</v>
      </c>
      <c r="C150" s="50" t="str">
        <f>RawList!B114</f>
        <v>Proximity/Distance</v>
      </c>
      <c r="D150" s="50" t="str">
        <f>RawList!C114</f>
        <v>SparkFun</v>
      </c>
      <c r="E150" s="50" t="str">
        <f>RawList!H114</f>
        <v>Infrared Sensor Jumper Wire - 3-Pin JST</v>
      </c>
      <c r="F150" s="50" t="str">
        <f>RawList!D114</f>
        <v>SEN-08733</v>
      </c>
      <c r="G150" s="137">
        <f>RawList!E114</f>
        <v>0</v>
      </c>
      <c r="H150" s="50" t="str">
        <f>IF(EquipmentTable[[#This Row],[Units]]&gt;0,"Quantity &gt; 0 Items","Quantity = 0 Items")</f>
        <v>Quantity = 0 Items</v>
      </c>
      <c r="I150" s="141">
        <f>RawList!J114</f>
        <v>1.5</v>
      </c>
      <c r="J150" s="24">
        <f>VALUE(EquipmentTable[[#This Row],[Units]]*EquipmentTable[[#This Row],[Unit
 Price]])</f>
        <v>0</v>
      </c>
      <c r="K150" s="50" t="str">
        <f>RawList!G114</f>
        <v>https://cdn.sparkfun.com/r/92-92/assets/parts/1/9/2/0/08733-03-L.jpg</v>
      </c>
      <c r="L150" s="50"/>
      <c r="M150" s="50" t="str">
        <f>RawList!F114</f>
        <v>https://www.sparkfun.com/products/8733</v>
      </c>
    </row>
    <row r="151" spans="2:13" x14ac:dyDescent="0.3">
      <c r="B151" s="50" t="str">
        <f>RawList!A115</f>
        <v>Primary Component</v>
      </c>
      <c r="C151" s="50" t="str">
        <f>RawList!B115</f>
        <v>Proximity/Distance</v>
      </c>
      <c r="D151" s="50" t="str">
        <f>RawList!C115</f>
        <v>Adafruit</v>
      </c>
      <c r="E151" s="50" t="str">
        <f>RawList!H115</f>
        <v xml:space="preserve">Adafruit AMG8833 IR Thermal Camera Breakout </v>
      </c>
      <c r="F151" s="50" t="str">
        <f>RawList!D115</f>
        <v>3538</v>
      </c>
      <c r="G151" s="137">
        <f>RawList!E115</f>
        <v>0</v>
      </c>
      <c r="H151" s="50" t="str">
        <f>IF(EquipmentTable[[#This Row],[Units]]&gt;0,"Quantity &gt; 0 Items","Quantity = 0 Items")</f>
        <v>Quantity = 0 Items</v>
      </c>
      <c r="I151" s="141">
        <f>RawList!J115</f>
        <v>39.950000000000003</v>
      </c>
      <c r="J151" s="24">
        <f>VALUE(EquipmentTable[[#This Row],[Units]]*EquipmentTable[[#This Row],[Unit
 Price]])</f>
        <v>0</v>
      </c>
      <c r="K151" s="50">
        <f>RawList!G115</f>
        <v>0</v>
      </c>
      <c r="L151" s="50"/>
      <c r="M151" s="50">
        <f>RawList!F115</f>
        <v>0</v>
      </c>
    </row>
    <row r="152" spans="2:13" x14ac:dyDescent="0.3">
      <c r="B152" s="50" t="str">
        <f>RawList!A116</f>
        <v>Primary Component</v>
      </c>
      <c r="C152" s="50" t="str">
        <f>RawList!B116</f>
        <v>Proximity/Distance</v>
      </c>
      <c r="D152" s="50" t="str">
        <f>RawList!C116</f>
        <v>Adafruit</v>
      </c>
      <c r="E152" s="50" t="str">
        <f>RawList!H116</f>
        <v>Adafruit VL53L0X Time of Flight Distance Sensor - ~30 to 1000mm</v>
      </c>
      <c r="F152" s="50" t="str">
        <f>RawList!D116</f>
        <v>3317</v>
      </c>
      <c r="G152" s="137">
        <f>RawList!E116</f>
        <v>10</v>
      </c>
      <c r="H152" s="50" t="str">
        <f>IF(EquipmentTable[[#This Row],[Units]]&gt;0,"Quantity &gt; 0 Items","Quantity = 0 Items")</f>
        <v>Quantity &gt; 0 Items</v>
      </c>
      <c r="I152" s="141">
        <f>RawList!J116</f>
        <v>14.95</v>
      </c>
      <c r="J152" s="24">
        <f>VALUE(EquipmentTable[[#This Row],[Units]]*EquipmentTable[[#This Row],[Unit
 Price]])</f>
        <v>149.5</v>
      </c>
      <c r="K152" s="50">
        <f>RawList!G116</f>
        <v>0</v>
      </c>
      <c r="L152" s="50"/>
      <c r="M152" s="50">
        <f>RawList!F116</f>
        <v>0</v>
      </c>
    </row>
    <row r="153" spans="2:13" x14ac:dyDescent="0.3">
      <c r="B153" s="50" t="str">
        <f>RawList!A117</f>
        <v>Primary Component</v>
      </c>
      <c r="C153" s="50" t="str">
        <f>RawList!B117</f>
        <v>Proximity/Distance</v>
      </c>
      <c r="D153" s="50" t="str">
        <f>RawList!C117</f>
        <v>Adafruit</v>
      </c>
      <c r="E153" s="50" t="str">
        <f>RawList!H117</f>
        <v>Adafruit VL6180X Time of Flight Distance Ranging Sensor (VL6180)</v>
      </c>
      <c r="F153" s="50" t="str">
        <f>RawList!D117</f>
        <v>3316</v>
      </c>
      <c r="G153" s="137">
        <f>RawList!E117</f>
        <v>0</v>
      </c>
      <c r="H153" s="50" t="str">
        <f>IF(EquipmentTable[[#This Row],[Units]]&gt;0,"Quantity &gt; 0 Items","Quantity = 0 Items")</f>
        <v>Quantity = 0 Items</v>
      </c>
      <c r="I153" s="141">
        <f>RawList!J117</f>
        <v>13.95</v>
      </c>
      <c r="J153" s="24">
        <f>VALUE(EquipmentTable[[#This Row],[Units]]*EquipmentTable[[#This Row],[Unit
 Price]])</f>
        <v>0</v>
      </c>
      <c r="K153" s="50">
        <f>RawList!G117</f>
        <v>0</v>
      </c>
      <c r="L153" s="50"/>
      <c r="M153" s="50">
        <f>RawList!F117</f>
        <v>0</v>
      </c>
    </row>
    <row r="154" spans="2:13" x14ac:dyDescent="0.3">
      <c r="B154" s="50" t="str">
        <f>RawList!A118</f>
        <v>Primary Component</v>
      </c>
      <c r="C154" s="50" t="str">
        <f>RawList!B118</f>
        <v>Proximity/Distance</v>
      </c>
      <c r="D154" s="50" t="str">
        <f>RawList!C118</f>
        <v>Adafruit</v>
      </c>
      <c r="E154" s="50" t="str">
        <f>RawList!H118</f>
        <v>IR Distance Sensor - Includes Cable (100cm-500cm) - GP2Y0A710K0F</v>
      </c>
      <c r="F154" s="50" t="str">
        <f>RawList!D118</f>
        <v>1568</v>
      </c>
      <c r="G154" s="137">
        <f>RawList!E118</f>
        <v>0</v>
      </c>
      <c r="H154" s="50" t="str">
        <f>IF(EquipmentTable[[#This Row],[Units]]&gt;0,"Quantity &gt; 0 Items","Quantity = 0 Items")</f>
        <v>Quantity = 0 Items</v>
      </c>
      <c r="I154" s="141">
        <f>RawList!J118</f>
        <v>24.95</v>
      </c>
      <c r="J154" s="24">
        <f>VALUE(EquipmentTable[[#This Row],[Units]]*EquipmentTable[[#This Row],[Unit
 Price]])</f>
        <v>0</v>
      </c>
      <c r="K154" s="50">
        <f>RawList!G118</f>
        <v>0</v>
      </c>
      <c r="L154" s="50"/>
      <c r="M154" s="50">
        <f>RawList!F118</f>
        <v>0</v>
      </c>
    </row>
    <row r="155" spans="2:13" x14ac:dyDescent="0.3">
      <c r="B155" s="50" t="str">
        <f>RawList!A119</f>
        <v>Primary Component</v>
      </c>
      <c r="C155" s="50" t="str">
        <f>RawList!B119</f>
        <v>Proximity/Distance</v>
      </c>
      <c r="D155" s="50" t="str">
        <f>RawList!C119</f>
        <v>Adafruit</v>
      </c>
      <c r="E155" s="50" t="str">
        <f>RawList!H119</f>
        <v>IR distance sensor includes cable (10cm-80cm) - GP2Y0A21YK0F</v>
      </c>
      <c r="F155" s="50" t="str">
        <f>RawList!D119</f>
        <v>164</v>
      </c>
      <c r="G155" s="137">
        <f>RawList!E119</f>
        <v>0</v>
      </c>
      <c r="H155" s="50" t="str">
        <f>IF(EquipmentTable[[#This Row],[Units]]&gt;0,"Quantity &gt; 0 Items","Quantity = 0 Items")</f>
        <v>Quantity = 0 Items</v>
      </c>
      <c r="I155" s="141">
        <f>RawList!J119</f>
        <v>14.95</v>
      </c>
      <c r="J155" s="24">
        <f>VALUE(EquipmentTable[[#This Row],[Units]]*EquipmentTable[[#This Row],[Unit
 Price]])</f>
        <v>0</v>
      </c>
      <c r="K155" s="50">
        <f>RawList!G119</f>
        <v>0</v>
      </c>
      <c r="L155" s="50"/>
      <c r="M155" s="50">
        <f>RawList!F119</f>
        <v>0</v>
      </c>
    </row>
    <row r="156" spans="2:13" x14ac:dyDescent="0.3">
      <c r="B156" s="50" t="str">
        <f>RawList!A120</f>
        <v>Primary Component</v>
      </c>
      <c r="C156" s="50" t="str">
        <f>RawList!B120</f>
        <v>Proximity/Distance</v>
      </c>
      <c r="D156" s="50" t="str">
        <f>RawList!C120</f>
        <v>Adafruit</v>
      </c>
      <c r="E156" s="50" t="str">
        <f>RawList!H120</f>
        <v>IR distance sensor includes cable (20cm-150cm) - GP2Y0A02YK</v>
      </c>
      <c r="F156" s="50" t="str">
        <f>RawList!D120</f>
        <v>1031</v>
      </c>
      <c r="G156" s="137">
        <f>RawList!E120</f>
        <v>0</v>
      </c>
      <c r="H156" s="50" t="str">
        <f>IF(EquipmentTable[[#This Row],[Units]]&gt;0,"Quantity &gt; 0 Items","Quantity = 0 Items")</f>
        <v>Quantity = 0 Items</v>
      </c>
      <c r="I156" s="141">
        <f>RawList!J120</f>
        <v>15.95</v>
      </c>
      <c r="J156" s="24">
        <f>VALUE(EquipmentTable[[#This Row],[Units]]*EquipmentTable[[#This Row],[Unit
 Price]])</f>
        <v>0</v>
      </c>
      <c r="K156" s="50">
        <f>RawList!G120</f>
        <v>0</v>
      </c>
      <c r="L156" s="50"/>
      <c r="M156" s="50">
        <f>RawList!F120</f>
        <v>0</v>
      </c>
    </row>
    <row r="157" spans="2:13" x14ac:dyDescent="0.3">
      <c r="B157" s="50" t="str">
        <f>RawList!A122</f>
        <v>Primary Component</v>
      </c>
      <c r="C157" s="50" t="str">
        <f>RawList!B122</f>
        <v>Touch/Vibration</v>
      </c>
      <c r="D157" s="50" t="str">
        <f>RawList!C122</f>
        <v>SparkFun</v>
      </c>
      <c r="E157" s="50" t="str">
        <f>RawList!H122</f>
        <v>Piezo Vibration Sensor - Large</v>
      </c>
      <c r="F157" s="50" t="str">
        <f>RawList!D122</f>
        <v>SEN-09196</v>
      </c>
      <c r="G157" s="137">
        <f>RawList!E122</f>
        <v>5</v>
      </c>
      <c r="H157" s="50" t="str">
        <f>IF(EquipmentTable[[#This Row],[Units]]&gt;0,"Quantity &gt; 0 Items","Quantity = 0 Items")</f>
        <v>Quantity &gt; 0 Items</v>
      </c>
      <c r="I157" s="141">
        <f>RawList!J122</f>
        <v>2.95</v>
      </c>
      <c r="J157" s="24">
        <f>VALUE(EquipmentTable[[#This Row],[Units]]*EquipmentTable[[#This Row],[Unit
 Price]])</f>
        <v>14.75</v>
      </c>
      <c r="K157" s="50" t="str">
        <f>RawList!G122</f>
        <v>https://cdn.sparkfun.com/r/92-92/assets/parts/2/6/4/2/09196-03-L.jpg</v>
      </c>
      <c r="L157" s="50"/>
      <c r="M157" s="50" t="str">
        <f>RawList!F122</f>
        <v>https://www.sparkfun.com/products/9196</v>
      </c>
    </row>
    <row r="158" spans="2:13" x14ac:dyDescent="0.3">
      <c r="B158" s="50" t="str">
        <f>RawList!A123</f>
        <v>Primary Component</v>
      </c>
      <c r="C158" s="50" t="str">
        <f>RawList!B123</f>
        <v>Touch/Vibration</v>
      </c>
      <c r="D158" s="50" t="str">
        <f>RawList!C123</f>
        <v>SparkFun</v>
      </c>
      <c r="E158" s="50" t="str">
        <f>RawList!H123</f>
        <v>Piezo Vibration Sensor - Large with Mass</v>
      </c>
      <c r="F158" s="50" t="str">
        <f>RawList!D123</f>
        <v>SEN-09197</v>
      </c>
      <c r="G158" s="137">
        <f>RawList!E123</f>
        <v>0</v>
      </c>
      <c r="H158" s="50" t="str">
        <f>IF(EquipmentTable[[#This Row],[Units]]&gt;0,"Quantity &gt; 0 Items","Quantity = 0 Items")</f>
        <v>Quantity = 0 Items</v>
      </c>
      <c r="I158" s="141">
        <f>RawList!J123</f>
        <v>2.95</v>
      </c>
      <c r="J158" s="24">
        <f>VALUE(EquipmentTable[[#This Row],[Units]]*EquipmentTable[[#This Row],[Unit
 Price]])</f>
        <v>0</v>
      </c>
      <c r="K158" s="50" t="str">
        <f>RawList!G123</f>
        <v>https://cdn.sparkfun.com/r/92-92/assets/parts/2/6/4/3/09197-02-L.jpg</v>
      </c>
      <c r="L158" s="50"/>
      <c r="M158" s="50" t="str">
        <f>RawList!F123</f>
        <v>https://www.sparkfun.com/products/9197</v>
      </c>
    </row>
    <row r="159" spans="2:13" x14ac:dyDescent="0.3">
      <c r="B159" s="50" t="str">
        <f>RawList!A124</f>
        <v>Primary Component</v>
      </c>
      <c r="C159" s="50" t="str">
        <f>RawList!B124</f>
        <v>Touch/Vibration</v>
      </c>
      <c r="D159" s="50" t="str">
        <f>RawList!C124</f>
        <v>SparkFun</v>
      </c>
      <c r="E159" s="50" t="str">
        <f>RawList!H124</f>
        <v>Piezo Vibration Sensor - Small Horizontal</v>
      </c>
      <c r="F159" s="50" t="str">
        <f>RawList!D124</f>
        <v>SEN-09198</v>
      </c>
      <c r="G159" s="137">
        <f>RawList!E124</f>
        <v>0</v>
      </c>
      <c r="H159" s="50" t="str">
        <f>IF(EquipmentTable[[#This Row],[Units]]&gt;0,"Quantity &gt; 0 Items","Quantity = 0 Items")</f>
        <v>Quantity = 0 Items</v>
      </c>
      <c r="I159" s="141">
        <f>RawList!J124</f>
        <v>2.95</v>
      </c>
      <c r="J159" s="24">
        <f>VALUE(EquipmentTable[[#This Row],[Units]]*EquipmentTable[[#This Row],[Unit
 Price]])</f>
        <v>0</v>
      </c>
      <c r="K159" s="50" t="str">
        <f>RawList!G124</f>
        <v>https://cdn.sparkfun.com/r/92-92/assets/parts/2/6/4/4/09198-03-L.jpg</v>
      </c>
      <c r="L159" s="50"/>
      <c r="M159" s="50" t="str">
        <f>RawList!F124</f>
        <v>https://www.sparkfun.com/products/9198</v>
      </c>
    </row>
    <row r="160" spans="2:13" x14ac:dyDescent="0.3">
      <c r="B160" s="50" t="str">
        <f>RawList!A125</f>
        <v>Primary Component</v>
      </c>
      <c r="C160" s="50" t="str">
        <f>RawList!B125</f>
        <v>Touch/Vibration</v>
      </c>
      <c r="D160" s="50" t="str">
        <f>RawList!C125</f>
        <v>SparkFun</v>
      </c>
      <c r="E160" s="50" t="str">
        <f>RawList!H125</f>
        <v>Piezo Vibration Sensor - Small Vertical</v>
      </c>
      <c r="F160" s="50" t="str">
        <f>RawList!D125</f>
        <v>SEN-09199</v>
      </c>
      <c r="G160" s="137">
        <f>RawList!E125</f>
        <v>0</v>
      </c>
      <c r="H160" s="50" t="str">
        <f>IF(EquipmentTable[[#This Row],[Units]]&gt;0,"Quantity &gt; 0 Items","Quantity = 0 Items")</f>
        <v>Quantity = 0 Items</v>
      </c>
      <c r="I160" s="141">
        <f>RawList!J125</f>
        <v>2.95</v>
      </c>
      <c r="J160" s="24">
        <f>VALUE(EquipmentTable[[#This Row],[Units]]*EquipmentTable[[#This Row],[Unit
 Price]])</f>
        <v>0</v>
      </c>
      <c r="K160" s="50" t="str">
        <f>RawList!G125</f>
        <v>https://cdn.sparkfun.com/r/92-92/assets/parts/2/6/4/5/09199-03-L.jpg</v>
      </c>
      <c r="L160" s="50"/>
      <c r="M160" s="50" t="str">
        <f>RawList!F125</f>
        <v>https://www.sparkfun.com/products/9199</v>
      </c>
    </row>
    <row r="161" spans="2:13" x14ac:dyDescent="0.3">
      <c r="B161" s="50" t="str">
        <f>RawList!A126</f>
        <v>Primary Component</v>
      </c>
      <c r="C161" s="50" t="str">
        <f>RawList!B126</f>
        <v>Touch/Vibration</v>
      </c>
      <c r="D161" s="50" t="str">
        <f>RawList!C126</f>
        <v>Adafruit</v>
      </c>
      <c r="E161" s="50" t="str">
        <f>RawList!H126</f>
        <v xml:space="preserve">Extra-long force-sensitive resistor (FSR) - Interlink 408 </v>
      </c>
      <c r="F161" s="50" t="str">
        <f>RawList!D126</f>
        <v>1071</v>
      </c>
      <c r="G161" s="137">
        <f>RawList!E126</f>
        <v>0</v>
      </c>
      <c r="H161" s="50" t="str">
        <f>IF(EquipmentTable[[#This Row],[Units]]&gt;0,"Quantity &gt; 0 Items","Quantity = 0 Items")</f>
        <v>Quantity = 0 Items</v>
      </c>
      <c r="I161" s="141">
        <f>RawList!J126</f>
        <v>17.95</v>
      </c>
      <c r="J161" s="24">
        <f>VALUE(EquipmentTable[[#This Row],[Units]]*EquipmentTable[[#This Row],[Unit
 Price]])</f>
        <v>0</v>
      </c>
      <c r="K161" s="50">
        <f>RawList!G126</f>
        <v>0</v>
      </c>
      <c r="L161" s="50"/>
      <c r="M161" s="50">
        <f>RawList!F126</f>
        <v>0</v>
      </c>
    </row>
    <row r="162" spans="2:13" x14ac:dyDescent="0.3">
      <c r="B162" s="50" t="str">
        <f>RawList!A127</f>
        <v>Primary Component</v>
      </c>
      <c r="C162" s="50" t="str">
        <f>RawList!B127</f>
        <v>Touch/Vibration</v>
      </c>
      <c r="D162" s="50" t="str">
        <f>RawList!C127</f>
        <v>SparkFun</v>
      </c>
      <c r="E162" s="50" t="str">
        <f>RawList!H127</f>
        <v>Force Sensitive Resistor - Long</v>
      </c>
      <c r="F162" s="50" t="str">
        <f>RawList!D127</f>
        <v>SEN-09674</v>
      </c>
      <c r="G162" s="137">
        <f>RawList!E127</f>
        <v>0</v>
      </c>
      <c r="H162" s="50" t="str">
        <f>IF(EquipmentTable[[#This Row],[Units]]&gt;0,"Quantity &gt; 0 Items","Quantity = 0 Items")</f>
        <v>Quantity = 0 Items</v>
      </c>
      <c r="I162" s="141">
        <f>RawList!J127</f>
        <v>20.95</v>
      </c>
      <c r="J162" s="24">
        <f>VALUE(EquipmentTable[[#This Row],[Units]]*EquipmentTable[[#This Row],[Unit
 Price]])</f>
        <v>0</v>
      </c>
      <c r="K162" s="50" t="str">
        <f>RawList!G127</f>
        <v>https://cdn.sparkfun.com/r/92-92/assets/parts/3/5/3/8/09674-01.jpg</v>
      </c>
      <c r="L162" s="50"/>
      <c r="M162" s="50" t="str">
        <f>RawList!F127</f>
        <v>https://www.sparkfun.com/products/9674</v>
      </c>
    </row>
    <row r="163" spans="2:13" x14ac:dyDescent="0.3">
      <c r="B163" s="50" t="str">
        <f>RawList!A128</f>
        <v>Primary Component</v>
      </c>
      <c r="C163" s="50" t="str">
        <f>RawList!B128</f>
        <v>Touch/Vibration</v>
      </c>
      <c r="D163" s="50" t="str">
        <f>RawList!C128</f>
        <v>SparkFun</v>
      </c>
      <c r="E163" s="50" t="str">
        <f>RawList!H128</f>
        <v>Force Sensitive Resistor - Small</v>
      </c>
      <c r="F163" s="50" t="str">
        <f>RawList!D128</f>
        <v>SEN-09673</v>
      </c>
      <c r="G163" s="137">
        <f>RawList!E128</f>
        <v>0</v>
      </c>
      <c r="H163" s="50" t="str">
        <f>IF(EquipmentTable[[#This Row],[Units]]&gt;0,"Quantity &gt; 0 Items","Quantity = 0 Items")</f>
        <v>Quantity = 0 Items</v>
      </c>
      <c r="I163" s="141">
        <f>RawList!J128</f>
        <v>5.95</v>
      </c>
      <c r="J163" s="24">
        <f>VALUE(EquipmentTable[[#This Row],[Units]]*EquipmentTable[[#This Row],[Unit
 Price]])</f>
        <v>0</v>
      </c>
      <c r="K163" s="50" t="str">
        <f>RawList!G128</f>
        <v>https://cdn.sparkfun.com/r/92-92/assets/parts/3/5/3/7/09673-01.jpg</v>
      </c>
      <c r="L163" s="50"/>
      <c r="M163" s="50" t="str">
        <f>RawList!F128</f>
        <v>https://www.sparkfun.com/products/9673</v>
      </c>
    </row>
    <row r="164" spans="2:13" x14ac:dyDescent="0.3">
      <c r="B164" s="50" t="str">
        <f>RawList!A129</f>
        <v>Primary Component</v>
      </c>
      <c r="C164" s="50" t="str">
        <f>RawList!B129</f>
        <v>Touch/Vibration</v>
      </c>
      <c r="D164" s="50" t="str">
        <f>RawList!C129</f>
        <v>SparkFun</v>
      </c>
      <c r="E164" s="50" t="str">
        <f>RawList!H129</f>
        <v>Force Sensitive Resistor - Square</v>
      </c>
      <c r="F164" s="50" t="str">
        <f>RawList!D129</f>
        <v>SEN-09376</v>
      </c>
      <c r="G164" s="137">
        <f>RawList!E129</f>
        <v>0</v>
      </c>
      <c r="H164" s="50" t="str">
        <f>IF(EquipmentTable[[#This Row],[Units]]&gt;0,"Quantity &gt; 0 Items","Quantity = 0 Items")</f>
        <v>Quantity = 0 Items</v>
      </c>
      <c r="I164" s="141">
        <f>RawList!J129</f>
        <v>9.9499999999999993</v>
      </c>
      <c r="J164" s="24">
        <f>VALUE(EquipmentTable[[#This Row],[Units]]*EquipmentTable[[#This Row],[Unit
 Price]])</f>
        <v>0</v>
      </c>
      <c r="K164" s="50" t="str">
        <f>RawList!G129</f>
        <v>https://cdn.sparkfun.com/r/92-92/assets/parts/2/9/6/8/09376-1.jpg</v>
      </c>
      <c r="L164" s="50"/>
      <c r="M164" s="50" t="str">
        <f>RawList!F129</f>
        <v>https://www.sparkfun.com/products/9376</v>
      </c>
    </row>
    <row r="165" spans="2:13" x14ac:dyDescent="0.3">
      <c r="B165" s="50" t="str">
        <f>RawList!A130</f>
        <v>Primary Component</v>
      </c>
      <c r="C165" s="50" t="str">
        <f>RawList!B130</f>
        <v>Touch/Vibration</v>
      </c>
      <c r="D165" s="50" t="str">
        <f>RawList!C130</f>
        <v>Adafruit</v>
      </c>
      <c r="E165" s="50" t="str">
        <f>RawList!H130</f>
        <v>Square Force-Sensitive Resistor (FSR) - Interlink 406</v>
      </c>
      <c r="F165" s="50" t="str">
        <f>RawList!D130</f>
        <v>1075</v>
      </c>
      <c r="G165" s="137">
        <f>RawList!E130</f>
        <v>4</v>
      </c>
      <c r="H165" s="50" t="str">
        <f>IF(EquipmentTable[[#This Row],[Units]]&gt;0,"Quantity &gt; 0 Items","Quantity = 0 Items")</f>
        <v>Quantity &gt; 0 Items</v>
      </c>
      <c r="I165" s="141">
        <f>RawList!J130</f>
        <v>7.95</v>
      </c>
      <c r="J165" s="24">
        <f>VALUE(EquipmentTable[[#This Row],[Units]]*EquipmentTable[[#This Row],[Unit
 Price]])</f>
        <v>31.8</v>
      </c>
      <c r="K165" s="50">
        <f>RawList!G130</f>
        <v>0</v>
      </c>
      <c r="L165" s="50"/>
      <c r="M165" s="50">
        <f>RawList!F130</f>
        <v>0</v>
      </c>
    </row>
    <row r="166" spans="2:13" x14ac:dyDescent="0.3">
      <c r="B166" s="50" t="str">
        <f>RawList!A131</f>
        <v>Primary Component</v>
      </c>
      <c r="C166" s="50" t="str">
        <f>RawList!B131</f>
        <v>Touch/Vibration</v>
      </c>
      <c r="D166" s="50" t="str">
        <f>RawList!C131</f>
        <v>SparkFun</v>
      </c>
      <c r="E166" s="50" t="str">
        <f>RawList!H131</f>
        <v>Force Sensitive Resistor 0.5\"</v>
      </c>
      <c r="F166" s="50" t="str">
        <f>RawList!D131</f>
        <v>SEN-09375</v>
      </c>
      <c r="G166" s="137">
        <f>RawList!E131</f>
        <v>0</v>
      </c>
      <c r="H166" s="50" t="str">
        <f>IF(EquipmentTable[[#This Row],[Units]]&gt;0,"Quantity &gt; 0 Items","Quantity = 0 Items")</f>
        <v>Quantity = 0 Items</v>
      </c>
      <c r="I166" s="141">
        <f>RawList!J131</f>
        <v>6.95</v>
      </c>
      <c r="J166" s="24">
        <f>VALUE(EquipmentTable[[#This Row],[Units]]*EquipmentTable[[#This Row],[Unit
 Price]])</f>
        <v>0</v>
      </c>
      <c r="K166" s="50" t="str">
        <f>RawList!G131</f>
        <v>https://cdn.sparkfun.com/r/92-92/assets/parts/2/9/6/7/09375-1.jpg</v>
      </c>
      <c r="L166" s="50"/>
      <c r="M166" s="50" t="str">
        <f>RawList!F131</f>
        <v>https://www.sparkfun.com/products/9375</v>
      </c>
    </row>
    <row r="167" spans="2:13" x14ac:dyDescent="0.3">
      <c r="B167" s="50" t="str">
        <f>RawList!A132</f>
        <v>Primary Component</v>
      </c>
      <c r="C167" s="50" t="str">
        <f>RawList!B132</f>
        <v>Touch/Vibration</v>
      </c>
      <c r="D167" s="50" t="str">
        <f>RawList!C132</f>
        <v>SparkFun</v>
      </c>
      <c r="E167" s="50" t="str">
        <f>RawList!H132</f>
        <v>Flex Sensor 4.5\"</v>
      </c>
      <c r="F167" s="50" t="str">
        <f>RawList!D132</f>
        <v>SEN-08606</v>
      </c>
      <c r="G167" s="137">
        <f>RawList!E132</f>
        <v>0</v>
      </c>
      <c r="H167" s="50" t="str">
        <f>IF(EquipmentTable[[#This Row],[Units]]&gt;0,"Quantity &gt; 0 Items","Quantity = 0 Items")</f>
        <v>Quantity = 0 Items</v>
      </c>
      <c r="I167" s="141">
        <f>RawList!J132</f>
        <v>12.95</v>
      </c>
      <c r="J167" s="24">
        <f>VALUE(EquipmentTable[[#This Row],[Units]]*EquipmentTable[[#This Row],[Unit
 Price]])</f>
        <v>0</v>
      </c>
      <c r="K167" s="50" t="str">
        <f>RawList!G132</f>
        <v>https://cdn.sparkfun.com/r/92-92/assets/parts/1/6/8/6/08606-03-L.jpg</v>
      </c>
      <c r="L167" s="50"/>
      <c r="M167" s="50" t="str">
        <f>RawList!F132</f>
        <v>https://www.sparkfun.com/products/8606</v>
      </c>
    </row>
    <row r="168" spans="2:13" x14ac:dyDescent="0.3">
      <c r="B168" s="50" t="str">
        <f>RawList!A133</f>
        <v>Primary Component</v>
      </c>
      <c r="C168" s="50" t="str">
        <f>RawList!B133</f>
        <v>Touch/Vibration</v>
      </c>
      <c r="D168" s="50" t="str">
        <f>RawList!C133</f>
        <v>SparkFun</v>
      </c>
      <c r="E168" s="50" t="str">
        <f>RawList!H133</f>
        <v>Piezo Element</v>
      </c>
      <c r="F168" s="50" t="str">
        <f>RawList!D133</f>
        <v>SEN-10293</v>
      </c>
      <c r="G168" s="137">
        <f>RawList!E133</f>
        <v>0</v>
      </c>
      <c r="H168" s="50" t="str">
        <f>IF(EquipmentTable[[#This Row],[Units]]&gt;0,"Quantity &gt; 0 Items","Quantity = 0 Items")</f>
        <v>Quantity = 0 Items</v>
      </c>
      <c r="I168" s="141">
        <f>RawList!J133</f>
        <v>1.5</v>
      </c>
      <c r="J168" s="24">
        <f>VALUE(EquipmentTable[[#This Row],[Units]]*EquipmentTable[[#This Row],[Unit
 Price]])</f>
        <v>0</v>
      </c>
      <c r="K168" s="50" t="str">
        <f>RawList!G133</f>
        <v>https://cdn.sparkfun.com/r/92-92/assets/parts/4/6/8/9/10293_01.jpg</v>
      </c>
      <c r="L168" s="50"/>
      <c r="M168" s="50" t="str">
        <f>RawList!F133</f>
        <v>https://www.sparkfun.com/products/10293</v>
      </c>
    </row>
    <row r="169" spans="2:13" x14ac:dyDescent="0.3">
      <c r="B169" s="50" t="str">
        <f>RawList!A134</f>
        <v>Primary Component</v>
      </c>
      <c r="C169" s="50" t="str">
        <f>RawList!B134</f>
        <v>Touch/Vibration</v>
      </c>
      <c r="D169" s="50" t="str">
        <f>RawList!C134</f>
        <v>Adafruit</v>
      </c>
      <c r="E169" s="50" t="str">
        <f>RawList!H134</f>
        <v xml:space="preserve">Large Enclosed Piezo Element w/Wires </v>
      </c>
      <c r="F169" s="50" t="str">
        <f>RawList!D134</f>
        <v>1739</v>
      </c>
      <c r="G169" s="137">
        <f>RawList!E134</f>
        <v>0</v>
      </c>
      <c r="H169" s="50" t="str">
        <f>IF(EquipmentTable[[#This Row],[Units]]&gt;0,"Quantity &gt; 0 Items","Quantity = 0 Items")</f>
        <v>Quantity = 0 Items</v>
      </c>
      <c r="I169" s="141">
        <f>RawList!J134</f>
        <v>0.95</v>
      </c>
      <c r="J169" s="24">
        <f>VALUE(EquipmentTable[[#This Row],[Units]]*EquipmentTable[[#This Row],[Unit
 Price]])</f>
        <v>0</v>
      </c>
      <c r="K169" s="50">
        <f>RawList!G134</f>
        <v>0</v>
      </c>
      <c r="L169" s="50"/>
      <c r="M169" s="50">
        <f>RawList!F134</f>
        <v>0</v>
      </c>
    </row>
    <row r="170" spans="2:13" x14ac:dyDescent="0.3">
      <c r="B170" s="50" t="str">
        <f>RawList!A135</f>
        <v>Primary Component</v>
      </c>
      <c r="C170" s="50" t="str">
        <f>RawList!B135</f>
        <v>Touch/Vibration</v>
      </c>
      <c r="D170" s="50" t="str">
        <f>RawList!C135</f>
        <v>SparkFun</v>
      </c>
      <c r="E170" s="50" t="str">
        <f>RawList!H135</f>
        <v>Tilt Sensor - AT407</v>
      </c>
      <c r="F170" s="50" t="str">
        <f>RawList!D135</f>
        <v>SEN-10289</v>
      </c>
      <c r="G170" s="137">
        <f>RawList!E135</f>
        <v>5</v>
      </c>
      <c r="H170" s="50" t="str">
        <f>IF(EquipmentTable[[#This Row],[Units]]&gt;0,"Quantity &gt; 0 Items","Quantity = 0 Items")</f>
        <v>Quantity &gt; 0 Items</v>
      </c>
      <c r="I170" s="141">
        <f>RawList!J135</f>
        <v>1.95</v>
      </c>
      <c r="J170" s="24">
        <f>VALUE(EquipmentTable[[#This Row],[Units]]*EquipmentTable[[#This Row],[Unit
 Price]])</f>
        <v>9.75</v>
      </c>
      <c r="K170" s="50" t="str">
        <f>RawList!G135</f>
        <v>https://cdn.sparkfun.com/r/92-92/assets/parts/4/6/8/5/10289-01.jpg</v>
      </c>
      <c r="L170" s="50"/>
      <c r="M170" s="50" t="str">
        <f>RawList!F135</f>
        <v>https://www.sparkfun.com/products/10289</v>
      </c>
    </row>
    <row r="171" spans="2:13" x14ac:dyDescent="0.3">
      <c r="B171" s="50" t="str">
        <f>RawList!A136</f>
        <v>Primary Component</v>
      </c>
      <c r="C171" s="50" t="str">
        <f>RawList!B136</f>
        <v>Touch/Vibration</v>
      </c>
      <c r="D171" s="50" t="str">
        <f>RawList!C136</f>
        <v>Adafruit</v>
      </c>
      <c r="E171" s="50" t="str">
        <f>RawList!H136</f>
        <v>DIY Sensor Film Kit - 4x6" Small Kit</v>
      </c>
      <c r="F171" s="50" t="str">
        <f>RawList!D136</f>
        <v>1917</v>
      </c>
      <c r="G171" s="137">
        <f>RawList!E136</f>
        <v>0</v>
      </c>
      <c r="H171" s="50" t="str">
        <f>IF(EquipmentTable[[#This Row],[Units]]&gt;0,"Quantity &gt; 0 Items","Quantity = 0 Items")</f>
        <v>Quantity = 0 Items</v>
      </c>
      <c r="I171" s="141">
        <f>RawList!J136</f>
        <v>18</v>
      </c>
      <c r="J171" s="24">
        <f>VALUE(EquipmentTable[[#This Row],[Units]]*EquipmentTable[[#This Row],[Unit
 Price]])</f>
        <v>0</v>
      </c>
      <c r="K171" s="50">
        <f>RawList!G136</f>
        <v>0</v>
      </c>
      <c r="L171" s="50"/>
      <c r="M171" s="50">
        <f>RawList!F136</f>
        <v>0</v>
      </c>
    </row>
    <row r="172" spans="2:13" x14ac:dyDescent="0.3">
      <c r="B172" s="50" t="str">
        <f>RawList!A137</f>
        <v>Primary Component</v>
      </c>
      <c r="C172" s="50" t="str">
        <f>RawList!B137</f>
        <v>Touch/Vibration</v>
      </c>
      <c r="D172" s="50" t="str">
        <f>RawList!C137</f>
        <v>Adafruit</v>
      </c>
      <c r="E172" s="50" t="str">
        <f>RawList!H137</f>
        <v>Pressure-Sensitive Conductive Sheet (Velostat/Linqstat)</v>
      </c>
      <c r="F172" s="50" t="str">
        <f>RawList!D137</f>
        <v>1361</v>
      </c>
      <c r="G172" s="137">
        <f>RawList!E137</f>
        <v>1</v>
      </c>
      <c r="H172" s="50" t="str">
        <f>IF(EquipmentTable[[#This Row],[Units]]&gt;0,"Quantity &gt; 0 Items","Quantity = 0 Items")</f>
        <v>Quantity &gt; 0 Items</v>
      </c>
      <c r="I172" s="141">
        <f>RawList!J137</f>
        <v>3.95</v>
      </c>
      <c r="J172" s="24">
        <f>VALUE(EquipmentTable[[#This Row],[Units]]*EquipmentTable[[#This Row],[Unit
 Price]])</f>
        <v>3.95</v>
      </c>
      <c r="K172" s="50">
        <f>RawList!G137</f>
        <v>0</v>
      </c>
      <c r="L172" s="50"/>
      <c r="M172" s="50">
        <f>RawList!F137</f>
        <v>0</v>
      </c>
    </row>
    <row r="173" spans="2:13" x14ac:dyDescent="0.3">
      <c r="B173" s="50" t="str">
        <f>RawList!A138</f>
        <v>Primary Component</v>
      </c>
      <c r="C173" s="50" t="str">
        <f>RawList!B138</f>
        <v>Touch/Vibration</v>
      </c>
      <c r="D173" s="50" t="str">
        <f>RawList!C138</f>
        <v>SparkFun</v>
      </c>
      <c r="E173" s="50" t="str">
        <f>RawList!H138</f>
        <v>EeonTex Pressure Sensing Fabric</v>
      </c>
      <c r="F173" s="50" t="str">
        <f>RawList!D138</f>
        <v>COM-14111</v>
      </c>
      <c r="G173" s="137">
        <f>RawList!E138</f>
        <v>2</v>
      </c>
      <c r="H173" s="50" t="str">
        <f>IF(EquipmentTable[[#This Row],[Units]]&gt;0,"Quantity &gt; 0 Items","Quantity = 0 Items")</f>
        <v>Quantity &gt; 0 Items</v>
      </c>
      <c r="I173" s="141">
        <f>RawList!J138</f>
        <v>24.95</v>
      </c>
      <c r="J173" s="24">
        <f>VALUE(EquipmentTable[[#This Row],[Units]]*EquipmentTable[[#This Row],[Unit
 Price]])</f>
        <v>49.9</v>
      </c>
      <c r="K173" s="50" t="str">
        <f>RawList!G138</f>
        <v>https://cdn.sparkfun.com/r/92-92/assets/parts/1/1/9/9/4/14111-01.jpg</v>
      </c>
      <c r="L173" s="50"/>
      <c r="M173" s="50" t="str">
        <f>RawList!F138</f>
        <v>https://www.sparkfun.com/products/14111</v>
      </c>
    </row>
    <row r="174" spans="2:13" x14ac:dyDescent="0.3">
      <c r="B174" s="50" t="str">
        <f>RawList!A139</f>
        <v>Primary Component</v>
      </c>
      <c r="C174" s="50" t="str">
        <f>RawList!B139</f>
        <v>Touch/Vibration</v>
      </c>
      <c r="D174" s="50" t="str">
        <f>RawList!C139</f>
        <v>Adafruit</v>
      </c>
      <c r="E174" s="50" t="str">
        <f>RawList!H139</f>
        <v>Woven Conductive Fabric - 20cm square</v>
      </c>
      <c r="F174" s="50" t="str">
        <f>RawList!D139</f>
        <v>1168</v>
      </c>
      <c r="G174" s="137">
        <f>RawList!E139</f>
        <v>1</v>
      </c>
      <c r="H174" s="50" t="str">
        <f>IF(EquipmentTable[[#This Row],[Units]]&gt;0,"Quantity &gt; 0 Items","Quantity = 0 Items")</f>
        <v>Quantity &gt; 0 Items</v>
      </c>
      <c r="I174" s="141">
        <f>RawList!J139</f>
        <v>4.95</v>
      </c>
      <c r="J174" s="24">
        <f>VALUE(EquipmentTable[[#This Row],[Units]]*EquipmentTable[[#This Row],[Unit
 Price]])</f>
        <v>4.95</v>
      </c>
      <c r="K174" s="50">
        <f>RawList!G139</f>
        <v>0</v>
      </c>
      <c r="L174" s="50"/>
      <c r="M174" s="50">
        <f>RawList!F139</f>
        <v>0</v>
      </c>
    </row>
    <row r="175" spans="2:13" x14ac:dyDescent="0.3">
      <c r="B175" s="50" t="str">
        <f>RawList!A140</f>
        <v>Primary Component</v>
      </c>
      <c r="C175" s="50" t="str">
        <f>RawList!B140</f>
        <v>User Interface, IO</v>
      </c>
      <c r="D175" s="50" t="str">
        <f>RawList!C140</f>
        <v>SparkFun</v>
      </c>
      <c r="E175" s="50" t="str">
        <f>RawList!H140</f>
        <v>LCD Button Shield V2</v>
      </c>
      <c r="F175" s="50" t="str">
        <f>RawList!D140</f>
        <v>DEV-13293</v>
      </c>
      <c r="G175" s="137">
        <f>RawList!E140</f>
        <v>5</v>
      </c>
      <c r="H175" s="50" t="str">
        <f>IF(EquipmentTable[[#This Row],[Units]]&gt;0,"Quantity &gt; 0 Items","Quantity = 0 Items")</f>
        <v>Quantity &gt; 0 Items</v>
      </c>
      <c r="I175" s="141">
        <f>RawList!J140</f>
        <v>12.95</v>
      </c>
      <c r="J175" s="24">
        <f>VALUE(EquipmentTable[[#This Row],[Units]]*EquipmentTable[[#This Row],[Unit
 Price]])</f>
        <v>64.75</v>
      </c>
      <c r="K175" s="50" t="str">
        <f>RawList!G140</f>
        <v>https://cdn.sparkfun.com/r/92-92/assets/parts/1/0/5/4/6/13293-01.jpg</v>
      </c>
      <c r="L175" s="50"/>
      <c r="M175" s="50" t="str">
        <f>RawList!F140</f>
        <v>https://www.sparkfun.com/products/13293</v>
      </c>
    </row>
    <row r="176" spans="2:13" x14ac:dyDescent="0.3">
      <c r="B176" s="50" t="str">
        <f>RawList!A141</f>
        <v>Primary Component</v>
      </c>
      <c r="C176" s="50" t="str">
        <f>RawList!B141</f>
        <v>User Interface, IO</v>
      </c>
      <c r="D176" s="50" t="str">
        <f>RawList!C141</f>
        <v>SparkFun</v>
      </c>
      <c r="E176" s="50" t="str">
        <f>RawList!H141</f>
        <v>Graphic LCD 128x64 STN LED Backlight</v>
      </c>
      <c r="F176" s="50" t="str">
        <f>RawList!D141</f>
        <v>LCD-00710</v>
      </c>
      <c r="G176" s="137">
        <f>RawList!E141</f>
        <v>1</v>
      </c>
      <c r="H176" s="50" t="str">
        <f>IF(EquipmentTable[[#This Row],[Units]]&gt;0,"Quantity &gt; 0 Items","Quantity = 0 Items")</f>
        <v>Quantity &gt; 0 Items</v>
      </c>
      <c r="I176" s="141">
        <f>RawList!J141</f>
        <v>19.95</v>
      </c>
      <c r="J176" s="24">
        <f>VALUE(EquipmentTable[[#This Row],[Units]]*EquipmentTable[[#This Row],[Unit
 Price]])</f>
        <v>19.95</v>
      </c>
      <c r="K176" s="50" t="str">
        <f>RawList!G141</f>
        <v>https://cdn.sparkfun.com/r/92-92/assets/parts/4/9/2/00710-01.jpg</v>
      </c>
      <c r="L176" s="50"/>
      <c r="M176" s="50" t="str">
        <f>RawList!F141</f>
        <v>https://www.sparkfun.com/products/710</v>
      </c>
    </row>
    <row r="177" spans="2:13" x14ac:dyDescent="0.3">
      <c r="B177" s="50" t="str">
        <f>RawList!A142</f>
        <v>Primary Component</v>
      </c>
      <c r="C177" s="50" t="str">
        <f>RawList!B142</f>
        <v>User Interface, IO</v>
      </c>
      <c r="D177" s="50" t="str">
        <f>RawList!C142</f>
        <v>SparkFun</v>
      </c>
      <c r="E177" s="50" t="str">
        <f>RawList!H142</f>
        <v>Serial Enabled 20x4 LCD - Black on Green 5V</v>
      </c>
      <c r="F177" s="50" t="str">
        <f>RawList!D142</f>
        <v>LCD-09568</v>
      </c>
      <c r="G177" s="137">
        <f>RawList!E142</f>
        <v>0</v>
      </c>
      <c r="H177" s="50" t="str">
        <f>IF(EquipmentTable[[#This Row],[Units]]&gt;0,"Quantity &gt; 0 Items","Quantity = 0 Items")</f>
        <v>Quantity = 0 Items</v>
      </c>
      <c r="I177" s="141">
        <f>RawList!J142</f>
        <v>29.95</v>
      </c>
      <c r="J177" s="24">
        <f>VALUE(EquipmentTable[[#This Row],[Units]]*EquipmentTable[[#This Row],[Unit
 Price]])</f>
        <v>0</v>
      </c>
      <c r="K177" s="50" t="str">
        <f>RawList!G142</f>
        <v>https://cdn.sparkfun.com/r/92-92/assets/parts/3/3/4/6/09568Actiona.jpg</v>
      </c>
      <c r="L177" s="50"/>
      <c r="M177" s="50" t="str">
        <f>RawList!F142</f>
        <v>https://www.sparkfun.com/products/9568</v>
      </c>
    </row>
    <row r="178" spans="2:13" x14ac:dyDescent="0.3">
      <c r="B178" s="50" t="str">
        <f>RawList!A143</f>
        <v>Primary Component</v>
      </c>
      <c r="C178" s="50" t="str">
        <f>RawList!B143</f>
        <v>User Interface, IO</v>
      </c>
      <c r="D178" s="50" t="str">
        <f>RawList!C143</f>
        <v>Adafruit</v>
      </c>
      <c r="E178" s="50" t="str">
        <f>RawList!H143</f>
        <v>Standard LCD 20x4 + extras - white on blue</v>
      </c>
      <c r="F178" s="50" t="str">
        <f>RawList!D143</f>
        <v>198</v>
      </c>
      <c r="G178" s="137">
        <f>RawList!E143</f>
        <v>0</v>
      </c>
      <c r="H178" s="50" t="str">
        <f>IF(EquipmentTable[[#This Row],[Units]]&gt;0,"Quantity &gt; 0 Items","Quantity = 0 Items")</f>
        <v>Quantity = 0 Items</v>
      </c>
      <c r="I178" s="141">
        <f>RawList!J143</f>
        <v>17.95</v>
      </c>
      <c r="J178" s="24">
        <f>VALUE(EquipmentTable[[#This Row],[Units]]*EquipmentTable[[#This Row],[Unit
 Price]])</f>
        <v>0</v>
      </c>
      <c r="K178" s="50">
        <f>RawList!G143</f>
        <v>0</v>
      </c>
      <c r="L178" s="50"/>
      <c r="M178" s="50">
        <f>RawList!F143</f>
        <v>0</v>
      </c>
    </row>
    <row r="179" spans="2:13" x14ac:dyDescent="0.3">
      <c r="B179" s="50" t="str">
        <f>RawList!A144</f>
        <v>Primary Component</v>
      </c>
      <c r="C179" s="50" t="str">
        <f>RawList!B144</f>
        <v>User Interface, IO</v>
      </c>
      <c r="D179" s="50" t="str">
        <f>RawList!C144</f>
        <v>Adafruit</v>
      </c>
      <c r="E179" s="50" t="str">
        <f>RawList!H144</f>
        <v xml:space="preserve">Liquid Crystal Light Valve - LCD Controllable Shutter Glass </v>
      </c>
      <c r="F179" s="50" t="str">
        <f>RawList!D144</f>
        <v>3330</v>
      </c>
      <c r="G179" s="137">
        <f>RawList!E144</f>
        <v>0</v>
      </c>
      <c r="H179" s="50" t="str">
        <f>IF(EquipmentTable[[#This Row],[Units]]&gt;0,"Quantity &gt; 0 Items","Quantity = 0 Items")</f>
        <v>Quantity = 0 Items</v>
      </c>
      <c r="I179" s="141">
        <f>RawList!J144</f>
        <v>7.5</v>
      </c>
      <c r="J179" s="24">
        <f>VALUE(EquipmentTable[[#This Row],[Units]]*EquipmentTable[[#This Row],[Unit
 Price]])</f>
        <v>0</v>
      </c>
      <c r="K179" s="50">
        <f>RawList!G144</f>
        <v>0</v>
      </c>
      <c r="L179" s="50"/>
      <c r="M179" s="50">
        <f>RawList!F144</f>
        <v>0</v>
      </c>
    </row>
    <row r="180" spans="2:13" x14ac:dyDescent="0.3">
      <c r="B180" s="50" t="str">
        <f>RawList!A145</f>
        <v>Primary Component</v>
      </c>
      <c r="C180" s="50" t="str">
        <f>RawList!B145</f>
        <v>User Interface, IO</v>
      </c>
      <c r="D180" s="50" t="str">
        <f>RawList!C145</f>
        <v>Adafruit</v>
      </c>
      <c r="E180" s="50" t="str">
        <f>RawList!H145</f>
        <v xml:space="preserve">Membrane 1x4 Keypad + Extras </v>
      </c>
      <c r="F180" s="50" t="str">
        <f>RawList!D145</f>
        <v>1332</v>
      </c>
      <c r="G180" s="137">
        <f>RawList!E145</f>
        <v>5</v>
      </c>
      <c r="H180" s="50" t="str">
        <f>IF(EquipmentTable[[#This Row],[Units]]&gt;0,"Quantity &gt; 0 Items","Quantity = 0 Items")</f>
        <v>Quantity &gt; 0 Items</v>
      </c>
      <c r="I180" s="141">
        <f>RawList!J145</f>
        <v>2.95</v>
      </c>
      <c r="J180" s="24">
        <f>VALUE(EquipmentTable[[#This Row],[Units]]*EquipmentTable[[#This Row],[Unit
 Price]])</f>
        <v>14.75</v>
      </c>
      <c r="K180" s="50">
        <f>RawList!G145</f>
        <v>0</v>
      </c>
      <c r="L180" s="50"/>
      <c r="M180" s="50">
        <f>RawList!F145</f>
        <v>0</v>
      </c>
    </row>
    <row r="181" spans="2:13" x14ac:dyDescent="0.3">
      <c r="B181" s="50" t="str">
        <f>RawList!A146</f>
        <v>Primary Component</v>
      </c>
      <c r="C181" s="50" t="str">
        <f>RawList!B146</f>
        <v>User Interface, IO</v>
      </c>
      <c r="D181" s="50" t="str">
        <f>RawList!C146</f>
        <v>Adafruit</v>
      </c>
      <c r="E181" s="50" t="str">
        <f>RawList!H146</f>
        <v xml:space="preserve">Membrane 3x4 Matrix Keypad + extras - 3x4 </v>
      </c>
      <c r="F181" s="50" t="str">
        <f>RawList!D146</f>
        <v>419</v>
      </c>
      <c r="G181" s="137">
        <f>RawList!E146</f>
        <v>1</v>
      </c>
      <c r="H181" s="50" t="str">
        <f>IF(EquipmentTable[[#This Row],[Units]]&gt;0,"Quantity &gt; 0 Items","Quantity = 0 Items")</f>
        <v>Quantity &gt; 0 Items</v>
      </c>
      <c r="I181" s="141">
        <f>RawList!J146</f>
        <v>3.95</v>
      </c>
      <c r="J181" s="24">
        <f>VALUE(EquipmentTable[[#This Row],[Units]]*EquipmentTable[[#This Row],[Unit
 Price]])</f>
        <v>3.95</v>
      </c>
      <c r="K181" s="50">
        <f>RawList!G146</f>
        <v>0</v>
      </c>
      <c r="L181" s="50"/>
      <c r="M181" s="50">
        <f>RawList!F146</f>
        <v>0</v>
      </c>
    </row>
    <row r="182" spans="2:13" hidden="1" x14ac:dyDescent="0.3">
      <c r="B182" s="50" t="str">
        <f>RawList!A147</f>
        <v>Primary Component</v>
      </c>
      <c r="C182" s="50" t="str">
        <f>RawList!B147</f>
        <v>Vitals/Environment Sensing</v>
      </c>
      <c r="D182" s="50" t="str">
        <f>RawList!C147</f>
        <v>SparkFun</v>
      </c>
      <c r="E182" s="50" t="str">
        <f>RawList!H147</f>
        <v>SparkFun Environmental Combo Breakout - CCS811/BME280 (Qwiic)</v>
      </c>
      <c r="F182" s="50" t="str">
        <f>RawList!D147</f>
        <v>SEN-14348</v>
      </c>
      <c r="G182" s="137">
        <f>RawList!E147</f>
        <v>1</v>
      </c>
      <c r="H182" s="50" t="str">
        <f>IF(EquipmentTable[[#This Row],[Units]]&gt;0,"Quantity &gt; 0 Items","Quantity = 0 Items")</f>
        <v>Quantity &gt; 0 Items</v>
      </c>
      <c r="I182" s="141">
        <f>RawList!J147</f>
        <v>34.950000000000003</v>
      </c>
      <c r="J182" s="24">
        <f>VALUE(EquipmentTable[[#This Row],[Units]]*EquipmentTable[[#This Row],[Unit
 Price]])</f>
        <v>34.950000000000003</v>
      </c>
      <c r="K182" s="50" t="str">
        <f>RawList!G147</f>
        <v>https://cdn.sparkfun.com/r/92-92/assets/parts/1/2/3/2/9/14348-01.jpg</v>
      </c>
      <c r="L182" s="50"/>
      <c r="M182" s="50" t="str">
        <f>RawList!F147</f>
        <v>https://www.sparkfun.com/products/14348</v>
      </c>
    </row>
    <row r="183" spans="2:13" hidden="1" x14ac:dyDescent="0.3">
      <c r="B183" s="50" t="str">
        <f>RawList!A148</f>
        <v>Primary Component</v>
      </c>
      <c r="C183" s="50" t="str">
        <f>RawList!B148</f>
        <v>Vitals/Environment Sensing</v>
      </c>
      <c r="D183" s="50" t="str">
        <f>RawList!C148</f>
        <v>SparkFun</v>
      </c>
      <c r="E183" s="50" t="str">
        <f>RawList!H148</f>
        <v>SparkFun Particle Sensor Breakout - MAX30105</v>
      </c>
      <c r="F183" s="50" t="str">
        <f>RawList!D148</f>
        <v>SEN-14045</v>
      </c>
      <c r="G183" s="137">
        <f>RawList!E148</f>
        <v>1</v>
      </c>
      <c r="H183" s="50" t="str">
        <f>IF(EquipmentTable[[#This Row],[Units]]&gt;0,"Quantity &gt; 0 Items","Quantity = 0 Items")</f>
        <v>Quantity &gt; 0 Items</v>
      </c>
      <c r="I183" s="141">
        <f>RawList!J148</f>
        <v>12.95</v>
      </c>
      <c r="J183" s="24">
        <f>VALUE(EquipmentTable[[#This Row],[Units]]*EquipmentTable[[#This Row],[Unit
 Price]])</f>
        <v>12.95</v>
      </c>
      <c r="K183" s="50" t="str">
        <f>RawList!G148</f>
        <v>https://cdn.sparkfun.com/r/92-92/assets/parts/1/1/8/7/4/14045-01.jpg</v>
      </c>
      <c r="L183" s="50"/>
      <c r="M183" s="50" t="str">
        <f>RawList!F148</f>
        <v>https://www.sparkfun.com/products/14045</v>
      </c>
    </row>
    <row r="184" spans="2:13" hidden="1" x14ac:dyDescent="0.3">
      <c r="B184" s="50" t="str">
        <f>RawList!A149</f>
        <v>Primary Component</v>
      </c>
      <c r="C184" s="50" t="str">
        <f>RawList!B149</f>
        <v>Vitals/Environment Sensing</v>
      </c>
      <c r="D184" s="50" t="str">
        <f>RawList!C149</f>
        <v>SparkFun</v>
      </c>
      <c r="E184" s="50" t="str">
        <f>RawList!H149</f>
        <v>Gas Sensor Breakout</v>
      </c>
      <c r="F184" s="50" t="str">
        <f>RawList!D149</f>
        <v>BOB-08891</v>
      </c>
      <c r="G184" s="137">
        <f>RawList!E149</f>
        <v>1</v>
      </c>
      <c r="H184" s="50" t="str">
        <f>IF(EquipmentTable[[#This Row],[Units]]&gt;0,"Quantity &gt; 0 Items","Quantity = 0 Items")</f>
        <v>Quantity &gt; 0 Items</v>
      </c>
      <c r="I184" s="141">
        <f>RawList!J149</f>
        <v>0.95</v>
      </c>
      <c r="J184" s="24">
        <f>VALUE(EquipmentTable[[#This Row],[Units]]*EquipmentTable[[#This Row],[Unit
 Price]])</f>
        <v>0.95</v>
      </c>
      <c r="K184" s="50" t="str">
        <f>RawList!G149</f>
        <v>https://cdn.sparkfun.com/r/92-92/assets/parts/2/1/6/8/08891-01.jpg</v>
      </c>
      <c r="L184" s="50"/>
      <c r="M184" s="50" t="str">
        <f>RawList!F149</f>
        <v>https://www.sparkfun.com/products/8891</v>
      </c>
    </row>
    <row r="185" spans="2:13" hidden="1" x14ac:dyDescent="0.3">
      <c r="B185" s="50" t="str">
        <f>RawList!A150</f>
        <v>Primary Component</v>
      </c>
      <c r="C185" s="50" t="str">
        <f>RawList!B150</f>
        <v>Vitals/Environment Sensing</v>
      </c>
      <c r="D185" s="50" t="str">
        <f>RawList!C150</f>
        <v>SparkFun</v>
      </c>
      <c r="E185" s="50" t="str">
        <f>RawList!H150</f>
        <v>Carbon Monoxide Sensor - MQ-7</v>
      </c>
      <c r="F185" s="50" t="str">
        <f>RawList!D150</f>
        <v>SEN-09403</v>
      </c>
      <c r="G185" s="137">
        <f>RawList!E150</f>
        <v>1</v>
      </c>
      <c r="H185" s="50" t="str">
        <f>IF(EquipmentTable[[#This Row],[Units]]&gt;0,"Quantity &gt; 0 Items","Quantity = 0 Items")</f>
        <v>Quantity &gt; 0 Items</v>
      </c>
      <c r="I185" s="141">
        <f>RawList!J150</f>
        <v>7.25</v>
      </c>
      <c r="J185" s="24">
        <f>VALUE(EquipmentTable[[#This Row],[Units]]*EquipmentTable[[#This Row],[Unit
 Price]])</f>
        <v>7.25</v>
      </c>
      <c r="K185" s="50" t="str">
        <f>RawList!G150</f>
        <v>https://cdn.sparkfun.com/r/92-92/assets/parts/3/0/1/8/09403-01.jpg</v>
      </c>
      <c r="L185" s="50"/>
      <c r="M185" s="50" t="str">
        <f>RawList!F150</f>
        <v>https://www.sparkfun.com/products/9403</v>
      </c>
    </row>
    <row r="186" spans="2:13" hidden="1" x14ac:dyDescent="0.3">
      <c r="B186" s="50" t="str">
        <f>RawList!A151</f>
        <v>Primary Component</v>
      </c>
      <c r="C186" s="50" t="str">
        <f>RawList!B151</f>
        <v>Vitals/Environment Sensing</v>
      </c>
      <c r="D186" s="50" t="str">
        <f>RawList!C151</f>
        <v>SparkFun</v>
      </c>
      <c r="E186" s="50" t="str">
        <f>RawList!H151</f>
        <v>SparkFun Luminosity Sensor Breakout - TSL2561</v>
      </c>
      <c r="F186" s="50" t="str">
        <f>RawList!D151</f>
        <v>SEN-12055</v>
      </c>
      <c r="G186" s="137">
        <f>RawList!E151</f>
        <v>0</v>
      </c>
      <c r="H186" s="50" t="str">
        <f>IF(EquipmentTable[[#This Row],[Units]]&gt;0,"Quantity &gt; 0 Items","Quantity = 0 Items")</f>
        <v>Quantity = 0 Items</v>
      </c>
      <c r="I186" s="141">
        <f>RawList!J151</f>
        <v>5.95</v>
      </c>
      <c r="J186" s="24">
        <f>VALUE(EquipmentTable[[#This Row],[Units]]*EquipmentTable[[#This Row],[Unit
 Price]])</f>
        <v>0</v>
      </c>
      <c r="K186" s="50" t="str">
        <f>RawList!G151</f>
        <v>https://cdn.sparkfun.com/r/92-92/assets/parts/8/6/4/4/12055-01.jpg</v>
      </c>
      <c r="L186" s="50"/>
      <c r="M186" s="50" t="str">
        <f>RawList!F151</f>
        <v>https://www.sparkfun.com/products/12055</v>
      </c>
    </row>
    <row r="187" spans="2:13" hidden="1" x14ac:dyDescent="0.3">
      <c r="B187" s="50" t="str">
        <f>RawList!A152</f>
        <v>Primary Component</v>
      </c>
      <c r="C187" s="50" t="str">
        <f>RawList!B152</f>
        <v>Vitals/Environment Sensing</v>
      </c>
      <c r="D187" s="50" t="str">
        <f>RawList!C152</f>
        <v>SparkFun</v>
      </c>
      <c r="E187" s="50" t="str">
        <f>RawList!H152</f>
        <v>SparkFun Ambient Light Sensor Breakout - TEMT6000</v>
      </c>
      <c r="F187" s="50" t="str">
        <f>RawList!D152</f>
        <v>BOB-08688</v>
      </c>
      <c r="G187" s="137">
        <f>RawList!E152</f>
        <v>2</v>
      </c>
      <c r="H187" s="50" t="str">
        <f>IF(EquipmentTable[[#This Row],[Units]]&gt;0,"Quantity &gt; 0 Items","Quantity = 0 Items")</f>
        <v>Quantity &gt; 0 Items</v>
      </c>
      <c r="I187" s="141">
        <f>RawList!J152</f>
        <v>3.95</v>
      </c>
      <c r="J187" s="24">
        <f>VALUE(EquipmentTable[[#This Row],[Units]]*EquipmentTable[[#This Row],[Unit
 Price]])</f>
        <v>7.9</v>
      </c>
      <c r="K187" s="50" t="str">
        <f>RawList!G152</f>
        <v>https://cdn.sparkfun.com/r/92-92/assets/parts/1/8/5/9/08688-01.jpg</v>
      </c>
      <c r="L187" s="50"/>
      <c r="M187" s="50" t="str">
        <f>RawList!F152</f>
        <v>https://www.sparkfun.com/products/8688</v>
      </c>
    </row>
    <row r="188" spans="2:13" x14ac:dyDescent="0.3">
      <c r="B188" s="50" t="str">
        <f>RawList!A153</f>
        <v>Primary Component</v>
      </c>
      <c r="C188" s="50" t="str">
        <f>RawList!B153</f>
        <v>WiFi</v>
      </c>
      <c r="D188" s="50" t="str">
        <f>RawList!C153</f>
        <v>SparkFun</v>
      </c>
      <c r="E188" s="50" t="str">
        <f>RawList!H153</f>
        <v>Edimax WiFi Adapter (EW-7811UN)</v>
      </c>
      <c r="F188" s="50" t="str">
        <f>RawList!D153</f>
        <v>WRL-13677</v>
      </c>
      <c r="G188" s="137">
        <f>RawList!E153</f>
        <v>3</v>
      </c>
      <c r="H188" s="50" t="str">
        <f>IF(EquipmentTable[[#This Row],[Units]]&gt;0,"Quantity &gt; 0 Items","Quantity = 0 Items")</f>
        <v>Quantity &gt; 0 Items</v>
      </c>
      <c r="I188" s="141">
        <f>RawList!J153</f>
        <v>14.95</v>
      </c>
      <c r="J188" s="24">
        <f>VALUE(EquipmentTable[[#This Row],[Units]]*EquipmentTable[[#This Row],[Unit
 Price]])</f>
        <v>44.849999999999994</v>
      </c>
      <c r="K188" s="50" t="str">
        <f>RawList!G153</f>
        <v>https://cdn.sparkfun.com/r/92-92/assets/parts/1/1/1/2/7/13677-01.jpg</v>
      </c>
      <c r="L188" s="50"/>
      <c r="M188" s="50" t="str">
        <f>RawList!F153</f>
        <v>https://www.sparkfun.com/products/13677</v>
      </c>
    </row>
    <row r="189" spans="2:13" x14ac:dyDescent="0.3">
      <c r="B189" s="50" t="str">
        <f>RawList!A154</f>
        <v>Primary Component</v>
      </c>
      <c r="C189" s="50" t="str">
        <f>RawList!B154</f>
        <v>WiFi</v>
      </c>
      <c r="D189" s="50" t="str">
        <f>RawList!C154</f>
        <v>SparkFun</v>
      </c>
      <c r="E189" s="50" t="str">
        <f>RawList!H154</f>
        <v>WiFi Module - ESP8266</v>
      </c>
      <c r="F189" s="50" t="str">
        <f>RawList!D154</f>
        <v>WRL-13678</v>
      </c>
      <c r="G189" s="137">
        <f>RawList!E154</f>
        <v>0</v>
      </c>
      <c r="H189" s="50" t="str">
        <f>IF(EquipmentTable[[#This Row],[Units]]&gt;0,"Quantity &gt; 0 Items","Quantity = 0 Items")</f>
        <v>Quantity = 0 Items</v>
      </c>
      <c r="I189" s="141">
        <f>RawList!J154</f>
        <v>6.95</v>
      </c>
      <c r="J189" s="24">
        <f>VALUE(EquipmentTable[[#This Row],[Units]]*EquipmentTable[[#This Row],[Unit
 Price]])</f>
        <v>0</v>
      </c>
      <c r="K189" s="50" t="str">
        <f>RawList!G154</f>
        <v>https://cdn.sparkfun.com/r/92-92/assets/parts/1/1/1/2/9/13678-01.jpg</v>
      </c>
      <c r="L189" s="50"/>
      <c r="M189" s="50" t="str">
        <f>RawList!F154</f>
        <v>https://www.sparkfun.com/products/13678</v>
      </c>
    </row>
    <row r="190" spans="2:13" hidden="1" x14ac:dyDescent="0.3">
      <c r="B190" s="50" t="str">
        <f>RawList!A159</f>
        <v>Secondary Component</v>
      </c>
      <c r="C190" s="50" t="str">
        <f>RawList!B159</f>
        <v>AVR/ISP Programmer Adapters/Cables</v>
      </c>
      <c r="D190" s="50" t="str">
        <f>RawList!C159</f>
        <v>SparkFun</v>
      </c>
      <c r="E190" s="50" t="str">
        <f>RawList!H159</f>
        <v>SparkFun ISP Pogo Adapter</v>
      </c>
      <c r="F190" s="50" t="str">
        <f>RawList!D159</f>
        <v>KIT-11591</v>
      </c>
      <c r="G190" s="137">
        <f>RawList!E159</f>
        <v>1</v>
      </c>
      <c r="H190" s="50" t="str">
        <f>IF(EquipmentTable[[#This Row],[Units]]&gt;0,"Quantity &gt; 0 Items","Quantity = 0 Items")</f>
        <v>Quantity &gt; 0 Items</v>
      </c>
      <c r="I190" s="57">
        <f>RawList!J159</f>
        <v>9.9499999999999993</v>
      </c>
      <c r="J190" s="24">
        <f>VALUE(EquipmentTable[[#This Row],[Units]]*EquipmentTable[[#This Row],[Unit
 Price]])</f>
        <v>9.9499999999999993</v>
      </c>
      <c r="K190" s="50" t="str">
        <f>RawList!G159</f>
        <v>https://cdn.sparkfun.com/r/92-92/assets/parts/7/5/9/7/11591-02.jpg</v>
      </c>
      <c r="L190" s="50"/>
      <c r="M190" s="50" t="str">
        <f>RawList!F159</f>
        <v>https://www.sparkfun.com/products/11591</v>
      </c>
    </row>
    <row r="191" spans="2:13" hidden="1" x14ac:dyDescent="0.3">
      <c r="B191" s="50" t="str">
        <f>RawList!A160</f>
        <v>Secondary Component</v>
      </c>
      <c r="C191" s="50" t="str">
        <f>RawList!B160</f>
        <v>AVR/ISP Programmer Adapters/Cables</v>
      </c>
      <c r="D191" s="50" t="str">
        <f>RawList!C160</f>
        <v>SparkFun</v>
      </c>
      <c r="E191" s="50" t="str">
        <f>RawList!H160</f>
        <v>AVR Programming Cable</v>
      </c>
      <c r="F191" s="50" t="str">
        <f>RawList!D160</f>
        <v>DEV-09215</v>
      </c>
      <c r="G191" s="137">
        <f>RawList!E160</f>
        <v>1</v>
      </c>
      <c r="H191" s="50" t="str">
        <f>IF(EquipmentTable[[#This Row],[Units]]&gt;0,"Quantity &gt; 0 Items","Quantity = 0 Items")</f>
        <v>Quantity &gt; 0 Items</v>
      </c>
      <c r="I191" s="57">
        <f>RawList!J160</f>
        <v>1.95</v>
      </c>
      <c r="J191" s="24">
        <f>VALUE(EquipmentTable[[#This Row],[Units]]*EquipmentTable[[#This Row],[Unit
 Price]])</f>
        <v>1.95</v>
      </c>
      <c r="K191" s="50" t="str">
        <f>RawList!G160</f>
        <v>https://cdn.sparkfun.com/r/92-92/assets/parts/2/6/7/5/09215-3.jpg</v>
      </c>
      <c r="L191" s="50"/>
      <c r="M191" s="50" t="str">
        <f>RawList!F160</f>
        <v>https://www.sparkfun.com/products/9215</v>
      </c>
    </row>
    <row r="192" spans="2:13" x14ac:dyDescent="0.3">
      <c r="B192" s="50" t="str">
        <f>RawList!A161</f>
        <v>Secondary Component</v>
      </c>
      <c r="C192" s="50" t="str">
        <f>RawList!B161</f>
        <v>Interface/Level/Logic Conversion</v>
      </c>
      <c r="D192" s="50" t="str">
        <f>RawList!C161</f>
        <v>SparkFun</v>
      </c>
      <c r="E192" s="50" t="str">
        <f>RawList!H161</f>
        <v>SparkFun Logic Level Converter - Bi-Directional</v>
      </c>
      <c r="F192" s="50" t="str">
        <f>RawList!D161</f>
        <v>BOB-12009</v>
      </c>
      <c r="G192" s="137">
        <f>RawList!E161</f>
        <v>10</v>
      </c>
      <c r="H192" s="50" t="str">
        <f>IF(EquipmentTable[[#This Row],[Units]]&gt;0,"Quantity &gt; 0 Items","Quantity = 0 Items")</f>
        <v>Quantity &gt; 0 Items</v>
      </c>
      <c r="I192" s="141">
        <f>RawList!J161</f>
        <v>2.8</v>
      </c>
      <c r="J192" s="24">
        <f>VALUE(EquipmentTable[[#This Row],[Units]]*EquipmentTable[[#This Row],[Unit
 Price]])</f>
        <v>28</v>
      </c>
      <c r="K192" s="50" t="str">
        <f>RawList!G161</f>
        <v>https://cdn.sparkfun.com/r/92-92/assets/parts/8/5/2/2/12009-06.jpg</v>
      </c>
      <c r="L192" s="50"/>
      <c r="M192" s="50" t="str">
        <f>RawList!F161</f>
        <v>https://www.sparkfun.com/products/12009</v>
      </c>
    </row>
    <row r="193" spans="2:13" x14ac:dyDescent="0.3">
      <c r="B193" s="50" t="str">
        <f>RawList!A162</f>
        <v>Secondary Component</v>
      </c>
      <c r="C193" s="50" t="str">
        <f>RawList!B162</f>
        <v>Interface/Level/Logic Conversion</v>
      </c>
      <c r="D193" s="50" t="str">
        <f>RawList!C162</f>
        <v>SparkFun</v>
      </c>
      <c r="E193" s="50" t="str">
        <f>RawList!H162</f>
        <v>SparkFun Level Translator Breakout - PCA9306</v>
      </c>
      <c r="F193" s="50" t="str">
        <f>RawList!D162</f>
        <v>BOB-11955</v>
      </c>
      <c r="G193" s="137">
        <f>RawList!E162</f>
        <v>2</v>
      </c>
      <c r="H193" s="50" t="str">
        <f>IF(EquipmentTable[[#This Row],[Units]]&gt;0,"Quantity &gt; 0 Items","Quantity = 0 Items")</f>
        <v>Quantity &gt; 0 Items</v>
      </c>
      <c r="I193" s="141">
        <f>RawList!J162</f>
        <v>6.95</v>
      </c>
      <c r="J193" s="24">
        <f>VALUE(EquipmentTable[[#This Row],[Units]]*EquipmentTable[[#This Row],[Unit
 Price]])</f>
        <v>13.9</v>
      </c>
      <c r="K193" s="50" t="str">
        <f>RawList!G162</f>
        <v>https://cdn.sparkfun.com/r/92-92/assets/parts/8/4/3/0/11955-01.jpg</v>
      </c>
      <c r="L193" s="50"/>
      <c r="M193" s="50" t="str">
        <f>RawList!F162</f>
        <v>https://www.sparkfun.com/products/11955</v>
      </c>
    </row>
    <row r="194" spans="2:13" x14ac:dyDescent="0.3">
      <c r="B194" s="50" t="str">
        <f>RawList!A163</f>
        <v>Secondary Component</v>
      </c>
      <c r="C194" s="50" t="str">
        <f>RawList!B163</f>
        <v>Interface/Level/Logic Conversion</v>
      </c>
      <c r="D194" s="50" t="str">
        <f>RawList!C163</f>
        <v>SparkFun</v>
      </c>
      <c r="E194" s="50" t="str">
        <f>RawList!H163</f>
        <v>SparkFun Voltage-Level Translator Breakout - TXB0104</v>
      </c>
      <c r="F194" s="50" t="str">
        <f>RawList!D163</f>
        <v>BOB-11771</v>
      </c>
      <c r="G194" s="137">
        <f>RawList!E163</f>
        <v>3</v>
      </c>
      <c r="H194" s="50" t="str">
        <f>IF(EquipmentTable[[#This Row],[Units]]&gt;0,"Quantity &gt; 0 Items","Quantity = 0 Items")</f>
        <v>Quantity &gt; 0 Items</v>
      </c>
      <c r="I194" s="141">
        <f>RawList!J163</f>
        <v>3.95</v>
      </c>
      <c r="J194" s="24">
        <f>VALUE(EquipmentTable[[#This Row],[Units]]*EquipmentTable[[#This Row],[Unit
 Price]])</f>
        <v>11.850000000000001</v>
      </c>
      <c r="K194" s="50" t="str">
        <f>RawList!G163</f>
        <v>https://cdn.sparkfun.com/r/92-92/assets/parts/8/0/0/6/11771-01.jpg</v>
      </c>
      <c r="L194" s="50"/>
      <c r="M194" s="50" t="str">
        <f>RawList!F163</f>
        <v>https://www.sparkfun.com/products/11771</v>
      </c>
    </row>
    <row r="195" spans="2:13" x14ac:dyDescent="0.3">
      <c r="B195" s="50" t="str">
        <f>RawList!A164</f>
        <v>Secondary Component</v>
      </c>
      <c r="C195" s="50" t="str">
        <f>RawList!B164</f>
        <v>Interface/Level/Logic Conversion</v>
      </c>
      <c r="D195" s="50" t="str">
        <f>RawList!C164</f>
        <v>SparkFun</v>
      </c>
      <c r="E195" s="50" t="str">
        <f>RawList!H164</f>
        <v>SparkFun I2C DAC Breakout - MCP4725</v>
      </c>
      <c r="F195" s="50" t="str">
        <f>RawList!D164</f>
        <v>BOB-12918</v>
      </c>
      <c r="G195" s="137">
        <f>RawList!E164</f>
        <v>5</v>
      </c>
      <c r="H195" s="50" t="str">
        <f>IF(EquipmentTable[[#This Row],[Units]]&gt;0,"Quantity &gt; 0 Items","Quantity = 0 Items")</f>
        <v>Quantity &gt; 0 Items</v>
      </c>
      <c r="I195" s="141">
        <f>RawList!J164</f>
        <v>4.95</v>
      </c>
      <c r="J195" s="24">
        <f>VALUE(EquipmentTable[[#This Row],[Units]]*EquipmentTable[[#This Row],[Unit
 Price]])</f>
        <v>24.75</v>
      </c>
      <c r="K195" s="50" t="str">
        <f>RawList!G164</f>
        <v>https://cdn.sparkfun.com/r/92-92/assets/parts/9/8/3/2/12918-01.jpg</v>
      </c>
      <c r="L195" s="50"/>
      <c r="M195" s="50" t="str">
        <f>RawList!F164</f>
        <v>https://www.sparkfun.com/products/12918</v>
      </c>
    </row>
    <row r="196" spans="2:13" x14ac:dyDescent="0.3">
      <c r="B196" s="50" t="str">
        <f>RawList!A165</f>
        <v>Secondary Component</v>
      </c>
      <c r="C196" s="50" t="str">
        <f>RawList!B165</f>
        <v>Interface/Level/Logic Conversion</v>
      </c>
      <c r="D196" s="50" t="str">
        <f>RawList!C165</f>
        <v>Adafruit</v>
      </c>
      <c r="E196" s="50" t="str">
        <f>RawList!H165</f>
        <v xml:space="preserve">MCP4725 Breakout Board - 12-Bit DAC w/I2C Interface </v>
      </c>
      <c r="F196" s="50" t="str">
        <f>RawList!D165</f>
        <v>935</v>
      </c>
      <c r="G196" s="137">
        <f>RawList!E165</f>
        <v>0</v>
      </c>
      <c r="H196" s="50" t="str">
        <f>IF(EquipmentTable[[#This Row],[Units]]&gt;0,"Quantity &gt; 0 Items","Quantity = 0 Items")</f>
        <v>Quantity = 0 Items</v>
      </c>
      <c r="I196" s="141">
        <f>RawList!J165</f>
        <v>4.95</v>
      </c>
      <c r="J196" s="24">
        <f>VALUE(EquipmentTable[[#This Row],[Units]]*EquipmentTable[[#This Row],[Unit
 Price]])</f>
        <v>0</v>
      </c>
      <c r="K196" s="50">
        <f>RawList!G165</f>
        <v>0</v>
      </c>
      <c r="L196" s="50"/>
      <c r="M196" s="50">
        <f>RawList!F165</f>
        <v>0</v>
      </c>
    </row>
    <row r="197" spans="2:13" x14ac:dyDescent="0.3">
      <c r="B197" s="50" t="str">
        <f>RawList!A166</f>
        <v>Secondary Component</v>
      </c>
      <c r="C197" s="50" t="str">
        <f>RawList!B166</f>
        <v>Interface/Level/Logic Conversion</v>
      </c>
      <c r="D197" s="50" t="str">
        <f>RawList!C166</f>
        <v>Adafruit</v>
      </c>
      <c r="E197" s="50" t="str">
        <f>RawList!H166</f>
        <v xml:space="preserve">Adafruit I2C Non-Volatile FRAM Breakout - 256Kbit / 32KByte </v>
      </c>
      <c r="F197" s="50" t="str">
        <f>RawList!D166</f>
        <v>1895</v>
      </c>
      <c r="G197" s="137">
        <f>RawList!E166</f>
        <v>0</v>
      </c>
      <c r="H197" s="50" t="str">
        <f>IF(EquipmentTable[[#This Row],[Units]]&gt;0,"Quantity &gt; 0 Items","Quantity = 0 Items")</f>
        <v>Quantity = 0 Items</v>
      </c>
      <c r="I197" s="141">
        <f>RawList!J166</f>
        <v>9.9499999999999993</v>
      </c>
      <c r="J197" s="24">
        <f>VALUE(EquipmentTable[[#This Row],[Units]]*EquipmentTable[[#This Row],[Unit
 Price]])</f>
        <v>0</v>
      </c>
      <c r="K197" s="50">
        <f>RawList!G166</f>
        <v>0</v>
      </c>
      <c r="L197" s="50"/>
      <c r="M197" s="50">
        <f>RawList!F166</f>
        <v>0</v>
      </c>
    </row>
    <row r="198" spans="2:13" x14ac:dyDescent="0.3">
      <c r="B198" s="50" t="str">
        <f>RawList!A167</f>
        <v>Secondary Component</v>
      </c>
      <c r="C198" s="50" t="str">
        <f>RawList!B167</f>
        <v>Interface/Level/Logic Conversion</v>
      </c>
      <c r="D198" s="50" t="str">
        <f>RawList!C167</f>
        <v>Adafruit</v>
      </c>
      <c r="E198" s="50" t="str">
        <f>RawList!H167</f>
        <v xml:space="preserve">Adafruit SPI Non-Volatile FRAM Breakout - 64Kbit / 8KByte </v>
      </c>
      <c r="F198" s="50" t="str">
        <f>RawList!D167</f>
        <v>1897</v>
      </c>
      <c r="G198" s="137">
        <f>RawList!E167</f>
        <v>0</v>
      </c>
      <c r="H198" s="50" t="str">
        <f>IF(EquipmentTable[[#This Row],[Units]]&gt;0,"Quantity &gt; 0 Items","Quantity = 0 Items")</f>
        <v>Quantity = 0 Items</v>
      </c>
      <c r="I198" s="141">
        <f>RawList!J167</f>
        <v>5.95</v>
      </c>
      <c r="J198" s="24">
        <f>VALUE(EquipmentTable[[#This Row],[Units]]*EquipmentTable[[#This Row],[Unit
 Price]])</f>
        <v>0</v>
      </c>
      <c r="K198" s="50">
        <f>RawList!G167</f>
        <v>0</v>
      </c>
      <c r="L198" s="50"/>
      <c r="M198" s="50">
        <f>RawList!F167</f>
        <v>0</v>
      </c>
    </row>
    <row r="199" spans="2:13" hidden="1" x14ac:dyDescent="0.3">
      <c r="B199" s="50" t="str">
        <f>RawList!A168</f>
        <v>Secondary Component</v>
      </c>
      <c r="C199" s="50" t="str">
        <f>RawList!B168</f>
        <v>QWIIC System/Components</v>
      </c>
      <c r="D199" s="50" t="str">
        <f>RawList!C168</f>
        <v>SparkFun</v>
      </c>
      <c r="E199" s="50" t="str">
        <f>RawList!H168</f>
        <v>Qwiic Cable - Breadboard Jumper (4-pin)</v>
      </c>
      <c r="F199" s="50" t="str">
        <f>RawList!D168</f>
        <v>PRT-14425</v>
      </c>
      <c r="G199" s="137">
        <f>RawList!E168</f>
        <v>15</v>
      </c>
      <c r="H199" s="50" t="str">
        <f>IF(EquipmentTable[[#This Row],[Units]]&gt;0,"Quantity &gt; 0 Items","Quantity = 0 Items")</f>
        <v>Quantity &gt; 0 Items</v>
      </c>
      <c r="I199" s="141">
        <f>RawList!J168</f>
        <v>1.5</v>
      </c>
      <c r="J199" s="24">
        <f>VALUE(EquipmentTable[[#This Row],[Units]]*EquipmentTable[[#This Row],[Unit
 Price]])</f>
        <v>22.5</v>
      </c>
      <c r="K199" s="50" t="str">
        <f>RawList!G168</f>
        <v>https://cdn.sparkfun.com/r/92-92/assets/parts/1/2/4/5/1/14425-01.jpg</v>
      </c>
      <c r="L199" s="50"/>
      <c r="M199" s="50" t="str">
        <f>RawList!F168</f>
        <v>https://www.sparkfun.com/products/14425</v>
      </c>
    </row>
    <row r="200" spans="2:13" hidden="1" x14ac:dyDescent="0.3">
      <c r="B200" s="50" t="str">
        <f>RawList!A169</f>
        <v>Secondary Component</v>
      </c>
      <c r="C200" s="50" t="str">
        <f>RawList!B169</f>
        <v>QWIIC System/Components</v>
      </c>
      <c r="D200" s="50" t="str">
        <f>RawList!C169</f>
        <v>SparkFun</v>
      </c>
      <c r="E200" s="50" t="str">
        <f>RawList!H169</f>
        <v>1-Wire to Qwiic Bridge - DS28E17</v>
      </c>
      <c r="F200" s="50" t="str">
        <f>RawList!D169</f>
        <v>SPX-14291</v>
      </c>
      <c r="G200" s="137">
        <f>RawList!E169</f>
        <v>1</v>
      </c>
      <c r="H200" s="50" t="str">
        <f>IF(EquipmentTable[[#This Row],[Units]]&gt;0,"Quantity &gt; 0 Items","Quantity = 0 Items")</f>
        <v>Quantity &gt; 0 Items</v>
      </c>
      <c r="I200" s="141">
        <f>RawList!J169</f>
        <v>14.95</v>
      </c>
      <c r="J200" s="24">
        <f>VALUE(EquipmentTable[[#This Row],[Units]]*EquipmentTable[[#This Row],[Unit
 Price]])</f>
        <v>14.95</v>
      </c>
      <c r="K200" s="50" t="str">
        <f>RawList!G169</f>
        <v>https://cdn.sparkfun.com/r/92-92/assets/parts/1/2/2/5/0/1Wire_to_Qwiic_Bridge_DS28E17_05.jpg</v>
      </c>
      <c r="L200" s="50"/>
      <c r="M200" s="50" t="str">
        <f>RawList!F169</f>
        <v>https://www.sparkfun.com/products/14291</v>
      </c>
    </row>
    <row r="201" spans="2:13" hidden="1" x14ac:dyDescent="0.3">
      <c r="B201" s="50" t="str">
        <f>RawList!A170</f>
        <v>Secondary Component</v>
      </c>
      <c r="C201" s="50" t="str">
        <f>RawList!B170</f>
        <v>QWIIC System/Components</v>
      </c>
      <c r="D201" s="50" t="str">
        <f>RawList!C170</f>
        <v>SparkFun</v>
      </c>
      <c r="E201" s="50" t="str">
        <f>RawList!H170</f>
        <v>Qwiic Shield for Arduino</v>
      </c>
      <c r="F201" s="50" t="str">
        <f>RawList!D170</f>
        <v>SPX-14286</v>
      </c>
      <c r="G201" s="137">
        <f>RawList!E170</f>
        <v>0</v>
      </c>
      <c r="H201" s="50" t="str">
        <f>IF(EquipmentTable[[#This Row],[Units]]&gt;0,"Quantity &gt; 0 Items","Quantity = 0 Items")</f>
        <v>Quantity = 0 Items</v>
      </c>
      <c r="I201" s="141">
        <f>RawList!J170</f>
        <v>2.95</v>
      </c>
      <c r="J201" s="24">
        <f>VALUE(EquipmentTable[[#This Row],[Units]]*EquipmentTable[[#This Row],[Unit
 Price]])</f>
        <v>0</v>
      </c>
      <c r="K201" s="50" t="str">
        <f>RawList!G170</f>
        <v>https://cdn.sparkfun.com/r/92-92/assets/parts/1/2/2/4/5/Qwiic_Shield_for_Arduino_X1.1_04.jpg</v>
      </c>
      <c r="L201" s="50"/>
      <c r="M201" s="50" t="str">
        <f>RawList!F170</f>
        <v>https://www.sparkfun.com/products/14286</v>
      </c>
    </row>
    <row r="202" spans="2:13" hidden="1" x14ac:dyDescent="0.3">
      <c r="B202" s="50" t="str">
        <f>RawList!A171</f>
        <v>Secondary Component</v>
      </c>
      <c r="C202" s="50" t="str">
        <f>RawList!B171</f>
        <v>QWIIC System/Components</v>
      </c>
      <c r="D202" s="50" t="str">
        <f>RawList!C171</f>
        <v>SparkFun</v>
      </c>
      <c r="E202" s="50" t="str">
        <f>RawList!H171</f>
        <v>Qwiic Mux Shield for Arduino - PCA9548A</v>
      </c>
      <c r="F202" s="50" t="str">
        <f>RawList!D171</f>
        <v>SPX-14257</v>
      </c>
      <c r="G202" s="137">
        <f>RawList!E171</f>
        <v>0</v>
      </c>
      <c r="H202" s="50" t="str">
        <f>IF(EquipmentTable[[#This Row],[Units]]&gt;0,"Quantity &gt; 0 Items","Quantity = 0 Items")</f>
        <v>Quantity = 0 Items</v>
      </c>
      <c r="I202" s="141">
        <f>RawList!J171</f>
        <v>9.9499999999999993</v>
      </c>
      <c r="J202" s="24">
        <f>VALUE(EquipmentTable[[#This Row],[Units]]*EquipmentTable[[#This Row],[Unit
 Price]])</f>
        <v>0</v>
      </c>
      <c r="K202" s="50" t="str">
        <f>RawList!G171</f>
        <v>https://cdn.sparkfun.com/r/92-92/assets/parts/1/2/2/0/5/Qwiic_Mux_Shield_Arduino_04.jpg</v>
      </c>
      <c r="L202" s="50"/>
      <c r="M202" s="50" t="str">
        <f>RawList!F171</f>
        <v>https://www.sparkfun.com/products/14257</v>
      </c>
    </row>
    <row r="203" spans="2:13" hidden="1" x14ac:dyDescent="0.3">
      <c r="B203" s="50" t="str">
        <f>RawList!A172</f>
        <v>Secondary Component</v>
      </c>
      <c r="C203" s="50" t="str">
        <f>RawList!B172</f>
        <v>QWIIC System/Components</v>
      </c>
      <c r="D203" s="50" t="str">
        <f>RawList!C172</f>
        <v>SparkFun</v>
      </c>
      <c r="E203" s="50" t="str">
        <f>RawList!H172</f>
        <v>Qwiic Mux - PCA9548A</v>
      </c>
      <c r="F203" s="50" t="str">
        <f>RawList!D172</f>
        <v>SPX-14293</v>
      </c>
      <c r="G203" s="137">
        <f>RawList!E172</f>
        <v>1</v>
      </c>
      <c r="H203" s="50" t="str">
        <f>IF(EquipmentTable[[#This Row],[Units]]&gt;0,"Quantity &gt; 0 Items","Quantity = 0 Items")</f>
        <v>Quantity &gt; 0 Items</v>
      </c>
      <c r="I203" s="141">
        <f>RawList!J172</f>
        <v>14.95</v>
      </c>
      <c r="J203" s="24">
        <f>VALUE(EquipmentTable[[#This Row],[Units]]*EquipmentTable[[#This Row],[Unit
 Price]])</f>
        <v>14.95</v>
      </c>
      <c r="K203" s="50" t="str">
        <f>RawList!G172</f>
        <v>https://cdn.sparkfun.com/r/92-92/assets/parts/1/2/2/5/2/Qwiic-Mux-PCA9548A-3.jpg</v>
      </c>
      <c r="L203" s="50"/>
      <c r="M203" s="50" t="str">
        <f>RawList!F172</f>
        <v>https://www.sparkfun.com/products/14293</v>
      </c>
    </row>
    <row r="204" spans="2:13" hidden="1" x14ac:dyDescent="0.3">
      <c r="B204" s="50" t="str">
        <f>RawList!A173</f>
        <v>Secondary Component</v>
      </c>
      <c r="C204" s="50" t="str">
        <f>RawList!B173</f>
        <v>QWIIC System/Components</v>
      </c>
      <c r="D204" s="50" t="str">
        <f>RawList!C173</f>
        <v>SparkFun</v>
      </c>
      <c r="E204" s="50" t="str">
        <f>RawList!H173</f>
        <v>Qwiic Human Presence Sensor - AK9750</v>
      </c>
      <c r="F204" s="50" t="str">
        <f>RawList!D173</f>
        <v>SPX-14289</v>
      </c>
      <c r="G204" s="137">
        <f>RawList!E173</f>
        <v>0</v>
      </c>
      <c r="H204" s="50" t="str">
        <f>IF(EquipmentTable[[#This Row],[Units]]&gt;0,"Quantity &gt; 0 Items","Quantity = 0 Items")</f>
        <v>Quantity = 0 Items</v>
      </c>
      <c r="I204" s="141">
        <f>RawList!J173</f>
        <v>39.950000000000003</v>
      </c>
      <c r="J204" s="24">
        <f>VALUE(EquipmentTable[[#This Row],[Units]]*EquipmentTable[[#This Row],[Unit
 Price]])</f>
        <v>0</v>
      </c>
      <c r="K204" s="50" t="str">
        <f>RawList!G173</f>
        <v>https://cdn.sparkfun.com/r/92-92/assets/parts/1/2/2/4/8/Qwiic-AK9750-3.jpg</v>
      </c>
      <c r="L204" s="50"/>
      <c r="M204" s="50" t="str">
        <f>RawList!F173</f>
        <v>https://www.sparkfun.com/products/14289</v>
      </c>
    </row>
    <row r="205" spans="2:13" hidden="1" x14ac:dyDescent="0.3">
      <c r="B205" s="50" t="str">
        <f>RawList!A174</f>
        <v>Secondary Component</v>
      </c>
      <c r="C205" s="50" t="str">
        <f>RawList!B174</f>
        <v>QWIIC System/Components</v>
      </c>
      <c r="D205" s="50" t="str">
        <f>RawList!C174</f>
        <v>SparkFun</v>
      </c>
      <c r="E205" s="50" t="str">
        <f>RawList!H174</f>
        <v>Qwiic Micro OLED</v>
      </c>
      <c r="F205" s="50" t="str">
        <f>RawList!D174</f>
        <v>SPX-14269</v>
      </c>
      <c r="G205" s="137">
        <f>RawList!E174</f>
        <v>0</v>
      </c>
      <c r="H205" s="50" t="str">
        <f>IF(EquipmentTable[[#This Row],[Units]]&gt;0,"Quantity &gt; 0 Items","Quantity = 0 Items")</f>
        <v>Quantity = 0 Items</v>
      </c>
      <c r="I205" s="141">
        <f>RawList!J174</f>
        <v>14.95</v>
      </c>
      <c r="J205" s="24">
        <f>VALUE(EquipmentTable[[#This Row],[Units]]*EquipmentTable[[#This Row],[Unit
 Price]])</f>
        <v>0</v>
      </c>
      <c r="K205" s="50" t="str">
        <f>RawList!G174</f>
        <v>https://cdn.sparkfun.com/r/92-92/assets/parts/1/2/2/2/4/Qwiic_Micro_OLED_04.jpg</v>
      </c>
      <c r="L205" s="50"/>
      <c r="M205" s="50" t="str">
        <f>RawList!F174</f>
        <v>https://www.sparkfun.com/products/14269</v>
      </c>
    </row>
    <row r="206" spans="2:13" hidden="1" x14ac:dyDescent="0.3">
      <c r="B206" s="50" t="str">
        <f>RawList!A175</f>
        <v>Secondary Component</v>
      </c>
      <c r="C206" s="50" t="str">
        <f>RawList!B175</f>
        <v>QWIIC System/Components</v>
      </c>
      <c r="D206" s="50" t="str">
        <f>RawList!C175</f>
        <v>SparkFun</v>
      </c>
      <c r="E206" s="50" t="str">
        <f>RawList!H175</f>
        <v>Qwiic Cable - 50mm</v>
      </c>
      <c r="F206" s="50" t="str">
        <f>RawList!D175</f>
        <v>PRT-14426</v>
      </c>
      <c r="G206" s="137">
        <f>RawList!E175</f>
        <v>10</v>
      </c>
      <c r="H206" s="50" t="str">
        <f>IF(EquipmentTable[[#This Row],[Units]]&gt;0,"Quantity &gt; 0 Items","Quantity = 0 Items")</f>
        <v>Quantity &gt; 0 Items</v>
      </c>
      <c r="I206" s="141">
        <f>RawList!J175</f>
        <v>0.95</v>
      </c>
      <c r="J206" s="24">
        <f>VALUE(EquipmentTable[[#This Row],[Units]]*EquipmentTable[[#This Row],[Unit
 Price]])</f>
        <v>9.5</v>
      </c>
      <c r="K206" s="50" t="str">
        <f>RawList!G175</f>
        <v>https://cdn.sparkfun.com/r/92-92/assets/parts/1/2/4/5/2/14426-01.jpg</v>
      </c>
      <c r="L206" s="50"/>
      <c r="M206" s="50" t="str">
        <f>RawList!F175</f>
        <v>https://www.sparkfun.com/products/14426</v>
      </c>
    </row>
    <row r="207" spans="2:13" hidden="1" x14ac:dyDescent="0.3">
      <c r="B207" s="50" t="str">
        <f>RawList!A176</f>
        <v>Secondary Component</v>
      </c>
      <c r="C207" s="50" t="str">
        <f>RawList!B176</f>
        <v>QWIIC System/Components</v>
      </c>
      <c r="D207" s="50" t="str">
        <f>RawList!C176</f>
        <v>SparkFun</v>
      </c>
      <c r="E207" s="50" t="str">
        <f>RawList!H176</f>
        <v>Qwiic Cable - 100mm</v>
      </c>
      <c r="F207" s="50" t="str">
        <f>RawList!D176</f>
        <v>PRT-14427</v>
      </c>
      <c r="G207" s="137">
        <f>RawList!E176</f>
        <v>5</v>
      </c>
      <c r="H207" s="50" t="str">
        <f>IF(EquipmentTable[[#This Row],[Units]]&gt;0,"Quantity &gt; 0 Items","Quantity = 0 Items")</f>
        <v>Quantity &gt; 0 Items</v>
      </c>
      <c r="I207" s="141">
        <f>RawList!J176</f>
        <v>1.5</v>
      </c>
      <c r="J207" s="24">
        <f>VALUE(EquipmentTable[[#This Row],[Units]]*EquipmentTable[[#This Row],[Unit
 Price]])</f>
        <v>7.5</v>
      </c>
      <c r="K207" s="50" t="str">
        <f>RawList!G176</f>
        <v>https://cdn.sparkfun.com/r/92-92/assets/parts/1/2/4/5/3/14427-01.jpg</v>
      </c>
      <c r="L207" s="50"/>
      <c r="M207" s="50" t="str">
        <f>RawList!F176</f>
        <v>https://www.sparkfun.com/products/14427</v>
      </c>
    </row>
    <row r="208" spans="2:13" hidden="1" x14ac:dyDescent="0.3">
      <c r="B208" s="50" t="str">
        <f>RawList!A177</f>
        <v>Secondary Component</v>
      </c>
      <c r="C208" s="50" t="str">
        <f>RawList!B177</f>
        <v>QWIIC System/Components</v>
      </c>
      <c r="D208" s="50" t="str">
        <f>RawList!C177</f>
        <v>SparkFun</v>
      </c>
      <c r="E208" s="50" t="str">
        <f>RawList!H177</f>
        <v>Qwiic Cable - 200mm</v>
      </c>
      <c r="F208" s="50" t="str">
        <f>RawList!D177</f>
        <v>PRT-14428</v>
      </c>
      <c r="G208" s="137">
        <f>RawList!E177</f>
        <v>5</v>
      </c>
      <c r="H208" s="50" t="str">
        <f>IF(EquipmentTable[[#This Row],[Units]]&gt;0,"Quantity &gt; 0 Items","Quantity = 0 Items")</f>
        <v>Quantity &gt; 0 Items</v>
      </c>
      <c r="I208" s="141">
        <f>RawList!J177</f>
        <v>1.5</v>
      </c>
      <c r="J208" s="24">
        <f>VALUE(EquipmentTable[[#This Row],[Units]]*EquipmentTable[[#This Row],[Unit
 Price]])</f>
        <v>7.5</v>
      </c>
      <c r="K208" s="50" t="str">
        <f>RawList!G177</f>
        <v>https://cdn.sparkfun.com/r/92-92/assets/parts/1/2/4/5/4/14428-01.jpg</v>
      </c>
      <c r="L208" s="50"/>
      <c r="M208" s="50" t="str">
        <f>RawList!F177</f>
        <v>https://www.sparkfun.com/products/14428</v>
      </c>
    </row>
    <row r="209" spans="2:13" hidden="1" x14ac:dyDescent="0.3">
      <c r="B209" s="50" t="str">
        <f>RawList!A178</f>
        <v>Secondary Component</v>
      </c>
      <c r="C209" s="50" t="str">
        <f>RawList!B178</f>
        <v>QWIIC System/Components</v>
      </c>
      <c r="D209" s="50" t="str">
        <f>RawList!C178</f>
        <v>SparkFun</v>
      </c>
      <c r="E209" s="50" t="str">
        <f>RawList!H178</f>
        <v>Qwiic Cable - 500mm</v>
      </c>
      <c r="F209" s="50" t="str">
        <f>RawList!D178</f>
        <v>PRT-14429</v>
      </c>
      <c r="G209" s="137">
        <f>RawList!E178</f>
        <v>1</v>
      </c>
      <c r="H209" s="50" t="str">
        <f>IF(EquipmentTable[[#This Row],[Units]]&gt;0,"Quantity &gt; 0 Items","Quantity = 0 Items")</f>
        <v>Quantity &gt; 0 Items</v>
      </c>
      <c r="I209" s="141">
        <f>RawList!J178</f>
        <v>1.95</v>
      </c>
      <c r="J209" s="24">
        <f>VALUE(EquipmentTable[[#This Row],[Units]]*EquipmentTable[[#This Row],[Unit
 Price]])</f>
        <v>1.95</v>
      </c>
      <c r="K209" s="50" t="str">
        <f>RawList!G178</f>
        <v>https://cdn.sparkfun.com/r/92-92/assets/parts/1/2/4/5/5/14429-01.jpg</v>
      </c>
      <c r="L209" s="50"/>
      <c r="M209" s="50" t="str">
        <f>RawList!F178</f>
        <v>https://www.sparkfun.com/products/14429</v>
      </c>
    </row>
    <row r="210" spans="2:13" hidden="1" x14ac:dyDescent="0.3">
      <c r="B210" s="50" t="str">
        <f>RawList!A179</f>
        <v>Secondary Component</v>
      </c>
      <c r="C210" s="50" t="str">
        <f>RawList!B179</f>
        <v>QWIIC System/Components</v>
      </c>
      <c r="D210" s="50" t="str">
        <f>RawList!C179</f>
        <v>SparkFun</v>
      </c>
      <c r="E210" s="50" t="str">
        <f>RawList!H179</f>
        <v>Qwiic Connector SMD - Black 10 Pcs</v>
      </c>
      <c r="F210" s="50" t="str">
        <f>RawList!D179</f>
        <v>SPX-14323</v>
      </c>
      <c r="G210" s="137">
        <f>RawList!E179</f>
        <v>2</v>
      </c>
      <c r="H210" s="50" t="str">
        <f>IF(EquipmentTable[[#This Row],[Units]]&gt;0,"Quantity &gt; 0 Items","Quantity = 0 Items")</f>
        <v>Quantity &gt; 0 Items</v>
      </c>
      <c r="I210" s="141">
        <f>RawList!J179</f>
        <v>2.95</v>
      </c>
      <c r="J210" s="24">
        <f>VALUE(EquipmentTable[[#This Row],[Units]]*EquipmentTable[[#This Row],[Unit
 Price]])</f>
        <v>5.9</v>
      </c>
      <c r="K210" s="50" t="str">
        <f>RawList!G179</f>
        <v>https://cdn.sparkfun.com/r/92-92/assets/parts/1/2/2/8/9/Qwiic_Connector_SMD-Black-1.jpg</v>
      </c>
      <c r="L210" s="50"/>
      <c r="M210" s="50" t="str">
        <f>RawList!F179</f>
        <v>https://www.sparkfun.com/products/14323</v>
      </c>
    </row>
    <row r="211" spans="2:13" hidden="1" x14ac:dyDescent="0.3">
      <c r="B211" s="50" t="str">
        <f>RawList!A180</f>
        <v>Secondary Component</v>
      </c>
      <c r="C211" s="50" t="str">
        <f>RawList!B180</f>
        <v>QWIIC System/Components</v>
      </c>
      <c r="D211" s="50" t="str">
        <f>RawList!C180</f>
        <v>SparkFun</v>
      </c>
      <c r="E211" s="50" t="str">
        <f>RawList!H180</f>
        <v>Qwiic Connector SMD - White 10 Pcs</v>
      </c>
      <c r="F211" s="50" t="str">
        <f>RawList!D180</f>
        <v>SPX-14324</v>
      </c>
      <c r="G211" s="137">
        <f>RawList!E180</f>
        <v>1</v>
      </c>
      <c r="H211" s="50" t="str">
        <f>IF(EquipmentTable[[#This Row],[Units]]&gt;0,"Quantity &gt; 0 Items","Quantity = 0 Items")</f>
        <v>Quantity &gt; 0 Items</v>
      </c>
      <c r="I211" s="141">
        <f>RawList!J180</f>
        <v>2.95</v>
      </c>
      <c r="J211" s="24">
        <f>VALUE(EquipmentTable[[#This Row],[Units]]*EquipmentTable[[#This Row],[Unit
 Price]])</f>
        <v>2.95</v>
      </c>
      <c r="K211" s="50" t="str">
        <f>RawList!G180</f>
        <v>https://cdn.sparkfun.com/r/92-92/assets/parts/1/2/2/9/0/Qwiic_Connector_SMD-White-2.jpg</v>
      </c>
      <c r="L211" s="50"/>
      <c r="M211" s="50" t="str">
        <f>RawList!F180</f>
        <v>https://www.sparkfun.com/products/14324</v>
      </c>
    </row>
    <row r="212" spans="2:13" x14ac:dyDescent="0.3">
      <c r="B212" s="50" t="str">
        <f>RawList!A181</f>
        <v>Secondary Component</v>
      </c>
      <c r="C212" s="50" t="str">
        <f>RawList!B181</f>
        <v>Signal Multiplexing/Conditioning</v>
      </c>
      <c r="D212" s="50" t="str">
        <f>RawList!C181</f>
        <v>SparkFun</v>
      </c>
      <c r="E212" s="50" t="str">
        <f>RawList!H181</f>
        <v>Mux Shield II</v>
      </c>
      <c r="F212" s="50" t="str">
        <f>RawList!D181</f>
        <v>DEV-11723</v>
      </c>
      <c r="G212" s="137">
        <f>RawList!E181</f>
        <v>0</v>
      </c>
      <c r="H212" s="50" t="str">
        <f>IF(EquipmentTable[[#This Row],[Units]]&gt;0,"Quantity &gt; 0 Items","Quantity = 0 Items")</f>
        <v>Quantity = 0 Items</v>
      </c>
      <c r="I212" s="141">
        <f>RawList!J181</f>
        <v>24.95</v>
      </c>
      <c r="J212" s="24">
        <f>VALUE(EquipmentTable[[#This Row],[Units]]*EquipmentTable[[#This Row],[Unit
 Price]])</f>
        <v>0</v>
      </c>
      <c r="K212" s="50" t="str">
        <f>RawList!G181</f>
        <v>https://cdn.sparkfun.com/r/92-92/assets/parts/7/9/3/4/11723-01.jpg</v>
      </c>
      <c r="L212" s="50"/>
      <c r="M212" s="50" t="str">
        <f>RawList!F181</f>
        <v>https://www.sparkfun.com/products/11723</v>
      </c>
    </row>
    <row r="213" spans="2:13" x14ac:dyDescent="0.3">
      <c r="B213" s="50" t="str">
        <f>RawList!A182</f>
        <v>Secondary Component</v>
      </c>
      <c r="C213" s="50" t="str">
        <f>RawList!B182</f>
        <v>Signal Multiplexing/Conditioning</v>
      </c>
      <c r="D213" s="50" t="str">
        <f>RawList!C182</f>
        <v>SparkFun</v>
      </c>
      <c r="E213" s="50" t="str">
        <f>RawList!H182</f>
        <v>SparkFun Analog/Digital MUX Breakout - CD74HC4067</v>
      </c>
      <c r="F213" s="50" t="str">
        <f>RawList!D182</f>
        <v>BOB-09056</v>
      </c>
      <c r="G213" s="137">
        <f>RawList!E182</f>
        <v>6</v>
      </c>
      <c r="H213" s="50" t="str">
        <f>IF(EquipmentTable[[#This Row],[Units]]&gt;0,"Quantity &gt; 0 Items","Quantity = 0 Items")</f>
        <v>Quantity &gt; 0 Items</v>
      </c>
      <c r="I213" s="141">
        <f>RawList!J182</f>
        <v>4.95</v>
      </c>
      <c r="J213" s="24">
        <f>VALUE(EquipmentTable[[#This Row],[Units]]*EquipmentTable[[#This Row],[Unit
 Price]])</f>
        <v>29.700000000000003</v>
      </c>
      <c r="K213" s="50" t="str">
        <f>RawList!G182</f>
        <v>https://cdn.sparkfun.com/r/92-92/assets/parts/2/4/2/0/09056-01.jpg</v>
      </c>
      <c r="L213" s="50"/>
      <c r="M213" s="50" t="str">
        <f>RawList!F182</f>
        <v>https://www.sparkfun.com/products/9056</v>
      </c>
    </row>
    <row r="214" spans="2:13" x14ac:dyDescent="0.3">
      <c r="B214" s="50" t="str">
        <f>RawList!A183</f>
        <v>Secondary Component</v>
      </c>
      <c r="C214" s="50" t="str">
        <f>RawList!B183</f>
        <v>Signal Multiplexing/Conditioning</v>
      </c>
      <c r="D214" s="50" t="str">
        <f>RawList!C183</f>
        <v>Adafruit</v>
      </c>
      <c r="E214" s="50" t="str">
        <f>RawList!H183</f>
        <v xml:space="preserve">TCA9548A I2C Multiplexer </v>
      </c>
      <c r="F214" s="50" t="str">
        <f>RawList!D183</f>
        <v>2717</v>
      </c>
      <c r="G214" s="137">
        <f>RawList!E183</f>
        <v>0</v>
      </c>
      <c r="H214" s="50" t="str">
        <f>IF(EquipmentTable[[#This Row],[Units]]&gt;0,"Quantity &gt; 0 Items","Quantity = 0 Items")</f>
        <v>Quantity = 0 Items</v>
      </c>
      <c r="I214" s="141">
        <f>RawList!J183</f>
        <v>6.95</v>
      </c>
      <c r="J214" s="24">
        <f>VALUE(EquipmentTable[[#This Row],[Units]]*EquipmentTable[[#This Row],[Unit
 Price]])</f>
        <v>0</v>
      </c>
      <c r="K214" s="50">
        <f>RawList!G183</f>
        <v>0</v>
      </c>
      <c r="L214" s="50"/>
      <c r="M214" s="50">
        <f>RawList!F183</f>
        <v>0</v>
      </c>
    </row>
    <row r="215" spans="2:13" x14ac:dyDescent="0.3">
      <c r="B215" s="50" t="str">
        <f>RawList!A184</f>
        <v>Secondary Component</v>
      </c>
      <c r="C215" s="50" t="str">
        <f>RawList!B184</f>
        <v>Signal Multiplexing/Conditioning</v>
      </c>
      <c r="D215" s="50" t="str">
        <f>RawList!C184</f>
        <v>SparkFun</v>
      </c>
      <c r="E215" s="50" t="str">
        <f>RawList!H184</f>
        <v>SparkFun Opto-isolator Breakout</v>
      </c>
      <c r="F215" s="50" t="str">
        <f>RawList!D184</f>
        <v>BOB-09118</v>
      </c>
      <c r="G215" s="137">
        <f>RawList!E184</f>
        <v>8</v>
      </c>
      <c r="H215" s="50" t="str">
        <f>IF(EquipmentTable[[#This Row],[Units]]&gt;0,"Quantity &gt; 0 Items","Quantity = 0 Items")</f>
        <v>Quantity &gt; 0 Items</v>
      </c>
      <c r="I215" s="141">
        <f>RawList!J184</f>
        <v>4.95</v>
      </c>
      <c r="J215" s="24">
        <f>VALUE(EquipmentTable[[#This Row],[Units]]*EquipmentTable[[#This Row],[Unit
 Price]])</f>
        <v>39.6</v>
      </c>
      <c r="K215" s="50" t="str">
        <f>RawList!G184</f>
        <v>https://cdn.sparkfun.com/r/92-92/assets/parts/2/5/2/2/09118-02.jpg</v>
      </c>
      <c r="L215" s="50"/>
      <c r="M215" s="50" t="str">
        <f>RawList!F184</f>
        <v>https://www.sparkfun.com/products/9118</v>
      </c>
    </row>
    <row r="216" spans="2:13" x14ac:dyDescent="0.3">
      <c r="B216" s="50" t="str">
        <f>RawList!A185</f>
        <v>Secondary Component</v>
      </c>
      <c r="C216" s="50" t="str">
        <f>RawList!B185</f>
        <v>Signal Multiplexing/Conditioning</v>
      </c>
      <c r="D216" s="50" t="str">
        <f>RawList!C185</f>
        <v>Adafruit</v>
      </c>
      <c r="E216" s="50" t="str">
        <f>RawList!H185</f>
        <v xml:space="preserve">ADS1115 16-Bit ADC - 4 Channel with Programmable Gain Amplifier </v>
      </c>
      <c r="F216" s="50" t="str">
        <f>RawList!D185</f>
        <v>1085</v>
      </c>
      <c r="G216" s="137">
        <f>RawList!E185</f>
        <v>0</v>
      </c>
      <c r="H216" s="50" t="str">
        <f>IF(EquipmentTable[[#This Row],[Units]]&gt;0,"Quantity &gt; 0 Items","Quantity = 0 Items")</f>
        <v>Quantity = 0 Items</v>
      </c>
      <c r="I216" s="141">
        <f>RawList!J185</f>
        <v>14.95</v>
      </c>
      <c r="J216" s="24">
        <f>VALUE(EquipmentTable[[#This Row],[Units]]*EquipmentTable[[#This Row],[Unit
 Price]])</f>
        <v>0</v>
      </c>
      <c r="K216" s="50">
        <f>RawList!G185</f>
        <v>0</v>
      </c>
      <c r="L216" s="50"/>
      <c r="M216" s="50">
        <f>RawList!F185</f>
        <v>0</v>
      </c>
    </row>
    <row r="217" spans="2:13" x14ac:dyDescent="0.3">
      <c r="B217" s="50" t="str">
        <f>RawList!A186</f>
        <v>Secondary Component</v>
      </c>
      <c r="C217" s="50" t="str">
        <f>RawList!B186</f>
        <v>Signal Multiplexing/Conditioning</v>
      </c>
      <c r="D217" s="50" t="str">
        <f>RawList!C186</f>
        <v>Adafruit</v>
      </c>
      <c r="E217" s="50" t="str">
        <f>RawList!H186</f>
        <v xml:space="preserve">MCP3008 - 8-Channel 10-Bit ADC With SPI Interface </v>
      </c>
      <c r="F217" s="50" t="str">
        <f>RawList!D186</f>
        <v>856</v>
      </c>
      <c r="G217" s="137">
        <f>RawList!E186</f>
        <v>0</v>
      </c>
      <c r="H217" s="50" t="str">
        <f>IF(EquipmentTable[[#This Row],[Units]]&gt;0,"Quantity &gt; 0 Items","Quantity = 0 Items")</f>
        <v>Quantity = 0 Items</v>
      </c>
      <c r="I217" s="141">
        <f>RawList!J186</f>
        <v>3.75</v>
      </c>
      <c r="J217" s="24">
        <f>VALUE(EquipmentTable[[#This Row],[Units]]*EquipmentTable[[#This Row],[Unit
 Price]])</f>
        <v>0</v>
      </c>
      <c r="K217" s="50">
        <f>RawList!G186</f>
        <v>0</v>
      </c>
      <c r="L217" s="50"/>
      <c r="M217" s="50">
        <f>RawList!F186</f>
        <v>0</v>
      </c>
    </row>
    <row r="218" spans="2:13" x14ac:dyDescent="0.3">
      <c r="B218" s="50" t="str">
        <f>RawList!A187</f>
        <v>Secondary Component</v>
      </c>
      <c r="C218" s="50" t="str">
        <f>RawList!B187</f>
        <v>USB Cables/Adapters</v>
      </c>
      <c r="D218" s="50" t="str">
        <f>RawList!C187</f>
        <v>SparkFun</v>
      </c>
      <c r="E218" s="50" t="str">
        <f>RawList!H187</f>
        <v>USB OTG Cable - Female A to Micro A - 4\"</v>
      </c>
      <c r="F218" s="50" t="str">
        <f>RawList!D187</f>
        <v>CAB-11604</v>
      </c>
      <c r="G218" s="137">
        <f>RawList!E187</f>
        <v>0</v>
      </c>
      <c r="H218" s="50" t="str">
        <f>IF(EquipmentTable[[#This Row],[Units]]&gt;0,"Quantity &gt; 0 Items","Quantity = 0 Items")</f>
        <v>Quantity = 0 Items</v>
      </c>
      <c r="I218" s="141">
        <f>RawList!J187</f>
        <v>2.95</v>
      </c>
      <c r="J218" s="24">
        <f>VALUE(EquipmentTable[[#This Row],[Units]]*EquipmentTable[[#This Row],[Unit
 Price]])</f>
        <v>0</v>
      </c>
      <c r="K218" s="50" t="str">
        <f>RawList!G187</f>
        <v>https://cdn.sparkfun.com/r/92-92/assets/parts/7/6/2/8/11604-01.jpg</v>
      </c>
      <c r="L218" s="50"/>
      <c r="M218" s="50" t="str">
        <f>RawList!F187</f>
        <v>https://www.sparkfun.com/products/11604</v>
      </c>
    </row>
    <row r="219" spans="2:13" x14ac:dyDescent="0.3">
      <c r="B219" s="50" t="str">
        <f>RawList!A188</f>
        <v>Secondary Component</v>
      </c>
      <c r="C219" s="50" t="str">
        <f>RawList!B188</f>
        <v>USB Cables/Adapters</v>
      </c>
      <c r="D219" s="50" t="str">
        <f>RawList!C188</f>
        <v>SparkFun</v>
      </c>
      <c r="E219" s="50" t="str">
        <f>RawList!H188</f>
        <v>USB OTG Cable - Female A to Micro B - 5in</v>
      </c>
      <c r="F219" s="50" t="str">
        <f>RawList!D188</f>
        <v>CAB-14276</v>
      </c>
      <c r="G219" s="137">
        <f>RawList!E188</f>
        <v>0</v>
      </c>
      <c r="H219" s="50" t="str">
        <f>IF(EquipmentTable[[#This Row],[Units]]&gt;0,"Quantity &gt; 0 Items","Quantity = 0 Items")</f>
        <v>Quantity = 0 Items</v>
      </c>
      <c r="I219" s="141">
        <f>RawList!J188</f>
        <v>2.95</v>
      </c>
      <c r="J219" s="24">
        <f>VALUE(EquipmentTable[[#This Row],[Units]]*EquipmentTable[[#This Row],[Unit
 Price]])</f>
        <v>0</v>
      </c>
      <c r="K219" s="50" t="str">
        <f>RawList!G188</f>
        <v>https://cdn.sparkfun.com/r/92-92/assets/parts/1/2/2/3/1/14276-01.jpg</v>
      </c>
      <c r="L219" s="50"/>
      <c r="M219" s="50" t="str">
        <f>RawList!F188</f>
        <v>https://www.sparkfun.com/products/14276</v>
      </c>
    </row>
    <row r="220" spans="2:13" x14ac:dyDescent="0.3">
      <c r="B220" s="50" t="str">
        <f>RawList!A189</f>
        <v>Secondary Component</v>
      </c>
      <c r="C220" s="50" t="str">
        <f>RawList!B189</f>
        <v>USB Cables/Adapters</v>
      </c>
      <c r="D220" s="50" t="str">
        <f>RawList!C189</f>
        <v>Adafruit</v>
      </c>
      <c r="E220" s="50" t="str">
        <f>RawList!H189</f>
        <v>USB OTG Host Cable - MicroB OTG male to A female</v>
      </c>
      <c r="F220" s="50" t="str">
        <f>RawList!D189</f>
        <v>1099</v>
      </c>
      <c r="G220" s="137">
        <f>RawList!E189</f>
        <v>0</v>
      </c>
      <c r="H220" s="50" t="str">
        <f>IF(EquipmentTable[[#This Row],[Units]]&gt;0,"Quantity &gt; 0 Items","Quantity = 0 Items")</f>
        <v>Quantity = 0 Items</v>
      </c>
      <c r="I220" s="141">
        <f>RawList!J189</f>
        <v>2.5</v>
      </c>
      <c r="J220" s="24">
        <f>VALUE(EquipmentTable[[#This Row],[Units]]*EquipmentTable[[#This Row],[Unit
 Price]])</f>
        <v>0</v>
      </c>
      <c r="K220" s="50">
        <f>RawList!G189</f>
        <v>0</v>
      </c>
      <c r="L220" s="50"/>
      <c r="M220" s="50">
        <f>RawList!F189</f>
        <v>0</v>
      </c>
    </row>
    <row r="221" spans="2:13" x14ac:dyDescent="0.3">
      <c r="B221" s="50" t="str">
        <f>RawList!A190</f>
        <v>Secondary Component</v>
      </c>
      <c r="C221" s="50" t="str">
        <f>RawList!B190</f>
        <v>USB Cables/Adapters</v>
      </c>
      <c r="D221" s="50" t="str">
        <f>RawList!C190</f>
        <v>Adafruit</v>
      </c>
      <c r="E221" s="50" t="str">
        <f>RawList!H190</f>
        <v>Tiny OTG Adapter - USB Micro to USB</v>
      </c>
      <c r="F221" s="50" t="str">
        <f>RawList!D190</f>
        <v>2910</v>
      </c>
      <c r="G221" s="137">
        <f>RawList!E190</f>
        <v>5</v>
      </c>
      <c r="H221" s="50" t="str">
        <f>IF(EquipmentTable[[#This Row],[Units]]&gt;0,"Quantity &gt; 0 Items","Quantity = 0 Items")</f>
        <v>Quantity &gt; 0 Items</v>
      </c>
      <c r="I221" s="141">
        <f>RawList!J190</f>
        <v>2.95</v>
      </c>
      <c r="J221" s="24">
        <f>VALUE(EquipmentTable[[#This Row],[Units]]*EquipmentTable[[#This Row],[Unit
 Price]])</f>
        <v>14.75</v>
      </c>
      <c r="K221" s="50">
        <f>RawList!G190</f>
        <v>0</v>
      </c>
      <c r="L221" s="50"/>
      <c r="M221" s="50">
        <f>RawList!F190</f>
        <v>0</v>
      </c>
    </row>
    <row r="222" spans="2:13" x14ac:dyDescent="0.3">
      <c r="B222" s="50" t="str">
        <f>RawList!A191</f>
        <v>Secondary Component</v>
      </c>
      <c r="C222" s="50" t="str">
        <f>RawList!B191</f>
        <v>USB Cables/Adapters</v>
      </c>
      <c r="D222" s="50" t="str">
        <f>RawList!C191</f>
        <v>SparkFun</v>
      </c>
      <c r="E222" s="50" t="str">
        <f>RawList!H191</f>
        <v>USB to TTL Serial Cable</v>
      </c>
      <c r="F222" s="50" t="str">
        <f>RawList!D191</f>
        <v>CAB-12977</v>
      </c>
      <c r="G222" s="137">
        <f>RawList!E191</f>
        <v>1</v>
      </c>
      <c r="H222" s="50" t="str">
        <f>IF(EquipmentTable[[#This Row],[Units]]&gt;0,"Quantity &gt; 0 Items","Quantity = 0 Items")</f>
        <v>Quantity &gt; 0 Items</v>
      </c>
      <c r="I222" s="141">
        <f>RawList!J191</f>
        <v>9.9499999999999993</v>
      </c>
      <c r="J222" s="24">
        <f>VALUE(EquipmentTable[[#This Row],[Units]]*EquipmentTable[[#This Row],[Unit
 Price]])</f>
        <v>9.9499999999999993</v>
      </c>
      <c r="K222" s="50" t="str">
        <f>RawList!G191</f>
        <v>https://cdn.sparkfun.com/r/92-92/assets/parts/9/9/1/8/12977-00.jpg</v>
      </c>
      <c r="L222" s="50"/>
      <c r="M222" s="50" t="str">
        <f>RawList!F191</f>
        <v>https://www.sparkfun.com/products/12977</v>
      </c>
    </row>
    <row r="223" spans="2:13" x14ac:dyDescent="0.3">
      <c r="B223" s="50" t="str">
        <f>RawList!A192</f>
        <v>Secondary Component</v>
      </c>
      <c r="C223" s="50" t="str">
        <f>RawList!B192</f>
        <v>USB Cables/Adapters</v>
      </c>
      <c r="D223" s="50" t="str">
        <f>RawList!C192</f>
        <v>Adafruit</v>
      </c>
      <c r="E223" s="50" t="str">
        <f>RawList!H192</f>
        <v>USB Cable with Switch</v>
      </c>
      <c r="F223" s="50" t="str">
        <f>RawList!D192</f>
        <v>1620</v>
      </c>
      <c r="G223" s="137">
        <f>RawList!E192</f>
        <v>0</v>
      </c>
      <c r="H223" s="50" t="str">
        <f>IF(EquipmentTable[[#This Row],[Units]]&gt;0,"Quantity &gt; 0 Items","Quantity = 0 Items")</f>
        <v>Quantity = 0 Items</v>
      </c>
      <c r="I223" s="141">
        <f>RawList!J192</f>
        <v>2.95</v>
      </c>
      <c r="J223" s="24">
        <f>VALUE(EquipmentTable[[#This Row],[Units]]*EquipmentTable[[#This Row],[Unit
 Price]])</f>
        <v>0</v>
      </c>
      <c r="K223" s="50">
        <f>RawList!G192</f>
        <v>0</v>
      </c>
      <c r="L223" s="50"/>
      <c r="M223" s="50">
        <f>RawList!F192</f>
        <v>0</v>
      </c>
    </row>
    <row r="224" spans="2:13" x14ac:dyDescent="0.3">
      <c r="B224" s="50" t="str">
        <f>RawList!A193</f>
        <v>Secondary Component</v>
      </c>
      <c r="C224" s="50" t="str">
        <f>RawList!B193</f>
        <v>USB Cables/Adapters</v>
      </c>
      <c r="D224" s="50" t="str">
        <f>RawList!C193</f>
        <v>SparkFun</v>
      </c>
      <c r="E224" s="50" t="str">
        <f>RawList!H193</f>
        <v>SparkFun Cerberus USB Cable - 6ft</v>
      </c>
      <c r="F224" s="50" t="str">
        <f>RawList!D193</f>
        <v>CAB-12016</v>
      </c>
      <c r="G224" s="137">
        <f>RawList!E193</f>
        <v>1</v>
      </c>
      <c r="H224" s="50" t="str">
        <f>IF(EquipmentTable[[#This Row],[Units]]&gt;0,"Quantity &gt; 0 Items","Quantity = 0 Items")</f>
        <v>Quantity &gt; 0 Items</v>
      </c>
      <c r="I224" s="141">
        <f>RawList!J193</f>
        <v>6.97</v>
      </c>
      <c r="J224" s="24">
        <f>VALUE(EquipmentTable[[#This Row],[Units]]*EquipmentTable[[#This Row],[Unit
 Price]])</f>
        <v>6.97</v>
      </c>
      <c r="K224" s="50" t="str">
        <f>RawList!G193</f>
        <v>https://cdn.sparkfun.com/r/92-92/assets/parts/8/5/3/9/12016-01.jpg</v>
      </c>
      <c r="L224" s="50"/>
      <c r="M224" s="50" t="str">
        <f>RawList!F193</f>
        <v>https://www.sparkfun.com/products/12016</v>
      </c>
    </row>
    <row r="225" spans="2:13" x14ac:dyDescent="0.3">
      <c r="B225" s="50" t="str">
        <f>RawList!A194</f>
        <v>Secondary Component</v>
      </c>
      <c r="C225" s="50" t="str">
        <f>RawList!B194</f>
        <v>USB/Serial Interface Breakouts</v>
      </c>
      <c r="D225" s="50" t="str">
        <f>RawList!C194</f>
        <v>SparkFun</v>
      </c>
      <c r="E225" s="50" t="str">
        <f>RawList!H194</f>
        <v>SparkFun Serial Basic Breakout - CH340G</v>
      </c>
      <c r="F225" s="50" t="str">
        <f>RawList!D194</f>
        <v>DEV-14050</v>
      </c>
      <c r="G225" s="137">
        <f>RawList!E194</f>
        <v>5</v>
      </c>
      <c r="H225" s="50" t="str">
        <f>IF(EquipmentTable[[#This Row],[Units]]&gt;0,"Quantity &gt; 0 Items","Quantity = 0 Items")</f>
        <v>Quantity &gt; 0 Items</v>
      </c>
      <c r="I225" s="141">
        <f>RawList!J194</f>
        <v>6.95</v>
      </c>
      <c r="J225" s="24">
        <f>VALUE(EquipmentTable[[#This Row],[Units]]*EquipmentTable[[#This Row],[Unit
 Price]])</f>
        <v>34.75</v>
      </c>
      <c r="K225" s="50" t="str">
        <f>RawList!G194</f>
        <v>https://cdn.sparkfun.com/r/92-92/assets/parts/1/1/8/8/8/14050-01.jpg</v>
      </c>
      <c r="L225" s="50"/>
      <c r="M225" s="50" t="str">
        <f>RawList!F194</f>
        <v>https://www.sparkfun.com/products/14050</v>
      </c>
    </row>
    <row r="226" spans="2:13" x14ac:dyDescent="0.3">
      <c r="B226" s="50" t="str">
        <f>RawList!A195</f>
        <v>Secondary Component</v>
      </c>
      <c r="C226" s="50" t="str">
        <f>RawList!B195</f>
        <v>USB/Serial Interface Breakouts</v>
      </c>
      <c r="D226" s="50" t="str">
        <f>RawList!C195</f>
        <v>SparkFun</v>
      </c>
      <c r="E226" s="50" t="str">
        <f>RawList!H195</f>
        <v>SparkFun USB UART Serial Breakout - CY7C65213</v>
      </c>
      <c r="F226" s="50" t="str">
        <f>RawList!D195</f>
        <v>BOB-13830</v>
      </c>
      <c r="G226" s="137">
        <f>RawList!E195</f>
        <v>5</v>
      </c>
      <c r="H226" s="50" t="str">
        <f>IF(EquipmentTable[[#This Row],[Units]]&gt;0,"Quantity &gt; 0 Items","Quantity = 0 Items")</f>
        <v>Quantity &gt; 0 Items</v>
      </c>
      <c r="I226" s="141">
        <f>RawList!J195</f>
        <v>12.95</v>
      </c>
      <c r="J226" s="24">
        <f>VALUE(EquipmentTable[[#This Row],[Units]]*EquipmentTable[[#This Row],[Unit
 Price]])</f>
        <v>64.75</v>
      </c>
      <c r="K226" s="50" t="str">
        <f>RawList!G195</f>
        <v>https://cdn.sparkfun.com/r/92-92/assets/parts/1/1/4/2/7/13830-01.jpg</v>
      </c>
      <c r="L226" s="50"/>
      <c r="M226" s="50" t="str">
        <f>RawList!F195</f>
        <v>https://www.sparkfun.com/products/13830</v>
      </c>
    </row>
    <row r="227" spans="2:13" x14ac:dyDescent="0.3">
      <c r="B227" s="50" t="str">
        <f>RawList!A196</f>
        <v>Secondary Component</v>
      </c>
      <c r="C227" s="50" t="str">
        <f>RawList!B196</f>
        <v>USB/Serial Interface Breakouts</v>
      </c>
      <c r="D227" s="50" t="str">
        <f>RawList!C196</f>
        <v>SparkFun</v>
      </c>
      <c r="E227" s="50" t="str">
        <f>RawList!H196</f>
        <v>SparkFun USB to Serial Breakout - FT232RL</v>
      </c>
      <c r="F227" s="50" t="str">
        <f>RawList!D196</f>
        <v>BOB-12731</v>
      </c>
      <c r="G227" s="137">
        <f>RawList!E196</f>
        <v>0</v>
      </c>
      <c r="H227" s="50" t="str">
        <f>IF(EquipmentTable[[#This Row],[Units]]&gt;0,"Quantity &gt; 0 Items","Quantity = 0 Items")</f>
        <v>Quantity = 0 Items</v>
      </c>
      <c r="I227" s="141">
        <f>RawList!J196</f>
        <v>14.95</v>
      </c>
      <c r="J227" s="24">
        <f>VALUE(EquipmentTable[[#This Row],[Units]]*EquipmentTable[[#This Row],[Unit
 Price]])</f>
        <v>0</v>
      </c>
      <c r="K227" s="50" t="str">
        <f>RawList!G196</f>
        <v>https://cdn.sparkfun.com/r/92-92/assets/parts/9/4/9/6/12731-01.jpg</v>
      </c>
      <c r="L227" s="50"/>
      <c r="M227" s="50" t="str">
        <f>RawList!F196</f>
        <v>https://www.sparkfun.com/products/12731</v>
      </c>
    </row>
    <row r="228" spans="2:13" x14ac:dyDescent="0.3">
      <c r="B228" s="50" t="str">
        <f>RawList!A197</f>
        <v>Secondary Component</v>
      </c>
      <c r="C228" s="50" t="str">
        <f>RawList!B197</f>
        <v>USB/Serial Interface Breakouts</v>
      </c>
      <c r="D228" s="50" t="str">
        <f>RawList!C197</f>
        <v>SparkFun</v>
      </c>
      <c r="E228" s="50" t="str">
        <f>RawList!H197</f>
        <v>SparkFun FT231X Breakout</v>
      </c>
      <c r="F228" s="50" t="str">
        <f>RawList!D197</f>
        <v>BOB-13263</v>
      </c>
      <c r="G228" s="137">
        <f>RawList!E197</f>
        <v>1</v>
      </c>
      <c r="H228" s="50" t="str">
        <f>IF(EquipmentTable[[#This Row],[Units]]&gt;0,"Quantity &gt; 0 Items","Quantity = 0 Items")</f>
        <v>Quantity &gt; 0 Items</v>
      </c>
      <c r="I228" s="141">
        <f>RawList!J197</f>
        <v>11.95</v>
      </c>
      <c r="J228" s="24">
        <f>VALUE(EquipmentTable[[#This Row],[Units]]*EquipmentTable[[#This Row],[Unit
 Price]])</f>
        <v>11.95</v>
      </c>
      <c r="K228" s="50" t="str">
        <f>RawList!G197</f>
        <v>https://cdn.sparkfun.com/r/92-92/assets/parts/1/0/4/6/9/13263-01.jpg</v>
      </c>
      <c r="L228" s="50"/>
      <c r="M228" s="50" t="str">
        <f>RawList!F197</f>
        <v>https://www.sparkfun.com/products/13263</v>
      </c>
    </row>
    <row r="229" spans="2:13" hidden="1" x14ac:dyDescent="0.3">
      <c r="B229" s="50" t="str">
        <f>RawList!A199</f>
        <v>Advanced &amp; Optional Components</v>
      </c>
      <c r="C229" s="50" t="str">
        <f>RawList!B199</f>
        <v>Energy Harvesting</v>
      </c>
      <c r="D229" s="50" t="str">
        <f>RawList!C199</f>
        <v>SparkFun</v>
      </c>
      <c r="E229" s="50" t="str">
        <f>RawList!H199</f>
        <v>SparkFun Sunny Buddy - MPPT Solar Charger</v>
      </c>
      <c r="F229" s="50" t="str">
        <f>RawList!D199</f>
        <v>PRT-12885</v>
      </c>
      <c r="G229" s="137">
        <f>RawList!E199</f>
        <v>1</v>
      </c>
      <c r="H229" s="50" t="str">
        <f>IF(EquipmentTable[[#This Row],[Units]]&gt;0,"Quantity &gt; 0 Items","Quantity = 0 Items")</f>
        <v>Quantity &gt; 0 Items</v>
      </c>
      <c r="I229" s="57">
        <f>RawList!J199</f>
        <v>24.95</v>
      </c>
      <c r="J229" s="24">
        <f>VALUE(EquipmentTable[[#This Row],[Units]]*EquipmentTable[[#This Row],[Unit
 Price]])</f>
        <v>24.95</v>
      </c>
      <c r="K229" s="50" t="str">
        <f>RawList!G199</f>
        <v>https://cdn.sparkfun.com/r/92-92/assets/parts/9/7/7/2/12885-01.jpg</v>
      </c>
      <c r="L229" s="50"/>
      <c r="M229" s="50" t="str">
        <f>RawList!F199</f>
        <v>https://www.sparkfun.com/products/12885</v>
      </c>
    </row>
    <row r="230" spans="2:13" hidden="1" x14ac:dyDescent="0.3">
      <c r="B230" s="50" t="str">
        <f>RawList!A199</f>
        <v>Advanced &amp; Optional Components</v>
      </c>
      <c r="C230" s="50" t="str">
        <f>RawList!B199</f>
        <v>Energy Harvesting</v>
      </c>
      <c r="D230" s="50" t="str">
        <f>RawList!C199</f>
        <v>SparkFun</v>
      </c>
      <c r="E230" s="50" t="str">
        <f>RawList!H199</f>
        <v>SparkFun Sunny Buddy - MPPT Solar Charger</v>
      </c>
      <c r="F230" s="50" t="str">
        <f>RawList!D199</f>
        <v>PRT-12885</v>
      </c>
      <c r="G230" s="137">
        <f>RawList!E199</f>
        <v>1</v>
      </c>
      <c r="H230" s="50" t="str">
        <f>IF(EquipmentTable[[#This Row],[Units]]&gt;0,"Quantity &gt; 0 Items","Quantity = 0 Items")</f>
        <v>Quantity &gt; 0 Items</v>
      </c>
      <c r="I230" s="141">
        <f>RawList!J199</f>
        <v>24.95</v>
      </c>
      <c r="J230" s="24">
        <f>VALUE(EquipmentTable[[#This Row],[Units]]*EquipmentTable[[#This Row],[Unit
 Price]])</f>
        <v>24.95</v>
      </c>
      <c r="K230" s="50" t="str">
        <f>RawList!G199</f>
        <v>https://cdn.sparkfun.com/r/92-92/assets/parts/9/7/7/2/12885-01.jpg</v>
      </c>
      <c r="L230" s="50"/>
      <c r="M230" s="50" t="str">
        <f>RawList!F199</f>
        <v>https://www.sparkfun.com/products/12885</v>
      </c>
    </row>
    <row r="231" spans="2:13" hidden="1" x14ac:dyDescent="0.3">
      <c r="B231" s="50" t="str">
        <f>RawList!A200</f>
        <v>Advanced &amp; Optional Components</v>
      </c>
      <c r="C231" s="50" t="str">
        <f>RawList!B200</f>
        <v>GPS Logging/Fencing</v>
      </c>
      <c r="D231" s="50" t="str">
        <f>RawList!C200</f>
        <v>SparkFun</v>
      </c>
      <c r="E231" s="50" t="str">
        <f>RawList!H200</f>
        <v>Antenna GPS Embedded SMA</v>
      </c>
      <c r="F231" s="50" t="str">
        <f>RawList!D200</f>
        <v>GPS-00177</v>
      </c>
      <c r="G231" s="137">
        <f>RawList!E200</f>
        <v>1</v>
      </c>
      <c r="H231" s="50" t="str">
        <f>IF(EquipmentTable[[#This Row],[Units]]&gt;0,"Quantity &gt; 0 Items","Quantity = 0 Items")</f>
        <v>Quantity &gt; 0 Items</v>
      </c>
      <c r="I231" s="141">
        <f>RawList!J200</f>
        <v>11.95</v>
      </c>
      <c r="J231" s="24">
        <f>VALUE(EquipmentTable[[#This Row],[Units]]*EquipmentTable[[#This Row],[Unit
 Price]])</f>
        <v>11.95</v>
      </c>
      <c r="K231" s="50" t="str">
        <f>RawList!G200</f>
        <v>https://cdn.sparkfun.com/r/92-92/assets/parts/1/4/7/00177-01.jpg</v>
      </c>
      <c r="L231" s="50"/>
      <c r="M231" s="50" t="str">
        <f>RawList!F200</f>
        <v>https://www.sparkfun.com/products/177</v>
      </c>
    </row>
    <row r="232" spans="2:13" hidden="1" x14ac:dyDescent="0.3">
      <c r="B232" s="50" t="str">
        <f>RawList!A201</f>
        <v>Advanced &amp; Optional Components</v>
      </c>
      <c r="C232" s="50" t="str">
        <f>RawList!B201</f>
        <v>GPS Logging/Fencing</v>
      </c>
      <c r="D232" s="50" t="str">
        <f>RawList!C201</f>
        <v>SparkFun</v>
      </c>
      <c r="E232" s="50" t="str">
        <f>RawList!H201</f>
        <v>GeoFence - GPS Boundary Widget</v>
      </c>
      <c r="F232" s="50" t="str">
        <f>RawList!D201</f>
        <v>SPX-14416</v>
      </c>
      <c r="G232" s="137">
        <f>RawList!E201</f>
        <v>1</v>
      </c>
      <c r="H232" s="50" t="str">
        <f>IF(EquipmentTable[[#This Row],[Units]]&gt;0,"Quantity &gt; 0 Items","Quantity = 0 Items")</f>
        <v>Quantity &gt; 0 Items</v>
      </c>
      <c r="I232" s="141">
        <f>RawList!J201</f>
        <v>49.95</v>
      </c>
      <c r="J232" s="24">
        <f>VALUE(EquipmentTable[[#This Row],[Units]]*EquipmentTable[[#This Row],[Unit
 Price]])</f>
        <v>49.95</v>
      </c>
      <c r="K232" s="50" t="str">
        <f>RawList!G201</f>
        <v>https://cdn.sparkfun.com/r/92-92/assets/parts/1/2/4/4/2/20170801_112457_Scaled.jpg</v>
      </c>
      <c r="L232" s="50"/>
      <c r="M232" s="50" t="str">
        <f>RawList!F201</f>
        <v>https://www.sparkfun.com/products/14416</v>
      </c>
    </row>
    <row r="233" spans="2:13" hidden="1" x14ac:dyDescent="0.3">
      <c r="B233" s="50" t="str">
        <f>RawList!A202</f>
        <v>Advanced &amp; Optional Components</v>
      </c>
      <c r="C233" s="50" t="str">
        <f>RawList!B202</f>
        <v>GPS Logging/Fencing</v>
      </c>
      <c r="D233" s="50" t="str">
        <f>RawList!C202</f>
        <v>SparkFun</v>
      </c>
      <c r="E233" s="50" t="str">
        <f>RawList!H202</f>
        <v>SparkFun GPS Logger Shield</v>
      </c>
      <c r="F233" s="50" t="str">
        <f>RawList!D202</f>
        <v>GPS-13750</v>
      </c>
      <c r="G233" s="137">
        <f>RawList!E202</f>
        <v>0</v>
      </c>
      <c r="H233" s="50" t="str">
        <f>IF(EquipmentTable[[#This Row],[Units]]&gt;0,"Quantity &gt; 0 Items","Quantity = 0 Items")</f>
        <v>Quantity = 0 Items</v>
      </c>
      <c r="I233" s="141">
        <f>RawList!J202</f>
        <v>44.95</v>
      </c>
      <c r="J233" s="24">
        <f>VALUE(EquipmentTable[[#This Row],[Units]]*EquipmentTable[[#This Row],[Unit
 Price]])</f>
        <v>0</v>
      </c>
      <c r="K233" s="50" t="str">
        <f>RawList!G202</f>
        <v>https://cdn.sparkfun.com/r/92-92/assets/parts/1/1/2/8/4/13750-01.jpg</v>
      </c>
      <c r="L233" s="50"/>
      <c r="M233" s="50" t="str">
        <f>RawList!F202</f>
        <v>https://www.sparkfun.com/products/13750</v>
      </c>
    </row>
    <row r="234" spans="2:13" hidden="1" x14ac:dyDescent="0.3">
      <c r="B234" s="50" t="str">
        <f>RawList!A203</f>
        <v>Advanced &amp; Optional Components</v>
      </c>
      <c r="C234" s="50" t="str">
        <f>RawList!B203</f>
        <v>GPS Logging/Fencing</v>
      </c>
      <c r="D234" s="50" t="str">
        <f>RawList!C203</f>
        <v>SparkFun</v>
      </c>
      <c r="E234" s="50" t="str">
        <f>RawList!H203</f>
        <v>SparkFun Venus GPS Logger - SMA Connector</v>
      </c>
      <c r="F234" s="50" t="str">
        <f>RawList!D203</f>
        <v>GPS-10920</v>
      </c>
      <c r="G234" s="137">
        <f>RawList!E203</f>
        <v>1</v>
      </c>
      <c r="H234" s="50" t="str">
        <f>IF(EquipmentTable[[#This Row],[Units]]&gt;0,"Quantity &gt; 0 Items","Quantity = 0 Items")</f>
        <v>Quantity &gt; 0 Items</v>
      </c>
      <c r="I234" s="141">
        <f>RawList!J203</f>
        <v>59.95</v>
      </c>
      <c r="J234" s="24">
        <f>VALUE(EquipmentTable[[#This Row],[Units]]*EquipmentTable[[#This Row],[Unit
 Price]])</f>
        <v>59.95</v>
      </c>
      <c r="K234" s="50" t="str">
        <f>RawList!G203</f>
        <v>https://cdn.sparkfun.com/r/92-92/assets/parts/6/0/5/3/10920-01a.jpg</v>
      </c>
      <c r="L234" s="50"/>
      <c r="M234" s="50" t="str">
        <f>RawList!F203</f>
        <v>https://www.sparkfun.com/products/10920</v>
      </c>
    </row>
    <row r="235" spans="2:13" hidden="1" x14ac:dyDescent="0.3">
      <c r="B235" s="50" t="str">
        <f>RawList!A205</f>
        <v>Advanced &amp; Optional Components</v>
      </c>
      <c r="C235" s="50" t="str">
        <f>RawList!B205</f>
        <v>GSM/Cellular Communication</v>
      </c>
      <c r="D235" s="50" t="str">
        <f>RawList!C205</f>
        <v>Adafruit</v>
      </c>
      <c r="E235" s="50" t="str">
        <f>RawList!H205</f>
        <v>Adafruit FONA 800 Shield - Voice/Data Cellular GSM for Arduino</v>
      </c>
      <c r="F235" s="50" t="str">
        <f>RawList!D205</f>
        <v>2468</v>
      </c>
      <c r="G235" s="137">
        <f>RawList!E205</f>
        <v>1</v>
      </c>
      <c r="H235" s="50" t="str">
        <f>IF(EquipmentTable[[#This Row],[Units]]&gt;0,"Quantity &gt; 0 Items","Quantity = 0 Items")</f>
        <v>Quantity &gt; 0 Items</v>
      </c>
      <c r="I235" s="57">
        <f>RawList!J205</f>
        <v>39.950000000000003</v>
      </c>
      <c r="J235" s="24">
        <f>VALUE(EquipmentTable[[#This Row],[Units]]*EquipmentTable[[#This Row],[Unit
 Price]])</f>
        <v>39.950000000000003</v>
      </c>
      <c r="K235" s="50">
        <f>RawList!G205</f>
        <v>0</v>
      </c>
      <c r="L235" s="50"/>
      <c r="M235" s="50">
        <f>RawList!F205</f>
        <v>0</v>
      </c>
    </row>
    <row r="236" spans="2:13" hidden="1" x14ac:dyDescent="0.3">
      <c r="B236" s="50" t="str">
        <f>RawList!A206</f>
        <v>Advanced &amp; Optional Components</v>
      </c>
      <c r="C236" s="50" t="str">
        <f>RawList!B206</f>
        <v>GSM/Cellular Communication</v>
      </c>
      <c r="D236" s="50" t="str">
        <f>RawList!C206</f>
        <v>Adafruit</v>
      </c>
      <c r="E236" s="50" t="str">
        <f>RawList!H206</f>
        <v>GSM 2G SIM Card from Ting &amp; Adafruit - Data/Voice/Text USA Only</v>
      </c>
      <c r="F236" s="50" t="str">
        <f>RawList!D206</f>
        <v>2505</v>
      </c>
      <c r="G236" s="137">
        <f>RawList!E206</f>
        <v>1</v>
      </c>
      <c r="H236" s="50" t="str">
        <f>IF(EquipmentTable[[#This Row],[Units]]&gt;0,"Quantity &gt; 0 Items","Quantity = 0 Items")</f>
        <v>Quantity &gt; 0 Items</v>
      </c>
      <c r="I236" s="57">
        <f>RawList!J206</f>
        <v>9</v>
      </c>
      <c r="J236" s="24">
        <f>VALUE(EquipmentTable[[#This Row],[Units]]*EquipmentTable[[#This Row],[Unit
 Price]])</f>
        <v>9</v>
      </c>
      <c r="K236" s="50">
        <f>RawList!G206</f>
        <v>0</v>
      </c>
      <c r="L236" s="50"/>
      <c r="M236" s="50">
        <f>RawList!F206</f>
        <v>0</v>
      </c>
    </row>
    <row r="237" spans="2:13" hidden="1" x14ac:dyDescent="0.3">
      <c r="B237" s="50" t="str">
        <f>RawList!A207</f>
        <v>Advanced &amp; Optional Components</v>
      </c>
      <c r="C237" s="50" t="str">
        <f>RawList!B207</f>
        <v>GSM/Cellular Communication</v>
      </c>
      <c r="D237" s="50" t="str">
        <f>RawList!C207</f>
        <v>Adafruit</v>
      </c>
      <c r="E237" s="50" t="str">
        <f>RawList!H207</f>
        <v>Slim Sticker-type GSM/Cellular Quad-Band Antenna - 3dBi uFL</v>
      </c>
      <c r="F237" s="50" t="str">
        <f>RawList!D207</f>
        <v>1991</v>
      </c>
      <c r="G237" s="137">
        <f>RawList!E207</f>
        <v>1</v>
      </c>
      <c r="H237" s="50" t="str">
        <f>IF(EquipmentTable[[#This Row],[Units]]&gt;0,"Quantity &gt; 0 Items","Quantity = 0 Items")</f>
        <v>Quantity &gt; 0 Items</v>
      </c>
      <c r="I237" s="57">
        <f>RawList!J207</f>
        <v>2.95</v>
      </c>
      <c r="J237" s="24">
        <f>VALUE(EquipmentTable[[#This Row],[Units]]*EquipmentTable[[#This Row],[Unit
 Price]])</f>
        <v>2.95</v>
      </c>
      <c r="K237" s="50">
        <f>RawList!G207</f>
        <v>0</v>
      </c>
      <c r="L237" s="50"/>
      <c r="M237" s="50">
        <f>RawList!F207</f>
        <v>0</v>
      </c>
    </row>
    <row r="238" spans="2:13" hidden="1" x14ac:dyDescent="0.3">
      <c r="B238" s="50" t="str">
        <f>RawList!A208</f>
        <v>Advanced &amp; Optional Components</v>
      </c>
      <c r="C238" s="50" t="str">
        <f>RawList!B208</f>
        <v>High-Precision Compass</v>
      </c>
      <c r="D238" s="50" t="str">
        <f>RawList!C208</f>
        <v>SparkFun</v>
      </c>
      <c r="E238" s="50" t="str">
        <f>RawList!H208</f>
        <v>SparkFun HMC6343 Breakout</v>
      </c>
      <c r="F238" s="50" t="str">
        <f>RawList!D208</f>
        <v>SEN-12916</v>
      </c>
      <c r="G238" s="137">
        <f>RawList!E208</f>
        <v>1</v>
      </c>
      <c r="H238" s="50" t="str">
        <f>IF(EquipmentTable[[#This Row],[Units]]&gt;0,"Quantity &gt; 0 Items","Quantity = 0 Items")</f>
        <v>Quantity &gt; 0 Items</v>
      </c>
      <c r="I238" s="57">
        <f>RawList!J208</f>
        <v>149.94999999999999</v>
      </c>
      <c r="J238" s="24">
        <f>VALUE(EquipmentTable[[#This Row],[Units]]*EquipmentTable[[#This Row],[Unit
 Price]])</f>
        <v>149.94999999999999</v>
      </c>
      <c r="K238" s="50" t="str">
        <f>RawList!G208</f>
        <v>https://cdn.sparkfun.com/r/92-92/assets/parts/9/8/2/8/12916-01.jpg</v>
      </c>
      <c r="L238" s="50"/>
      <c r="M238" s="50" t="str">
        <f>RawList!F208</f>
        <v>https://www.sparkfun.com/products/12916</v>
      </c>
    </row>
    <row r="239" spans="2:13" hidden="1" x14ac:dyDescent="0.3">
      <c r="B239" s="50" t="str">
        <f>RawList!A208</f>
        <v>Advanced &amp; Optional Components</v>
      </c>
      <c r="C239" s="50" t="str">
        <f>RawList!B208</f>
        <v>High-Precision Compass</v>
      </c>
      <c r="D239" s="50" t="str">
        <f>RawList!C208</f>
        <v>SparkFun</v>
      </c>
      <c r="E239" s="50" t="str">
        <f>RawList!H208</f>
        <v>SparkFun HMC6343 Breakout</v>
      </c>
      <c r="F239" s="50" t="str">
        <f>RawList!D208</f>
        <v>SEN-12916</v>
      </c>
      <c r="G239" s="137">
        <f>RawList!E208</f>
        <v>1</v>
      </c>
      <c r="H239" s="50" t="str">
        <f>IF(EquipmentTable[[#This Row],[Units]]&gt;0,"Quantity &gt; 0 Items","Quantity = 0 Items")</f>
        <v>Quantity &gt; 0 Items</v>
      </c>
      <c r="I239" s="141">
        <f>RawList!J208</f>
        <v>149.94999999999999</v>
      </c>
      <c r="J239" s="24">
        <f>VALUE(EquipmentTable[[#This Row],[Units]]*EquipmentTable[[#This Row],[Unit
 Price]])</f>
        <v>149.94999999999999</v>
      </c>
      <c r="K239" s="50" t="str">
        <f>RawList!G209</f>
        <v>https://cdn.sparkfun.com/r/92-92/assets/parts/1/1/8/7/0/14043-01.jpg</v>
      </c>
      <c r="L239" s="50"/>
      <c r="M239" s="50" t="str">
        <f>RawList!F209</f>
        <v>https://www.sparkfun.com/products/14043</v>
      </c>
    </row>
    <row r="240" spans="2:13" hidden="1" x14ac:dyDescent="0.3">
      <c r="B240" s="50" t="str">
        <f>RawList!A209</f>
        <v>Advanced &amp; Optional Components</v>
      </c>
      <c r="C240" s="50" t="str">
        <f>RawList!B209</f>
        <v>Lidar</v>
      </c>
      <c r="D240" s="50" t="str">
        <f>RawList!C209</f>
        <v>SparkFun</v>
      </c>
      <c r="E240" s="50" t="str">
        <f>RawList!H209</f>
        <v>LIDAR-Lite Accessory Cable</v>
      </c>
      <c r="F240" s="50" t="str">
        <f>RawList!D209</f>
        <v>CAB-14043</v>
      </c>
      <c r="G240" s="137">
        <f>RawList!E209</f>
        <v>1</v>
      </c>
      <c r="H240" s="50" t="str">
        <f>IF(EquipmentTable[[#This Row],[Units]]&gt;0,"Quantity &gt; 0 Items","Quantity = 0 Items")</f>
        <v>Quantity &gt; 0 Items</v>
      </c>
      <c r="I240" s="141">
        <f>RawList!J209</f>
        <v>4.95</v>
      </c>
      <c r="J240" s="24">
        <f>VALUE(EquipmentTable[[#This Row],[Units]]*EquipmentTable[[#This Row],[Unit
 Price]])</f>
        <v>4.95</v>
      </c>
      <c r="K240" s="50" t="str">
        <f>RawList!G209</f>
        <v>https://cdn.sparkfun.com/r/92-92/assets/parts/1/1/8/7/0/14043-01.jpg</v>
      </c>
      <c r="L240" s="50"/>
      <c r="M240" s="50" t="str">
        <f>RawList!F209</f>
        <v>https://www.sparkfun.com/products/14043</v>
      </c>
    </row>
    <row r="241" spans="2:13" hidden="1" x14ac:dyDescent="0.3">
      <c r="B241" s="50" t="str">
        <f>RawList!A210</f>
        <v>Advanced &amp; Optional Components</v>
      </c>
      <c r="C241" s="50" t="str">
        <f>RawList!B210</f>
        <v>Lidar</v>
      </c>
      <c r="D241" s="50" t="str">
        <f>RawList!C210</f>
        <v>SparkFun</v>
      </c>
      <c r="E241" s="50" t="str">
        <f>RawList!H210</f>
        <v>Scanse Sweep</v>
      </c>
      <c r="F241" s="50" t="str">
        <f>RawList!D210</f>
        <v>SEN-14117</v>
      </c>
      <c r="G241" s="137">
        <f>RawList!E210</f>
        <v>1</v>
      </c>
      <c r="H241" s="50" t="str">
        <f>IF(EquipmentTable[[#This Row],[Units]]&gt;0,"Quantity &gt; 0 Items","Quantity = 0 Items")</f>
        <v>Quantity &gt; 0 Items</v>
      </c>
      <c r="I241" s="141">
        <f>RawList!J210</f>
        <v>349</v>
      </c>
      <c r="J241" s="24">
        <f>VALUE(EquipmentTable[[#This Row],[Units]]*EquipmentTable[[#This Row],[Unit
 Price]])</f>
        <v>349</v>
      </c>
      <c r="K241" s="50" t="str">
        <f>RawList!G210</f>
        <v>https://cdn.sparkfun.com/r/92-92/assets/parts/1/2/0/0/3/14117-04a.jpg</v>
      </c>
      <c r="L241" s="50"/>
      <c r="M241" s="50" t="str">
        <f>RawList!F210</f>
        <v>https://www.sparkfun.com/products/14117</v>
      </c>
    </row>
    <row r="242" spans="2:13" hidden="1" x14ac:dyDescent="0.3">
      <c r="B242" s="50" t="str">
        <f>RawList!A211</f>
        <v>Advanced &amp; Optional Components</v>
      </c>
      <c r="C242" s="50" t="str">
        <f>RawList!B211</f>
        <v>Lidar</v>
      </c>
      <c r="D242" s="50" t="str">
        <f>RawList!C211</f>
        <v>SparkFun</v>
      </c>
      <c r="E242" s="50" t="str">
        <f>RawList!H211</f>
        <v xml:space="preserve">Slip Ring - 6 Wire (2A) </v>
      </c>
      <c r="F242" s="50" t="str">
        <f>RawList!D211</f>
        <v>ROB-13064</v>
      </c>
      <c r="G242" s="137">
        <f>RawList!E211</f>
        <v>1</v>
      </c>
      <c r="H242" s="50" t="str">
        <f>IF(EquipmentTable[[#This Row],[Units]]&gt;0,"Quantity &gt; 0 Items","Quantity = 0 Items")</f>
        <v>Quantity &gt; 0 Items</v>
      </c>
      <c r="I242" s="141">
        <f>RawList!J211</f>
        <v>14.95</v>
      </c>
      <c r="J242" s="24">
        <f>VALUE(EquipmentTable[[#This Row],[Units]]*EquipmentTable[[#This Row],[Unit
 Price]])</f>
        <v>14.95</v>
      </c>
      <c r="K242" s="50" t="str">
        <f>RawList!G211</f>
        <v>https://cdn.sparkfun.com/r/92-92/assets/parts/1/0/0/9/5/13064-01.jpg</v>
      </c>
      <c r="L242" s="50"/>
      <c r="M242" s="50" t="str">
        <f>RawList!F211</f>
        <v>https://www.sparkfun.com/products/13064</v>
      </c>
    </row>
    <row r="243" spans="2:13" hidden="1" x14ac:dyDescent="0.3">
      <c r="B243" s="50" t="str">
        <f>RawList!A212</f>
        <v>Advanced &amp; Optional Components</v>
      </c>
      <c r="C243" s="50" t="str">
        <f>RawList!B212</f>
        <v>Movement/IMU</v>
      </c>
      <c r="D243" s="50" t="str">
        <f>RawList!C212</f>
        <v>SparkFun</v>
      </c>
      <c r="E243" s="50" t="str">
        <f>RawList!H212</f>
        <v>SparkFun 9DoF IMU Breakout - LSM9DS1</v>
      </c>
      <c r="F243" s="50" t="str">
        <f>RawList!D212</f>
        <v>SEN-13284</v>
      </c>
      <c r="G243" s="137">
        <f>RawList!E212</f>
        <v>1</v>
      </c>
      <c r="H243" s="50" t="str">
        <f>IF(EquipmentTable[[#This Row],[Units]]&gt;0,"Quantity &gt; 0 Items","Quantity = 0 Items")</f>
        <v>Quantity &gt; 0 Items</v>
      </c>
      <c r="I243" s="141">
        <f>RawList!J212</f>
        <v>24.95</v>
      </c>
      <c r="J243" s="24">
        <f>VALUE(EquipmentTable[[#This Row],[Units]]*EquipmentTable[[#This Row],[Unit
 Price]])</f>
        <v>24.95</v>
      </c>
      <c r="K243" s="50" t="str">
        <f>RawList!G212</f>
        <v>https://cdn.sparkfun.com/r/92-92/assets/parts/1/0/5/3/3/13284-02.jpg</v>
      </c>
      <c r="L243" s="50"/>
      <c r="M243" s="50" t="str">
        <f>RawList!F212</f>
        <v>https://www.sparkfun.com/products/13284</v>
      </c>
    </row>
    <row r="244" spans="2:13" hidden="1" x14ac:dyDescent="0.3">
      <c r="B244" s="50" t="str">
        <f>RawList!A214</f>
        <v>Advanced &amp; Optional Components</v>
      </c>
      <c r="C244" s="50" t="str">
        <f>RawList!B214</f>
        <v>User Interface, Touchscreen</v>
      </c>
      <c r="D244" s="50" t="str">
        <f>RawList!C214</f>
        <v>SparkFun</v>
      </c>
      <c r="E244" s="50" t="str">
        <f>RawList!H214</f>
        <v>Display Module - 7\" Touchscreen LCD</v>
      </c>
      <c r="F244" s="50" t="str">
        <f>RawList!D214</f>
        <v>LCD-12725</v>
      </c>
      <c r="G244" s="137">
        <f>RawList!E214</f>
        <v>0</v>
      </c>
      <c r="H244" s="50" t="str">
        <f>IF(EquipmentTable[[#This Row],[Units]]&gt;0,"Quantity &gt; 0 Items","Quantity = 0 Items")</f>
        <v>Quantity = 0 Items</v>
      </c>
      <c r="I244" s="57">
        <f>RawList!J214</f>
        <v>179.95</v>
      </c>
      <c r="J244" s="24">
        <f>VALUE(EquipmentTable[[#This Row],[Units]]*EquipmentTable[[#This Row],[Unit
 Price]])</f>
        <v>0</v>
      </c>
      <c r="K244" s="50" t="str">
        <f>RawList!G214</f>
        <v>https://cdn.sparkfun.com/r/92-92/assets/parts/9/4/8/2/12725-01.jpg</v>
      </c>
      <c r="L244" s="50"/>
      <c r="M244" s="50" t="str">
        <f>RawList!F214</f>
        <v>https://www.sparkfun.com/products/12725</v>
      </c>
    </row>
    <row r="245" spans="2:13" hidden="1" x14ac:dyDescent="0.3">
      <c r="B245" s="50" t="str">
        <f>RawList!A215</f>
        <v>Advanced &amp; Optional Components</v>
      </c>
      <c r="C245" s="50" t="str">
        <f>RawList!B215</f>
        <v>User Interface, Touchscreen</v>
      </c>
      <c r="D245" s="50" t="str">
        <f>RawList!C215</f>
        <v>SparkFun</v>
      </c>
      <c r="E245" s="50" t="str">
        <f>RawList!H215</f>
        <v>Arduino Display Module - 3.2\" Touchscreen LCD</v>
      </c>
      <c r="F245" s="50" t="str">
        <f>RawList!D215</f>
        <v>LCD-11741</v>
      </c>
      <c r="G245" s="137">
        <f>RawList!E215</f>
        <v>1</v>
      </c>
      <c r="H245" s="50" t="str">
        <f>IF(EquipmentTable[[#This Row],[Units]]&gt;0,"Quantity &gt; 0 Items","Quantity = 0 Items")</f>
        <v>Quantity &gt; 0 Items</v>
      </c>
      <c r="I245" s="57">
        <f>RawList!J215</f>
        <v>84.95</v>
      </c>
      <c r="J245" s="24">
        <f>VALUE(EquipmentTable[[#This Row],[Units]]*EquipmentTable[[#This Row],[Unit
 Price]])</f>
        <v>84.95</v>
      </c>
      <c r="K245" s="50" t="str">
        <f>RawList!G215</f>
        <v>https://cdn.sparkfun.com/r/92-92/assets/parts/7/9/6/3/11741-01a.jpg</v>
      </c>
      <c r="L245" s="50"/>
      <c r="M245" s="50" t="str">
        <f>RawList!F215</f>
        <v>https://www.sparkfun.com/products/11741</v>
      </c>
    </row>
    <row r="246" spans="2:13" hidden="1" x14ac:dyDescent="0.3">
      <c r="B246" s="50" t="str">
        <f>RawList!A216</f>
        <v>Advanced &amp; Optional Components</v>
      </c>
      <c r="C246" s="50" t="str">
        <f>RawList!B216</f>
        <v>User Interface, Touchscreen</v>
      </c>
      <c r="D246" s="50" t="str">
        <f>RawList!C216</f>
        <v>SparkFun</v>
      </c>
      <c r="E246" s="50" t="str">
        <f>RawList!H216</f>
        <v>Serial TFT LCD - 3.2\" with Touchscreen (uLCD-32PTU-GFX)</v>
      </c>
      <c r="F246" s="50" t="str">
        <f>RawList!D216</f>
        <v>LCD-11677</v>
      </c>
      <c r="G246" s="137">
        <f>RawList!E216</f>
        <v>0</v>
      </c>
      <c r="H246" s="50" t="str">
        <f>IF(EquipmentTable[[#This Row],[Units]]&gt;0,"Quantity &gt; 0 Items","Quantity = 0 Items")</f>
        <v>Quantity = 0 Items</v>
      </c>
      <c r="I246" s="57">
        <f>RawList!J216</f>
        <v>84.95</v>
      </c>
      <c r="J246" s="24">
        <f>VALUE(EquipmentTable[[#This Row],[Units]]*EquipmentTable[[#This Row],[Unit
 Price]])</f>
        <v>0</v>
      </c>
      <c r="K246" s="50" t="str">
        <f>RawList!G216</f>
        <v>https://cdn.sparkfun.com/r/92-92/assets/parts/7/7/7/7/11677-01.jpg</v>
      </c>
      <c r="L246" s="50"/>
      <c r="M246" s="50" t="str">
        <f>RawList!F216</f>
        <v>https://www.sparkfun.com/products/11677</v>
      </c>
    </row>
    <row r="247" spans="2:13" hidden="1" x14ac:dyDescent="0.3">
      <c r="B247" s="50" t="str">
        <f>RawList!A217</f>
        <v>Advanced &amp; Optional Components</v>
      </c>
      <c r="C247" s="50" t="str">
        <f>RawList!B217</f>
        <v>User Interface, Touchscreen</v>
      </c>
      <c r="D247" s="50" t="str">
        <f>RawList!C217</f>
        <v>Adafruit</v>
      </c>
      <c r="E247" s="50" t="str">
        <f>RawList!H217</f>
        <v>2.8" TFT LCD with Cap Touch Breakout Board w/MicroSD Socket</v>
      </c>
      <c r="F247" s="50" t="str">
        <f>RawList!D217</f>
        <v>2090</v>
      </c>
      <c r="G247" s="137">
        <f>RawList!E217</f>
        <v>0</v>
      </c>
      <c r="H247" s="50" t="str">
        <f>IF(EquipmentTable[[#This Row],[Units]]&gt;0,"Quantity &gt; 0 Items","Quantity = 0 Items")</f>
        <v>Quantity = 0 Items</v>
      </c>
      <c r="I247" s="57">
        <f>RawList!J217</f>
        <v>39.950000000000003</v>
      </c>
      <c r="J247" s="24">
        <f>VALUE(EquipmentTable[[#This Row],[Units]]*EquipmentTable[[#This Row],[Unit
 Price]])</f>
        <v>0</v>
      </c>
      <c r="K247" s="50">
        <f>RawList!G217</f>
        <v>0</v>
      </c>
      <c r="L247" s="50"/>
      <c r="M247" s="50">
        <f>RawList!F217</f>
        <v>0</v>
      </c>
    </row>
    <row r="248" spans="2:13" hidden="1" x14ac:dyDescent="0.3">
      <c r="B248" s="50" t="str">
        <f>RawList!A218</f>
        <v>Advanced &amp; Optional Components</v>
      </c>
      <c r="C248" s="50" t="str">
        <f>RawList!B218</f>
        <v>User Interface, Touchscreen</v>
      </c>
      <c r="D248" s="50" t="str">
        <f>RawList!C218</f>
        <v>Adafruit</v>
      </c>
      <c r="E248" s="50" t="str">
        <f>RawList!H218</f>
        <v>2.8" TFT Touch Shield for Arduino w/Capacitive Touch</v>
      </c>
      <c r="F248" s="50" t="str">
        <f>RawList!D218</f>
        <v>1947</v>
      </c>
      <c r="G248" s="137">
        <f>RawList!E218</f>
        <v>0</v>
      </c>
      <c r="H248" s="50" t="str">
        <f>IF(EquipmentTable[[#This Row],[Units]]&gt;0,"Quantity &gt; 0 Items","Quantity = 0 Items")</f>
        <v>Quantity = 0 Items</v>
      </c>
      <c r="I248" s="57">
        <f>RawList!J218</f>
        <v>44.95</v>
      </c>
      <c r="J248" s="24">
        <f>VALUE(EquipmentTable[[#This Row],[Units]]*EquipmentTable[[#This Row],[Unit
 Price]])</f>
        <v>0</v>
      </c>
      <c r="K248" s="50">
        <f>RawList!G218</f>
        <v>0</v>
      </c>
      <c r="L248" s="50"/>
      <c r="M248" s="50">
        <f>RawList!F218</f>
        <v>0</v>
      </c>
    </row>
    <row r="249" spans="2:13" hidden="1" x14ac:dyDescent="0.3">
      <c r="B249" s="50" t="str">
        <f>RawList!A219</f>
        <v>Advanced &amp; Optional Components</v>
      </c>
      <c r="C249" s="50" t="str">
        <f>RawList!B219</f>
        <v>User Interface, Touchscreen</v>
      </c>
      <c r="D249" s="50" t="str">
        <f>RawList!C219</f>
        <v>SparkFun</v>
      </c>
      <c r="E249" s="50" t="str">
        <f>RawList!H219</f>
        <v>USB-to-Serial Bridge - ÂµUSB-PA5</v>
      </c>
      <c r="F249" s="50" t="str">
        <f>RawList!D219</f>
        <v>DEV-11814</v>
      </c>
      <c r="G249" s="137">
        <f>RawList!E219</f>
        <v>1</v>
      </c>
      <c r="H249" s="50" t="str">
        <f>IF(EquipmentTable[[#This Row],[Units]]&gt;0,"Quantity &gt; 0 Items","Quantity = 0 Items")</f>
        <v>Quantity &gt; 0 Items</v>
      </c>
      <c r="I249" s="57">
        <f>RawList!J219</f>
        <v>24.95</v>
      </c>
      <c r="J249" s="24">
        <f>VALUE(EquipmentTable[[#This Row],[Units]]*EquipmentTable[[#This Row],[Unit
 Price]])</f>
        <v>24.95</v>
      </c>
      <c r="K249" s="50" t="str">
        <f>RawList!G219</f>
        <v>https://cdn.sparkfun.com/r/92-92/assets/parts/8/1/4/6/11814-01.jpg</v>
      </c>
      <c r="L249" s="50"/>
      <c r="M249" s="50" t="str">
        <f>RawList!F219</f>
        <v>https://www.sparkfun.com/products/11814</v>
      </c>
    </row>
    <row r="250" spans="2:13" hidden="1" x14ac:dyDescent="0.3">
      <c r="B250" s="50" t="str">
        <f>RawList!A220</f>
        <v>Advanced &amp; Optional Components</v>
      </c>
      <c r="C250" s="50" t="str">
        <f>RawList!B220</f>
        <v>Vitals/Health Status Sensing</v>
      </c>
      <c r="D250" s="50" t="str">
        <f>RawList!C220</f>
        <v>SparkFun</v>
      </c>
      <c r="E250" s="50" t="str">
        <f>RawList!H220</f>
        <v>BITalino (r)evolution Board Kit</v>
      </c>
      <c r="F250" s="50" t="str">
        <f>RawList!D220</f>
        <v>DEV-14022</v>
      </c>
      <c r="G250" s="137">
        <f>RawList!E220</f>
        <v>1</v>
      </c>
      <c r="H250" s="50" t="str">
        <f>IF(EquipmentTable[[#This Row],[Units]]&gt;0,"Quantity &gt; 0 Items","Quantity = 0 Items")</f>
        <v>Quantity &gt; 0 Items</v>
      </c>
      <c r="I250" s="57">
        <f>RawList!J220</f>
        <v>209.95</v>
      </c>
      <c r="J250" s="24">
        <f>VALUE(EquipmentTable[[#This Row],[Units]]*EquipmentTable[[#This Row],[Unit
 Price]])</f>
        <v>209.95</v>
      </c>
      <c r="K250" s="50" t="str">
        <f>RawList!G220</f>
        <v>https://cdn.sparkfun.com/r/92-92/assets/parts/1/1/8/2/8/14022-01a.jpg</v>
      </c>
      <c r="L250" s="50"/>
      <c r="M250" s="50" t="str">
        <f>RawList!F220</f>
        <v>https://www.sparkfun.com/products/14022</v>
      </c>
    </row>
    <row r="251" spans="2:13" hidden="1" x14ac:dyDescent="0.3">
      <c r="B251" s="50" t="str">
        <f>RawList!A220</f>
        <v>Advanced &amp; Optional Components</v>
      </c>
      <c r="C251" s="50" t="str">
        <f>RawList!B220</f>
        <v>Vitals/Health Status Sensing</v>
      </c>
      <c r="D251" s="50" t="str">
        <f>RawList!C220</f>
        <v>SparkFun</v>
      </c>
      <c r="E251" s="50" t="str">
        <f>RawList!H220</f>
        <v>BITalino (r)evolution Board Kit</v>
      </c>
      <c r="F251" s="50" t="str">
        <f>RawList!D220</f>
        <v>DEV-14022</v>
      </c>
      <c r="G251" s="137">
        <f>RawList!E220</f>
        <v>1</v>
      </c>
      <c r="H251" s="50" t="str">
        <f>IF(EquipmentTable[[#This Row],[Units]]&gt;0,"Quantity &gt; 0 Items","Quantity = 0 Items")</f>
        <v>Quantity &gt; 0 Items</v>
      </c>
      <c r="I251" s="141">
        <f>RawList!J220</f>
        <v>209.95</v>
      </c>
      <c r="J251" s="24">
        <f>VALUE(EquipmentTable[[#This Row],[Units]]*EquipmentTable[[#This Row],[Unit
 Price]])</f>
        <v>209.95</v>
      </c>
      <c r="K251" s="50" t="str">
        <f>RawList!G221</f>
        <v>https://cdn.sparkfun.com/r/92-92/assets/parts/1/0/6/0/0/13316-01a.jpg</v>
      </c>
      <c r="L251" s="50"/>
      <c r="M251" s="50" t="str">
        <f>RawList!F221</f>
        <v>https://www.sparkfun.com/products/13316</v>
      </c>
    </row>
    <row r="252" spans="2:13" hidden="1" x14ac:dyDescent="0.3">
      <c r="B252" s="50" t="str">
        <f>RawList!A222</f>
        <v>Advanced &amp; Optional Components</v>
      </c>
      <c r="C252" s="50" t="str">
        <f>RawList!B222</f>
        <v>Wireless Charging</v>
      </c>
      <c r="D252" s="50" t="str">
        <f>RawList!C222</f>
        <v>Adafruit</v>
      </c>
      <c r="E252" s="50" t="str">
        <f>RawList!H222</f>
        <v>Inductive Charging Set - 5V @ 500mA max</v>
      </c>
      <c r="F252" s="50" t="str">
        <f>RawList!D222</f>
        <v>1407</v>
      </c>
      <c r="G252" s="137">
        <f>RawList!E222</f>
        <v>0</v>
      </c>
      <c r="H252" s="50" t="str">
        <f>IF(EquipmentTable[[#This Row],[Units]]&gt;0,"Quantity &gt; 0 Items","Quantity = 0 Items")</f>
        <v>Quantity = 0 Items</v>
      </c>
      <c r="I252" s="57">
        <f>RawList!J222</f>
        <v>9.9499999999999993</v>
      </c>
      <c r="J252" s="24">
        <f>VALUE(EquipmentTable[[#This Row],[Units]]*EquipmentTable[[#This Row],[Unit
 Price]])</f>
        <v>0</v>
      </c>
      <c r="K252" s="50">
        <f>RawList!G222</f>
        <v>0</v>
      </c>
      <c r="L252" s="50"/>
      <c r="M252" s="50">
        <f>RawList!F222</f>
        <v>0</v>
      </c>
    </row>
    <row r="253" spans="2:13" hidden="1" x14ac:dyDescent="0.3">
      <c r="B253" s="50" t="str">
        <f>RawList!A223</f>
        <v>Advanced &amp; Optional Components</v>
      </c>
      <c r="C253" s="50" t="str">
        <f>RawList!B223</f>
        <v>Wireless Charging</v>
      </c>
      <c r="D253" s="50" t="str">
        <f>RawList!C223</f>
        <v>Adafruit</v>
      </c>
      <c r="E253" s="50" t="str">
        <f>RawList!H223</f>
        <v xml:space="preserve">Universal Qi Wireless Charging Module - 20mm Forward MicroUSB </v>
      </c>
      <c r="F253" s="50" t="str">
        <f>RawList!D223</f>
        <v>2116</v>
      </c>
      <c r="G253" s="137">
        <f>RawList!E223</f>
        <v>0</v>
      </c>
      <c r="H253" s="50" t="str">
        <f>IF(EquipmentTable[[#This Row],[Units]]&gt;0,"Quantity &gt; 0 Items","Quantity = 0 Items")</f>
        <v>Quantity = 0 Items</v>
      </c>
      <c r="I253" s="57">
        <f>RawList!J223</f>
        <v>24.95</v>
      </c>
      <c r="J253" s="24">
        <f>VALUE(EquipmentTable[[#This Row],[Units]]*EquipmentTable[[#This Row],[Unit
 Price]])</f>
        <v>0</v>
      </c>
      <c r="K253" s="50">
        <f>RawList!G223</f>
        <v>0</v>
      </c>
      <c r="L253" s="50"/>
      <c r="M253" s="50">
        <f>RawList!F223</f>
        <v>0</v>
      </c>
    </row>
    <row r="254" spans="2:13" hidden="1" x14ac:dyDescent="0.3">
      <c r="B254" s="50" t="str">
        <f>RawList!A224</f>
        <v>Advanced &amp; Optional Components</v>
      </c>
      <c r="C254" s="50" t="str">
        <f>RawList!B224</f>
        <v>Wireless Charging</v>
      </c>
      <c r="D254" s="50" t="str">
        <f>RawList!C224</f>
        <v>Adafruit</v>
      </c>
      <c r="E254" s="50" t="str">
        <f>RawList!H224</f>
        <v xml:space="preserve">Universal Qi Wireless Charging Transmitter </v>
      </c>
      <c r="F254" s="50" t="str">
        <f>RawList!D224</f>
        <v>2162</v>
      </c>
      <c r="G254" s="137">
        <f>RawList!E224</f>
        <v>0</v>
      </c>
      <c r="H254" s="50" t="str">
        <f>IF(EquipmentTable[[#This Row],[Units]]&gt;0,"Quantity &gt; 0 Items","Quantity = 0 Items")</f>
        <v>Quantity = 0 Items</v>
      </c>
      <c r="I254" s="57">
        <f>RawList!J224</f>
        <v>26.95</v>
      </c>
      <c r="J254" s="24">
        <f>VALUE(EquipmentTable[[#This Row],[Units]]*EquipmentTable[[#This Row],[Unit
 Price]])</f>
        <v>0</v>
      </c>
      <c r="K254" s="50">
        <f>RawList!G224</f>
        <v>0</v>
      </c>
      <c r="L254" s="50"/>
      <c r="M254" s="50">
        <f>RawList!F224</f>
        <v>0</v>
      </c>
    </row>
    <row r="255" spans="2:13" hidden="1" x14ac:dyDescent="0.3">
      <c r="B255" s="50" t="str">
        <f>RawList!A225</f>
        <v>Advanced &amp; Optional Components</v>
      </c>
      <c r="C255" s="50" t="str">
        <f>RawList!B225</f>
        <v>Wireless Charging</v>
      </c>
      <c r="D255" s="50" t="str">
        <f>RawList!C225</f>
        <v>Adafruit</v>
      </c>
      <c r="E255" s="50" t="str">
        <f>RawList!H225</f>
        <v>Universal Qi Wireless Receiver Module</v>
      </c>
      <c r="F255" s="50" t="str">
        <f>RawList!D225</f>
        <v>1901</v>
      </c>
      <c r="G255" s="137">
        <f>RawList!E225</f>
        <v>0</v>
      </c>
      <c r="H255" s="50" t="str">
        <f>IF(EquipmentTable[[#This Row],[Units]]&gt;0,"Quantity &gt; 0 Items","Quantity = 0 Items")</f>
        <v>Quantity = 0 Items</v>
      </c>
      <c r="I255" s="57">
        <f>RawList!J225</f>
        <v>14.95</v>
      </c>
      <c r="J255" s="24">
        <f>VALUE(EquipmentTable[[#This Row],[Units]]*EquipmentTable[[#This Row],[Unit
 Price]])</f>
        <v>0</v>
      </c>
      <c r="K255" s="50">
        <f>RawList!G225</f>
        <v>0</v>
      </c>
      <c r="L255" s="50"/>
      <c r="M255" s="50">
        <f>RawList!F225</f>
        <v>0</v>
      </c>
    </row>
    <row r="256" spans="2:13" hidden="1" x14ac:dyDescent="0.3">
      <c r="B256" s="50" t="str">
        <f>RawList!A225</f>
        <v>Advanced &amp; Optional Components</v>
      </c>
      <c r="C256" s="50" t="str">
        <f>RawList!B225</f>
        <v>Wireless Charging</v>
      </c>
      <c r="D256" s="50" t="str">
        <f>RawList!C225</f>
        <v>Adafruit</v>
      </c>
      <c r="E256" s="50" t="str">
        <f>RawList!H225</f>
        <v>Universal Qi Wireless Receiver Module</v>
      </c>
      <c r="F256" s="50" t="str">
        <f>RawList!D225</f>
        <v>1901</v>
      </c>
      <c r="G256" s="137">
        <f>RawList!E225</f>
        <v>0</v>
      </c>
      <c r="H256" s="50" t="str">
        <f>IF(EquipmentTable[[#This Row],[Units]]&gt;0,"Quantity &gt; 0 Items","Quantity = 0 Items")</f>
        <v>Quantity = 0 Items</v>
      </c>
      <c r="I256" s="141">
        <f>RawList!J225</f>
        <v>14.95</v>
      </c>
      <c r="J256" s="24">
        <f>VALUE(EquipmentTable[[#This Row],[Units]]*EquipmentTable[[#This Row],[Unit
 Price]])</f>
        <v>0</v>
      </c>
      <c r="K256" s="50" t="str">
        <f>RawList!G226</f>
        <v>https://cdn.sparkfun.com/r/92-92/assets/parts/1/2/0/3/4/14135-03.jpg</v>
      </c>
      <c r="L256" s="50"/>
      <c r="M256" s="50" t="str">
        <f>RawList!F226</f>
        <v>https://www.sparkfun.com/products/14135</v>
      </c>
    </row>
    <row r="257" spans="2:13" hidden="1" x14ac:dyDescent="0.3">
      <c r="B257" s="50" t="str">
        <f>RawList!A226</f>
        <v>Smart-Home/IoT Network Integration (Fixed)</v>
      </c>
      <c r="C257" s="50" t="str">
        <f>RawList!B226</f>
        <v>Linux + Arduino Home Base Station</v>
      </c>
      <c r="D257" s="50" t="str">
        <f>RawList!C226</f>
        <v>SparkFun</v>
      </c>
      <c r="E257" s="50" t="str">
        <f>RawList!H226</f>
        <v>Arduino Tian</v>
      </c>
      <c r="F257" s="50" t="str">
        <f>RawList!D226</f>
        <v>DEV-14135</v>
      </c>
      <c r="G257" s="137">
        <f>RawList!E226</f>
        <v>1</v>
      </c>
      <c r="H257" s="50" t="str">
        <f>IF(EquipmentTable[[#This Row],[Units]]&gt;0,"Quantity &gt; 0 Items","Quantity = 0 Items")</f>
        <v>Quantity &gt; 0 Items</v>
      </c>
      <c r="I257" s="141">
        <f>RawList!J226</f>
        <v>94.95</v>
      </c>
      <c r="J257" s="24">
        <f>VALUE(EquipmentTable[[#This Row],[Units]]*EquipmentTable[[#This Row],[Unit
 Price]])</f>
        <v>94.95</v>
      </c>
      <c r="K257" s="50" t="str">
        <f>RawList!G226</f>
        <v>https://cdn.sparkfun.com/r/92-92/assets/parts/1/2/0/3/4/14135-03.jpg</v>
      </c>
      <c r="L257" s="50"/>
      <c r="M257" s="50" t="str">
        <f>RawList!F226</f>
        <v>https://www.sparkfun.com/products/14135</v>
      </c>
    </row>
    <row r="258" spans="2:13" hidden="1" x14ac:dyDescent="0.3">
      <c r="B258" s="50" t="str">
        <f>RawList!A227</f>
        <v>Smart-Home/IoT Network Integration (Fixed)</v>
      </c>
      <c r="C258" s="50" t="str">
        <f>RawList!B227</f>
        <v>BeagleBone Black Iot/Base Station</v>
      </c>
      <c r="D258" s="50" t="str">
        <f>RawList!C227</f>
        <v>SparkFun</v>
      </c>
      <c r="E258" s="50" t="str">
        <f>RawList!H227</f>
        <v>BeagleBone Black Wireless</v>
      </c>
      <c r="F258" s="50" t="str">
        <f>RawList!D227</f>
        <v>DEV-14162</v>
      </c>
      <c r="G258" s="137">
        <f>RawList!E227</f>
        <v>1</v>
      </c>
      <c r="H258" s="50" t="str">
        <f>IF(EquipmentTable[[#This Row],[Units]]&gt;0,"Quantity &gt; 0 Items","Quantity = 0 Items")</f>
        <v>Quantity &gt; 0 Items</v>
      </c>
      <c r="I258" s="141">
        <f>RawList!J227</f>
        <v>69.95</v>
      </c>
      <c r="J258" s="24">
        <f>VALUE(EquipmentTable[[#This Row],[Units]]*EquipmentTable[[#This Row],[Unit
 Price]])</f>
        <v>69.95</v>
      </c>
      <c r="K258" s="50" t="str">
        <f>RawList!G227</f>
        <v>https://cdn.sparkfun.com/r/92-92/assets/parts/1/2/0/7/6/14162-02.jpg</v>
      </c>
      <c r="L258" s="50"/>
      <c r="M258" s="50" t="str">
        <f>RawList!F227</f>
        <v>https://www.sparkfun.com/products/14162</v>
      </c>
    </row>
    <row r="259" spans="2:13" hidden="1" x14ac:dyDescent="0.3">
      <c r="B259" s="50" t="str">
        <f>RawList!A228</f>
        <v>Smart-Home/IoT Network Integration (Fixed)</v>
      </c>
      <c r="C259" s="50" t="str">
        <f>RawList!B228</f>
        <v>BeagleBone Black Iot/Base Station</v>
      </c>
      <c r="D259" s="50" t="str">
        <f>RawList!C228</f>
        <v>SparkFun</v>
      </c>
      <c r="E259" s="50" t="str">
        <f>RawList!H228</f>
        <v>SparkFun BeagleBone Black Proto Cape</v>
      </c>
      <c r="F259" s="50" t="str">
        <f>RawList!D228</f>
        <v>DEV-12774</v>
      </c>
      <c r="G259" s="137">
        <f>RawList!E228</f>
        <v>0</v>
      </c>
      <c r="H259" s="50" t="str">
        <f>IF(EquipmentTable[[#This Row],[Units]]&gt;0,"Quantity &gt; 0 Items","Quantity = 0 Items")</f>
        <v>Quantity = 0 Items</v>
      </c>
      <c r="I259" s="141">
        <f>RawList!J228</f>
        <v>9.9499999999999993</v>
      </c>
      <c r="J259" s="24">
        <f>VALUE(EquipmentTable[[#This Row],[Units]]*EquipmentTable[[#This Row],[Unit
 Price]])</f>
        <v>0</v>
      </c>
      <c r="K259" s="50" t="str">
        <f>RawList!G228</f>
        <v>https://cdn.sparkfun.com/r/92-92/assets/parts/9/5/5/9/12774-02.jpg</v>
      </c>
      <c r="L259" s="50"/>
      <c r="M259" s="50" t="str">
        <f>RawList!F228</f>
        <v>https://www.sparkfun.com/products/12774</v>
      </c>
    </row>
    <row r="260" spans="2:13" hidden="1" x14ac:dyDescent="0.3">
      <c r="B260" s="50" t="str">
        <f>RawList!A229</f>
        <v>Smart-Home/IoT Network Integration (Fixed)</v>
      </c>
      <c r="C260" s="50" t="str">
        <f>RawList!B229</f>
        <v>BeagleBone Black Iot/Base Station</v>
      </c>
      <c r="D260" s="50" t="str">
        <f>RawList!C229</f>
        <v>SparkFun</v>
      </c>
      <c r="E260" s="50" t="str">
        <f>RawList!H229</f>
        <v>BeagleBone Black Cape - LCD (7.0\")</v>
      </c>
      <c r="F260" s="50" t="str">
        <f>RawList!D229</f>
        <v>DEV-12086</v>
      </c>
      <c r="G260" s="137">
        <f>RawList!E229</f>
        <v>0</v>
      </c>
      <c r="H260" s="50" t="str">
        <f>IF(EquipmentTable[[#This Row],[Units]]&gt;0,"Quantity &gt; 0 Items","Quantity = 0 Items")</f>
        <v>Quantity = 0 Items</v>
      </c>
      <c r="I260" s="141">
        <f>RawList!J229</f>
        <v>99.95</v>
      </c>
      <c r="J260" s="24">
        <f>VALUE(EquipmentTable[[#This Row],[Units]]*EquipmentTable[[#This Row],[Unit
 Price]])</f>
        <v>0</v>
      </c>
      <c r="K260" s="50" t="str">
        <f>RawList!G229</f>
        <v>https://cdn.sparkfun.com/r/92-92/assets/parts/8/7/1/8/12086-01.jpg</v>
      </c>
      <c r="L260" s="50"/>
      <c r="M260" s="50" t="str">
        <f>RawList!F229</f>
        <v>https://www.sparkfun.com/products/12086</v>
      </c>
    </row>
    <row r="261" spans="2:13" hidden="1" x14ac:dyDescent="0.3">
      <c r="B261" s="50" t="str">
        <f>RawList!A230</f>
        <v>Smart-Home/IoT Network Integration (Fixed)</v>
      </c>
      <c r="C261" s="50" t="str">
        <f>RawList!B230</f>
        <v>BeagleBone Black Iot/Base Station</v>
      </c>
      <c r="D261" s="50" t="str">
        <f>RawList!C230</f>
        <v>SparkFun</v>
      </c>
      <c r="E261" s="50" t="str">
        <f>RawList!H230</f>
        <v>BeagleBone Black Cape - LCD (4.3\")</v>
      </c>
      <c r="F261" s="50" t="str">
        <f>RawList!D230</f>
        <v>DEV-12085</v>
      </c>
      <c r="G261" s="137">
        <f>RawList!E230</f>
        <v>0</v>
      </c>
      <c r="H261" s="50" t="str">
        <f>IF(EquipmentTable[[#This Row],[Units]]&gt;0,"Quantity &gt; 0 Items","Quantity = 0 Items")</f>
        <v>Quantity = 0 Items</v>
      </c>
      <c r="I261" s="141">
        <f>RawList!J230</f>
        <v>65.95</v>
      </c>
      <c r="J261" s="24">
        <f>VALUE(EquipmentTable[[#This Row],[Units]]*EquipmentTable[[#This Row],[Unit
 Price]])</f>
        <v>0</v>
      </c>
      <c r="K261" s="50" t="str">
        <f>RawList!G230</f>
        <v>https://cdn.sparkfun.com/r/92-92/assets/parts/8/7/1/7/12085-01.jpg</v>
      </c>
      <c r="L261" s="50"/>
      <c r="M261" s="50" t="str">
        <f>RawList!F230</f>
        <v>https://www.sparkfun.com/products/12085</v>
      </c>
    </row>
    <row r="262" spans="2:13" hidden="1" x14ac:dyDescent="0.3">
      <c r="B262" s="50" t="str">
        <f>RawList!A231</f>
        <v>Smart-Home/IoT Network Integration (Fixed)</v>
      </c>
      <c r="C262" s="50" t="str">
        <f>RawList!B231</f>
        <v>BeagleBone Black Iot/Base Station</v>
      </c>
      <c r="D262" s="50" t="str">
        <f>RawList!C231</f>
        <v>SparkFun</v>
      </c>
      <c r="E262" s="50" t="str">
        <f>RawList!H231</f>
        <v>BeagleBone Black Enclosure - Clear Plastic</v>
      </c>
      <c r="F262" s="50" t="str">
        <f>RawList!D231</f>
        <v>PRT-12842</v>
      </c>
      <c r="G262" s="137">
        <f>RawList!E231</f>
        <v>0</v>
      </c>
      <c r="H262" s="50" t="str">
        <f>IF(EquipmentTable[[#This Row],[Units]]&gt;0,"Quantity &gt; 0 Items","Quantity = 0 Items")</f>
        <v>Quantity = 0 Items</v>
      </c>
      <c r="I262" s="141">
        <f>RawList!J231</f>
        <v>7.95</v>
      </c>
      <c r="J262" s="24">
        <f>VALUE(EquipmentTable[[#This Row],[Units]]*EquipmentTable[[#This Row],[Unit
 Price]])</f>
        <v>0</v>
      </c>
      <c r="K262" s="50" t="str">
        <f>RawList!G231</f>
        <v>https://cdn.sparkfun.com/r/92-92/assets/parts/9/6/9/2/12842-01.jpg</v>
      </c>
      <c r="L262" s="50"/>
      <c r="M262" s="50" t="str">
        <f>RawList!F231</f>
        <v>https://www.sparkfun.com/products/12842</v>
      </c>
    </row>
    <row r="263" spans="2:13" hidden="1" x14ac:dyDescent="0.3">
      <c r="B263" s="50" t="str">
        <f>RawList!A232</f>
        <v>Smart-Home/IoT Network Integration (Fixed)</v>
      </c>
      <c r="C263" s="50" t="str">
        <f>RawList!B232</f>
        <v>BeagleBone Black Iot/Base Station</v>
      </c>
      <c r="D263" s="50" t="str">
        <f>RawList!C232</f>
        <v>Adafruit</v>
      </c>
      <c r="E263" s="50" t="str">
        <f>RawList!H232</f>
        <v>4.3" LCD Capacitive Touchscreen Display Cape for BeagleBone</v>
      </c>
      <c r="F263" s="50" t="str">
        <f>RawList!D232</f>
        <v>3396</v>
      </c>
      <c r="G263" s="137">
        <f>RawList!E232</f>
        <v>1</v>
      </c>
      <c r="H263" s="50" t="str">
        <f>IF(EquipmentTable[[#This Row],[Units]]&gt;0,"Quantity &gt; 0 Items","Quantity = 0 Items")</f>
        <v>Quantity &gt; 0 Items</v>
      </c>
      <c r="I263" s="141">
        <f>RawList!J232</f>
        <v>49.95</v>
      </c>
      <c r="J263" s="24">
        <f>VALUE(EquipmentTable[[#This Row],[Units]]*EquipmentTable[[#This Row],[Unit
 Price]])</f>
        <v>49.95</v>
      </c>
      <c r="K263" s="50">
        <f>RawList!G232</f>
        <v>0</v>
      </c>
      <c r="L263" s="50"/>
      <c r="M263" s="50">
        <f>RawList!F232</f>
        <v>0</v>
      </c>
    </row>
    <row r="264" spans="2:13" hidden="1" x14ac:dyDescent="0.3">
      <c r="B264" s="50" t="str">
        <f>RawList!A233</f>
        <v>Smart-Home/IoT Network Integration (Fixed)</v>
      </c>
      <c r="C264" s="50" t="str">
        <f>RawList!B233</f>
        <v>BeagleBone Black Iot/Base Station</v>
      </c>
      <c r="D264" s="50" t="str">
        <f>RawList!C233</f>
        <v>Adafruit</v>
      </c>
      <c r="E264" s="50" t="str">
        <f>RawList!H233</f>
        <v>Adafruit BBB Case - Enclosure for Beagle Bone Black</v>
      </c>
      <c r="F264" s="50" t="str">
        <f>RawList!D233</f>
        <v>1555</v>
      </c>
      <c r="G264" s="137">
        <f>RawList!E233</f>
        <v>0</v>
      </c>
      <c r="H264" s="50" t="str">
        <f>IF(EquipmentTable[[#This Row],[Units]]&gt;0,"Quantity &gt; 0 Items","Quantity = 0 Items")</f>
        <v>Quantity = 0 Items</v>
      </c>
      <c r="I264" s="141">
        <f>RawList!J233</f>
        <v>9.9499999999999993</v>
      </c>
      <c r="J264" s="24">
        <f>VALUE(EquipmentTable[[#This Row],[Units]]*EquipmentTable[[#This Row],[Unit
 Price]])</f>
        <v>0</v>
      </c>
      <c r="K264" s="50">
        <f>RawList!G233</f>
        <v>0</v>
      </c>
      <c r="L264" s="50"/>
      <c r="M264" s="50">
        <f>RawList!F233</f>
        <v>0</v>
      </c>
    </row>
    <row r="265" spans="2:13" hidden="1" x14ac:dyDescent="0.3">
      <c r="B265" s="50" t="str">
        <f>RawList!A234</f>
        <v>Smart-Home/IoT Network Integration (Fixed)</v>
      </c>
      <c r="C265" s="50" t="str">
        <f>RawList!B234</f>
        <v>BeagleBone Black Iot/Base Station</v>
      </c>
      <c r="D265" s="50" t="str">
        <f>RawList!C234</f>
        <v>Adafruit</v>
      </c>
      <c r="E265" s="50" t="str">
        <f>RawList!H234</f>
        <v>Adafruit Bone Box - Enclosure for Beagle Bone/Beagle Bone Black</v>
      </c>
      <c r="F265" s="50" t="str">
        <f>RawList!D234</f>
        <v>699</v>
      </c>
      <c r="G265" s="137">
        <f>RawList!E234</f>
        <v>0</v>
      </c>
      <c r="H265" s="50" t="str">
        <f>IF(EquipmentTable[[#This Row],[Units]]&gt;0,"Quantity &gt; 0 Items","Quantity = 0 Items")</f>
        <v>Quantity = 0 Items</v>
      </c>
      <c r="I265" s="141">
        <f>RawList!J234</f>
        <v>19.95</v>
      </c>
      <c r="J265" s="24">
        <f>VALUE(EquipmentTable[[#This Row],[Units]]*EquipmentTable[[#This Row],[Unit
 Price]])</f>
        <v>0</v>
      </c>
      <c r="K265" s="50">
        <f>RawList!G234</f>
        <v>0</v>
      </c>
      <c r="L265" s="50"/>
      <c r="M265" s="50">
        <f>RawList!F234</f>
        <v>0</v>
      </c>
    </row>
    <row r="266" spans="2:13" hidden="1" x14ac:dyDescent="0.3">
      <c r="B266" s="50" t="str">
        <f>RawList!A235</f>
        <v>Smart-Home/IoT Network Integration (Fixed)</v>
      </c>
      <c r="C266" s="50" t="str">
        <f>RawList!B235</f>
        <v>BeagleBone Black Iot/Base Station</v>
      </c>
      <c r="D266" s="50" t="str">
        <f>RawList!C235</f>
        <v>Adafruit</v>
      </c>
      <c r="E266" s="50" t="str">
        <f>RawList!H235</f>
        <v>Adafruit Proto Cape Kit for Beagle Bone &amp; Beagle Bone Black</v>
      </c>
      <c r="F266" s="50" t="str">
        <f>RawList!D235</f>
        <v>572</v>
      </c>
      <c r="G266" s="137">
        <f>RawList!E235</f>
        <v>1</v>
      </c>
      <c r="H266" s="50" t="str">
        <f>IF(EquipmentTable[[#This Row],[Units]]&gt;0,"Quantity &gt; 0 Items","Quantity = 0 Items")</f>
        <v>Quantity &gt; 0 Items</v>
      </c>
      <c r="I266" s="141">
        <f>RawList!J235</f>
        <v>9.9499999999999993</v>
      </c>
      <c r="J266" s="24">
        <f>VALUE(EquipmentTable[[#This Row],[Units]]*EquipmentTable[[#This Row],[Unit
 Price]])</f>
        <v>9.9499999999999993</v>
      </c>
      <c r="K266" s="50">
        <f>RawList!G235</f>
        <v>0</v>
      </c>
      <c r="L266" s="50"/>
      <c r="M266" s="50">
        <f>RawList!F235</f>
        <v>0</v>
      </c>
    </row>
    <row r="267" spans="2:13" hidden="1" x14ac:dyDescent="0.3">
      <c r="B267" s="50" t="str">
        <f>RawList!A236</f>
        <v>Smart-Home/IoT Network Integration (Fixed)</v>
      </c>
      <c r="C267" s="50" t="str">
        <f>RawList!B236</f>
        <v>BeagleBone Black Iot/Base Station</v>
      </c>
      <c r="D267" s="50" t="str">
        <f>RawList!C236</f>
        <v>Adafruit</v>
      </c>
      <c r="E267" s="50" t="str">
        <f>RawList!H236</f>
        <v>Adafruit Proto Plate for Beagle Bone &amp; Beagle Bone Black</v>
      </c>
      <c r="F267" s="50" t="str">
        <f>RawList!D236</f>
        <v>702</v>
      </c>
      <c r="G267" s="137">
        <f>RawList!E236</f>
        <v>0</v>
      </c>
      <c r="H267" s="50" t="str">
        <f>IF(EquipmentTable[[#This Row],[Units]]&gt;0,"Quantity &gt; 0 Items","Quantity = 0 Items")</f>
        <v>Quantity = 0 Items</v>
      </c>
      <c r="I267" s="141">
        <f>RawList!J236</f>
        <v>7.95</v>
      </c>
      <c r="J267" s="24">
        <f>VALUE(EquipmentTable[[#This Row],[Units]]*EquipmentTable[[#This Row],[Unit
 Price]])</f>
        <v>0</v>
      </c>
      <c r="K267" s="50">
        <f>RawList!G236</f>
        <v>0</v>
      </c>
      <c r="L267" s="50"/>
      <c r="M267" s="50">
        <f>RawList!F236</f>
        <v>0</v>
      </c>
    </row>
    <row r="268" spans="2:13" hidden="1" x14ac:dyDescent="0.3">
      <c r="B268" s="50" t="str">
        <f>RawList!A237</f>
        <v>Smart-Home/IoT Network Integration (Fixed)</v>
      </c>
      <c r="C268" s="50" t="str">
        <f>RawList!B237</f>
        <v>BeagleBone Black Iot/Base Station</v>
      </c>
      <c r="D268" s="50" t="str">
        <f>RawList!C237</f>
        <v>Adafruit</v>
      </c>
      <c r="E268" s="50" t="str">
        <f>RawList!H237</f>
        <v>Anidees Beaglebone Black Case - Black Aluminum with Smoke Top</v>
      </c>
      <c r="F268" s="50" t="str">
        <f>RawList!D237</f>
        <v>2627</v>
      </c>
      <c r="G268" s="137">
        <f>RawList!E237</f>
        <v>1</v>
      </c>
      <c r="H268" s="50" t="str">
        <f>IF(EquipmentTable[[#This Row],[Units]]&gt;0,"Quantity &gt; 0 Items","Quantity = 0 Items")</f>
        <v>Quantity &gt; 0 Items</v>
      </c>
      <c r="I268" s="141">
        <f>RawList!J237</f>
        <v>39.950000000000003</v>
      </c>
      <c r="J268" s="24">
        <f>VALUE(EquipmentTable[[#This Row],[Units]]*EquipmentTable[[#This Row],[Unit
 Price]])</f>
        <v>39.950000000000003</v>
      </c>
      <c r="K268" s="50">
        <f>RawList!G237</f>
        <v>0</v>
      </c>
      <c r="L268" s="50"/>
      <c r="M268" s="50">
        <f>RawList!F237</f>
        <v>0</v>
      </c>
    </row>
    <row r="269" spans="2:13" hidden="1" x14ac:dyDescent="0.3">
      <c r="B269" s="50" t="str">
        <f>RawList!A238</f>
        <v>Smart-Home/IoT Network Integration (Fixed)</v>
      </c>
      <c r="C269" s="50" t="str">
        <f>RawList!B238</f>
        <v>BeagleBone Black Iot/Base Station</v>
      </c>
      <c r="D269" s="50" t="str">
        <f>RawList!C238</f>
        <v>Adafruit</v>
      </c>
      <c r="E269" s="50" t="str">
        <f>RawList!H238</f>
        <v>Anidees BeagleBoneBlack Case - Silver Aluminum with Crystal Top</v>
      </c>
      <c r="F269" s="50" t="str">
        <f>RawList!D238</f>
        <v>2628</v>
      </c>
      <c r="G269" s="137">
        <f>RawList!E238</f>
        <v>0</v>
      </c>
      <c r="H269" s="50" t="str">
        <f>IF(EquipmentTable[[#This Row],[Units]]&gt;0,"Quantity &gt; 0 Items","Quantity = 0 Items")</f>
        <v>Quantity = 0 Items</v>
      </c>
      <c r="I269" s="141">
        <f>RawList!J238</f>
        <v>39.950000000000003</v>
      </c>
      <c r="J269" s="24">
        <f>VALUE(EquipmentTable[[#This Row],[Units]]*EquipmentTable[[#This Row],[Unit
 Price]])</f>
        <v>0</v>
      </c>
      <c r="K269" s="50">
        <f>RawList!G238</f>
        <v>0</v>
      </c>
      <c r="L269" s="50"/>
      <c r="M269" s="50">
        <f>RawList!F238</f>
        <v>0</v>
      </c>
    </row>
    <row r="270" spans="2:13" hidden="1" x14ac:dyDescent="0.3">
      <c r="B270" s="50" t="str">
        <f>RawList!A240</f>
        <v>Smart-Home/IoT Network Integration (Fixed)</v>
      </c>
      <c r="C270" s="50" t="str">
        <f>RawList!B240</f>
        <v>mBed Platform Base Station</v>
      </c>
      <c r="D270" s="50" t="str">
        <f>RawList!C240</f>
        <v>SparkFun</v>
      </c>
      <c r="E270" s="50" t="str">
        <f>RawList!H240</f>
        <v>mbed - LPC1768 (Cortex-M3)</v>
      </c>
      <c r="F270" s="50" t="str">
        <f>RawList!D240</f>
        <v>DEV-09564</v>
      </c>
      <c r="G270" s="137">
        <f>RawList!E240</f>
        <v>1</v>
      </c>
      <c r="H270" s="50" t="str">
        <f>IF(EquipmentTable[[#This Row],[Units]]&gt;0,"Quantity &gt; 0 Items","Quantity = 0 Items")</f>
        <v>Quantity &gt; 0 Items</v>
      </c>
      <c r="I270" s="57">
        <f>RawList!J240</f>
        <v>54.95</v>
      </c>
      <c r="J270" s="24">
        <f>VALUE(EquipmentTable[[#This Row],[Units]]*EquipmentTable[[#This Row],[Unit
 Price]])</f>
        <v>54.95</v>
      </c>
      <c r="K270" s="50" t="str">
        <f>RawList!G240</f>
        <v>https://cdn.sparkfun.com/r/92-92/assets/parts/3/3/3/6/09564-05.jpg</v>
      </c>
      <c r="L270" s="50"/>
      <c r="M270" s="50" t="str">
        <f>RawList!F240</f>
        <v>https://www.sparkfun.com/products/9564</v>
      </c>
    </row>
    <row r="271" spans="2:13" hidden="1" x14ac:dyDescent="0.3">
      <c r="B271" s="50" t="str">
        <f>RawList!A241</f>
        <v>Smart-Home/IoT Network Integration (Fixed)</v>
      </c>
      <c r="C271" s="50" t="str">
        <f>RawList!B241</f>
        <v>mBed Platform Base Station</v>
      </c>
      <c r="D271" s="50" t="str">
        <f>RawList!C241</f>
        <v>SparkFun</v>
      </c>
      <c r="E271" s="50" t="str">
        <f>RawList!H241</f>
        <v>mbed Application Board</v>
      </c>
      <c r="F271" s="50" t="str">
        <f>RawList!D241</f>
        <v>DEV-11695</v>
      </c>
      <c r="G271" s="137">
        <f>RawList!E241</f>
        <v>0</v>
      </c>
      <c r="H271" s="50" t="str">
        <f>IF(EquipmentTable[[#This Row],[Units]]&gt;0,"Quantity &gt; 0 Items","Quantity = 0 Items")</f>
        <v>Quantity = 0 Items</v>
      </c>
      <c r="I271" s="57">
        <f>RawList!J241</f>
        <v>59.95</v>
      </c>
      <c r="J271" s="24">
        <f>VALUE(EquipmentTable[[#This Row],[Units]]*EquipmentTable[[#This Row],[Unit
 Price]])</f>
        <v>0</v>
      </c>
      <c r="K271" s="50" t="str">
        <f>RawList!G241</f>
        <v>https://cdn.sparkfun.com/r/92-92/assets/parts/7/8/5/9/11695-01.jpg</v>
      </c>
      <c r="L271" s="50"/>
      <c r="M271" s="50" t="str">
        <f>RawList!F241</f>
        <v>https://www.sparkfun.com/products/11695</v>
      </c>
    </row>
    <row r="272" spans="2:13" hidden="1" x14ac:dyDescent="0.3">
      <c r="B272" s="50" t="str">
        <f>RawList!A242</f>
        <v>Smart-Home/IoT Network Integration (Fixed)</v>
      </c>
      <c r="C272" s="50" t="str">
        <f>RawList!B242</f>
        <v>Intel Edison Iot/Base Station</v>
      </c>
      <c r="D272" s="50" t="str">
        <f>RawList!C242</f>
        <v>SparkFun</v>
      </c>
      <c r="E272" s="50" t="str">
        <f>RawList!H242</f>
        <v>IntelÂ® Edison and Arduino Breakout Kit</v>
      </c>
      <c r="F272" s="50" t="str">
        <f>RawList!D242</f>
        <v>DEV-13097</v>
      </c>
      <c r="G272" s="137">
        <f>RawList!E242</f>
        <v>1</v>
      </c>
      <c r="H272" s="50" t="str">
        <f>IF(EquipmentTable[[#This Row],[Units]]&gt;0,"Quantity &gt; 0 Items","Quantity = 0 Items")</f>
        <v>Quantity &gt; 0 Items</v>
      </c>
      <c r="I272" s="57">
        <f>RawList!J242</f>
        <v>99.95</v>
      </c>
      <c r="J272" s="24">
        <f>VALUE(EquipmentTable[[#This Row],[Units]]*EquipmentTable[[#This Row],[Unit
 Price]])</f>
        <v>99.95</v>
      </c>
      <c r="K272" s="50" t="str">
        <f>RawList!G242</f>
        <v>https://cdn.sparkfun.com/r/92-92/assets/parts/1/0/1/3/9/13097-06.jpg</v>
      </c>
      <c r="L272" s="50"/>
      <c r="M272" s="50" t="str">
        <f>RawList!F242</f>
        <v>https://www.sparkfun.com/products/13097</v>
      </c>
    </row>
    <row r="273" spans="2:13" hidden="1" x14ac:dyDescent="0.3">
      <c r="B273" s="50" t="str">
        <f>RawList!A243</f>
        <v>Smart-Home/IoT Network Integration (Fixed)</v>
      </c>
      <c r="C273" s="50" t="str">
        <f>RawList!B243</f>
        <v>Intel Edison Iot/Base Station</v>
      </c>
      <c r="D273" s="50" t="str">
        <f>RawList!C243</f>
        <v>SparkFun</v>
      </c>
      <c r="E273" s="50" t="str">
        <f>RawList!H243</f>
        <v>SparkFun Block for IntelÂ® Edison - Base</v>
      </c>
      <c r="F273" s="50" t="str">
        <f>RawList!D243</f>
        <v>DEV-13045</v>
      </c>
      <c r="G273" s="137">
        <f>RawList!E243</f>
        <v>1</v>
      </c>
      <c r="H273" s="50" t="str">
        <f>IF(EquipmentTable[[#This Row],[Units]]&gt;0,"Quantity &gt; 0 Items","Quantity = 0 Items")</f>
        <v>Quantity &gt; 0 Items</v>
      </c>
      <c r="I273" s="57">
        <f>RawList!J243</f>
        <v>19.95</v>
      </c>
      <c r="J273" s="24">
        <f>VALUE(EquipmentTable[[#This Row],[Units]]*EquipmentTable[[#This Row],[Unit
 Price]])</f>
        <v>19.95</v>
      </c>
      <c r="K273" s="50" t="str">
        <f>RawList!G243</f>
        <v>https://cdn.sparkfun.com/r/92-92/assets/parts/1/0/0/4/7/13045-01.jpg</v>
      </c>
      <c r="L273" s="50"/>
      <c r="M273" s="50" t="str">
        <f>RawList!F243</f>
        <v>https://www.sparkfun.com/products/13045</v>
      </c>
    </row>
    <row r="274" spans="2:13" hidden="1" x14ac:dyDescent="0.3">
      <c r="B274" s="50" t="str">
        <f>RawList!A244</f>
        <v>Smart-Home/IoT Network Integration (Fixed)</v>
      </c>
      <c r="C274" s="50" t="str">
        <f>RawList!B244</f>
        <v>Intel Edison Iot/Base Station</v>
      </c>
      <c r="D274" s="50" t="str">
        <f>RawList!C244</f>
        <v>SparkFun</v>
      </c>
      <c r="E274" s="50" t="str">
        <f>RawList!H244</f>
        <v>SparkFun Block for IntelÂ® Edison - GPIO</v>
      </c>
      <c r="F274" s="50" t="str">
        <f>RawList!D244</f>
        <v>DEV-13038</v>
      </c>
      <c r="G274" s="137">
        <f>RawList!E244</f>
        <v>1</v>
      </c>
      <c r="H274" s="50" t="str">
        <f>IF(EquipmentTable[[#This Row],[Units]]&gt;0,"Quantity &gt; 0 Items","Quantity = 0 Items")</f>
        <v>Quantity &gt; 0 Items</v>
      </c>
      <c r="I274" s="57">
        <f>RawList!J244</f>
        <v>9.9499999999999993</v>
      </c>
      <c r="J274" s="24">
        <f>VALUE(EquipmentTable[[#This Row],[Units]]*EquipmentTable[[#This Row],[Unit
 Price]])</f>
        <v>9.9499999999999993</v>
      </c>
      <c r="K274" s="50" t="str">
        <f>RawList!G244</f>
        <v>https://cdn.sparkfun.com/r/92-92/assets/parts/1/0/0/3/9/13038-04.jpg</v>
      </c>
      <c r="L274" s="50"/>
      <c r="M274" s="50" t="str">
        <f>RawList!F244</f>
        <v>https://www.sparkfun.com/products/13038</v>
      </c>
    </row>
    <row r="275" spans="2:13" hidden="1" x14ac:dyDescent="0.3">
      <c r="B275" s="50" t="str">
        <f>RawList!A245</f>
        <v>Smart-Home/IoT Network Integration (Fixed)</v>
      </c>
      <c r="C275" s="50" t="str">
        <f>RawList!B245</f>
        <v>Intel Edison Iot/Base Station</v>
      </c>
      <c r="D275" s="50" t="str">
        <f>RawList!C245</f>
        <v>SparkFun</v>
      </c>
      <c r="E275" s="50" t="str">
        <f>RawList!H245</f>
        <v>SparkFun Block for IntelÂ® Edison - I2C</v>
      </c>
      <c r="F275" s="50" t="str">
        <f>RawList!D245</f>
        <v>DEV-13034</v>
      </c>
      <c r="G275" s="137">
        <f>RawList!E245</f>
        <v>1</v>
      </c>
      <c r="H275" s="50" t="str">
        <f>IF(EquipmentTable[[#This Row],[Units]]&gt;0,"Quantity &gt; 0 Items","Quantity = 0 Items")</f>
        <v>Quantity &gt; 0 Items</v>
      </c>
      <c r="I275" s="57">
        <f>RawList!J245</f>
        <v>9.9499999999999993</v>
      </c>
      <c r="J275" s="24">
        <f>VALUE(EquipmentTable[[#This Row],[Units]]*EquipmentTable[[#This Row],[Unit
 Price]])</f>
        <v>9.9499999999999993</v>
      </c>
      <c r="K275" s="50" t="str">
        <f>RawList!G245</f>
        <v>https://cdn.sparkfun.com/r/92-92/assets/parts/1/0/0/3/5/13034-01_1.jpg</v>
      </c>
      <c r="L275" s="50"/>
      <c r="M275" s="50" t="str">
        <f>RawList!F245</f>
        <v>https://www.sparkfun.com/products/13034</v>
      </c>
    </row>
    <row r="276" spans="2:13" hidden="1" x14ac:dyDescent="0.3">
      <c r="B276" s="50" t="str">
        <f>RawList!A246</f>
        <v>Smart-Home/IoT Network Integration (Fixed)</v>
      </c>
      <c r="C276" s="50" t="str">
        <f>RawList!B246</f>
        <v>Intel Edison Iot/Base Station</v>
      </c>
      <c r="D276" s="50" t="str">
        <f>RawList!C246</f>
        <v>SparkFun</v>
      </c>
      <c r="E276" s="50" t="str">
        <f>RawList!H246</f>
        <v>SparkFun Block for IntelÂ® Edison - microSD</v>
      </c>
      <c r="F276" s="50" t="str">
        <f>RawList!D246</f>
        <v>DEV-13041</v>
      </c>
      <c r="G276" s="137">
        <f>RawList!E246</f>
        <v>1</v>
      </c>
      <c r="H276" s="50" t="str">
        <f>IF(EquipmentTable[[#This Row],[Units]]&gt;0,"Quantity &gt; 0 Items","Quantity = 0 Items")</f>
        <v>Quantity &gt; 0 Items</v>
      </c>
      <c r="I276" s="57">
        <f>RawList!J246</f>
        <v>9.9499999999999993</v>
      </c>
      <c r="J276" s="24">
        <f>VALUE(EquipmentTable[[#This Row],[Units]]*EquipmentTable[[#This Row],[Unit
 Price]])</f>
        <v>9.9499999999999993</v>
      </c>
      <c r="K276" s="50" t="str">
        <f>RawList!G246</f>
        <v>https://cdn.sparkfun.com/r/92-92/assets/parts/1/0/0/4/2/13041-01.jpg</v>
      </c>
      <c r="L276" s="50"/>
      <c r="M276" s="50" t="str">
        <f>RawList!F246</f>
        <v>https://www.sparkfun.com/products/13041</v>
      </c>
    </row>
    <row r="277" spans="2:13" hidden="1" x14ac:dyDescent="0.3">
      <c r="B277" s="50" t="str">
        <f>RawList!A247</f>
        <v>Smart-Home/IoT Network Integration (Fixed)</v>
      </c>
      <c r="C277" s="50" t="str">
        <f>RawList!B247</f>
        <v>Intel Edison Iot/Base Station</v>
      </c>
      <c r="D277" s="50" t="str">
        <f>RawList!C247</f>
        <v>SparkFun</v>
      </c>
      <c r="E277" s="50" t="str">
        <f>RawList!H247</f>
        <v>SparkFun Block for IntelÂ® Edison - Power</v>
      </c>
      <c r="F277" s="50" t="str">
        <f>RawList!D247</f>
        <v>DEV-13727</v>
      </c>
      <c r="G277" s="137">
        <f>RawList!E247</f>
        <v>1</v>
      </c>
      <c r="H277" s="50" t="str">
        <f>IF(EquipmentTable[[#This Row],[Units]]&gt;0,"Quantity &gt; 0 Items","Quantity = 0 Items")</f>
        <v>Quantity &gt; 0 Items</v>
      </c>
      <c r="I277" s="57">
        <f>RawList!J247</f>
        <v>9.9499999999999993</v>
      </c>
      <c r="J277" s="24">
        <f>VALUE(EquipmentTable[[#This Row],[Units]]*EquipmentTable[[#This Row],[Unit
 Price]])</f>
        <v>9.9499999999999993</v>
      </c>
      <c r="K277" s="50" t="str">
        <f>RawList!G247</f>
        <v>https://cdn.sparkfun.com/r/92-92/assets/parts/1/1/2/3/7/13727-01.jpg</v>
      </c>
      <c r="L277" s="50"/>
      <c r="M277" s="50" t="str">
        <f>RawList!F247</f>
        <v>https://www.sparkfun.com/products/13727</v>
      </c>
    </row>
    <row r="278" spans="2:13" hidden="1" x14ac:dyDescent="0.3">
      <c r="B278" s="50" t="str">
        <f>RawList!A248</f>
        <v>Smart-Home/IoT Network Integration (Fixed)</v>
      </c>
      <c r="C278" s="50" t="str">
        <f>RawList!B248</f>
        <v>Intel Edison Iot/Base Station</v>
      </c>
      <c r="D278" s="50" t="str">
        <f>RawList!C248</f>
        <v>SparkFun</v>
      </c>
      <c r="E278" s="50" t="str">
        <f>RawList!H248</f>
        <v>SparkFun Block for IntelÂ® Edison - OLED</v>
      </c>
      <c r="F278" s="50" t="str">
        <f>RawList!D248</f>
        <v>DEV-13035</v>
      </c>
      <c r="G278" s="137">
        <f>RawList!E248</f>
        <v>1</v>
      </c>
      <c r="H278" s="50" t="str">
        <f>IF(EquipmentTable[[#This Row],[Units]]&gt;0,"Quantity &gt; 0 Items","Quantity = 0 Items")</f>
        <v>Quantity &gt; 0 Items</v>
      </c>
      <c r="I278" s="57">
        <f>RawList!J248</f>
        <v>14.95</v>
      </c>
      <c r="J278" s="24">
        <f>VALUE(EquipmentTable[[#This Row],[Units]]*EquipmentTable[[#This Row],[Unit
 Price]])</f>
        <v>14.95</v>
      </c>
      <c r="K278" s="50" t="str">
        <f>RawList!G248</f>
        <v>https://cdn.sparkfun.com/r/92-92/assets/parts/1/0/0/3/6/13035-01.jpg</v>
      </c>
      <c r="L278" s="50"/>
      <c r="M278" s="50" t="str">
        <f>RawList!F248</f>
        <v>https://www.sparkfun.com/products/13035</v>
      </c>
    </row>
    <row r="279" spans="2:13" hidden="1" x14ac:dyDescent="0.3">
      <c r="B279" s="50" t="str">
        <f>RawList!A249</f>
        <v>Smart-Home/IoT Network Integration (Fixed)</v>
      </c>
      <c r="C279" s="50" t="str">
        <f>RawList!B249</f>
        <v>Intel Edison Iot/Base Station</v>
      </c>
      <c r="D279" s="50" t="str">
        <f>RawList!C249</f>
        <v>SparkFun</v>
      </c>
      <c r="E279" s="50" t="str">
        <f>RawList!H249</f>
        <v>SparkFun Block for Intel Edison - ADC</v>
      </c>
      <c r="F279" s="50" t="str">
        <f>RawList!D249</f>
        <v>DEV-13770</v>
      </c>
      <c r="G279" s="137">
        <f>RawList!E249</f>
        <v>1</v>
      </c>
      <c r="H279" s="50" t="str">
        <f>IF(EquipmentTable[[#This Row],[Units]]&gt;0,"Quantity &gt; 0 Items","Quantity = 0 Items")</f>
        <v>Quantity &gt; 0 Items</v>
      </c>
      <c r="I279" s="57">
        <f>RawList!J249</f>
        <v>9.9499999999999993</v>
      </c>
      <c r="J279" s="24">
        <f>VALUE(EquipmentTable[[#This Row],[Units]]*EquipmentTable[[#This Row],[Unit
 Price]])</f>
        <v>9.9499999999999993</v>
      </c>
      <c r="K279" s="50" t="str">
        <f>RawList!G249</f>
        <v>https://cdn.sparkfun.com/r/92-92/assets/parts/1/1/3/2/1/13770-00.jpg</v>
      </c>
      <c r="L279" s="50"/>
      <c r="M279" s="50" t="str">
        <f>RawList!F249</f>
        <v>https://www.sparkfun.com/products/13770</v>
      </c>
    </row>
    <row r="280" spans="2:13" hidden="1" x14ac:dyDescent="0.3">
      <c r="B280" s="50" t="str">
        <f>RawList!A250</f>
        <v>Smart-Home/IoT Network Integration (Fixed)</v>
      </c>
      <c r="C280" s="50" t="str">
        <f>RawList!B250</f>
        <v>Intel Edison Iot/Base Station</v>
      </c>
      <c r="D280" s="50" t="str">
        <f>RawList!C250</f>
        <v>SparkFun</v>
      </c>
      <c r="E280" s="50" t="str">
        <f>RawList!H250</f>
        <v>IntelÂ® Edison Hardware Pack</v>
      </c>
      <c r="F280" s="50" t="str">
        <f>RawList!D250</f>
        <v>COM-13187</v>
      </c>
      <c r="G280" s="137">
        <f>RawList!E250</f>
        <v>4</v>
      </c>
      <c r="H280" s="50" t="str">
        <f>IF(EquipmentTable[[#This Row],[Units]]&gt;0,"Quantity &gt; 0 Items","Quantity = 0 Items")</f>
        <v>Quantity &gt; 0 Items</v>
      </c>
      <c r="I280" s="57">
        <f>RawList!J250</f>
        <v>2.95</v>
      </c>
      <c r="J280" s="24">
        <f>VALUE(EquipmentTable[[#This Row],[Units]]*EquipmentTable[[#This Row],[Unit
 Price]])</f>
        <v>11.8</v>
      </c>
      <c r="K280" s="50" t="str">
        <f>RawList!G250</f>
        <v>https://cdn.sparkfun.com/r/92-92/assets/parts/1/0/3/2/4/13187-01.jpg</v>
      </c>
      <c r="L280" s="50"/>
      <c r="M280" s="50" t="str">
        <f>RawList!F250</f>
        <v>https://www.sparkfun.com/products/13187</v>
      </c>
    </row>
    <row r="281" spans="2:13" hidden="1" x14ac:dyDescent="0.3">
      <c r="B281" s="50" t="str">
        <f>RawList!A250</f>
        <v>Smart-Home/IoT Network Integration (Fixed)</v>
      </c>
      <c r="C281" s="50" t="str">
        <f>RawList!B250</f>
        <v>Intel Edison Iot/Base Station</v>
      </c>
      <c r="D281" s="50" t="str">
        <f>RawList!C250</f>
        <v>SparkFun</v>
      </c>
      <c r="E281" s="50" t="str">
        <f>RawList!H250</f>
        <v>IntelÂ® Edison Hardware Pack</v>
      </c>
      <c r="F281" s="50" t="str">
        <f>RawList!D250</f>
        <v>COM-13187</v>
      </c>
      <c r="G281" s="137">
        <f>RawList!E250</f>
        <v>4</v>
      </c>
      <c r="H281" s="50" t="str">
        <f>IF(EquipmentTable[[#This Row],[Units]]&gt;0,"Quantity &gt; 0 Items","Quantity = 0 Items")</f>
        <v>Quantity &gt; 0 Items</v>
      </c>
      <c r="I281" s="141">
        <f>RawList!J250</f>
        <v>2.95</v>
      </c>
      <c r="J281" s="24">
        <f>VALUE(EquipmentTable[[#This Row],[Units]]*EquipmentTable[[#This Row],[Unit
 Price]])</f>
        <v>11.8</v>
      </c>
      <c r="K281" s="50" t="str">
        <f>RawList!G251</f>
        <v>https://cdn.sparkfun.com/r/92-92/assets/parts/1/2/4/6/8/14438-01.jpg</v>
      </c>
      <c r="L281" s="50"/>
      <c r="M281" s="50" t="str">
        <f>RawList!F251</f>
        <v>https://www.sparkfun.com/products/14438</v>
      </c>
    </row>
    <row r="282" spans="2:13" hidden="1" x14ac:dyDescent="0.3">
      <c r="B282" s="50" t="str">
        <f>RawList!A251</f>
        <v>Smart-Home/IoT Network Integration (Fixed)</v>
      </c>
      <c r="C282" s="50" t="str">
        <f>RawList!B251</f>
        <v>Onion Omega2+ + Arduino Base Station</v>
      </c>
      <c r="D282" s="50" t="str">
        <f>RawList!C251</f>
        <v>SparkFun</v>
      </c>
      <c r="E282" s="50" t="str">
        <f>RawList!H251</f>
        <v>Arduino Dock R2 for Onion Omega</v>
      </c>
      <c r="F282" s="50" t="str">
        <f>RawList!D251</f>
        <v>DEV-14438</v>
      </c>
      <c r="G282" s="137">
        <f>RawList!E251</f>
        <v>1</v>
      </c>
      <c r="H282" s="50" t="str">
        <f>IF(EquipmentTable[[#This Row],[Units]]&gt;0,"Quantity &gt; 0 Items","Quantity = 0 Items")</f>
        <v>Quantity &gt; 0 Items</v>
      </c>
      <c r="I282" s="141">
        <f>RawList!J251</f>
        <v>20</v>
      </c>
      <c r="J282" s="24">
        <f>VALUE(EquipmentTable[[#This Row],[Units]]*EquipmentTable[[#This Row],[Unit
 Price]])</f>
        <v>20</v>
      </c>
      <c r="K282" s="50" t="str">
        <f>RawList!G251</f>
        <v>https://cdn.sparkfun.com/r/92-92/assets/parts/1/2/4/6/8/14438-01.jpg</v>
      </c>
      <c r="L282" s="50"/>
      <c r="M282" s="50" t="str">
        <f>RawList!F251</f>
        <v>https://www.sparkfun.com/products/14438</v>
      </c>
    </row>
    <row r="283" spans="2:13" hidden="1" x14ac:dyDescent="0.3">
      <c r="B283" s="50" t="str">
        <f>RawList!A252</f>
        <v>Smart-Home/IoT Network Integration (Fixed)</v>
      </c>
      <c r="C283" s="50" t="str">
        <f>RawList!B252</f>
        <v>Onion Omega2+ + Arduino Base Station</v>
      </c>
      <c r="D283" s="50" t="str">
        <f>RawList!C252</f>
        <v>SparkFun</v>
      </c>
      <c r="E283" s="50" t="str">
        <f>RawList!H252</f>
        <v>Onion Omega2+ IoT Computer</v>
      </c>
      <c r="F283" s="50" t="str">
        <f>RawList!D252</f>
        <v>DEV-14431</v>
      </c>
      <c r="G283" s="137">
        <f>RawList!E252</f>
        <v>1</v>
      </c>
      <c r="H283" s="50" t="str">
        <f>IF(EquipmentTable[[#This Row],[Units]]&gt;0,"Quantity &gt; 0 Items","Quantity = 0 Items")</f>
        <v>Quantity &gt; 0 Items</v>
      </c>
      <c r="I283" s="141">
        <f>RawList!J252</f>
        <v>9</v>
      </c>
      <c r="J283" s="24">
        <f>VALUE(EquipmentTable[[#This Row],[Units]]*EquipmentTable[[#This Row],[Unit
 Price]])</f>
        <v>9</v>
      </c>
      <c r="K283" s="50" t="str">
        <f>RawList!G252</f>
        <v>https://cdn.sparkfun.com/r/92-92/assets/parts/1/2/4/6/1/14431-01.jpg</v>
      </c>
      <c r="L283" s="50"/>
      <c r="M283" s="50" t="str">
        <f>RawList!F252</f>
        <v>https://www.sparkfun.com/products/14431</v>
      </c>
    </row>
    <row r="284" spans="2:13" hidden="1" x14ac:dyDescent="0.3">
      <c r="B284" s="50" t="str">
        <f>RawList!A253</f>
        <v>Smart-Home/IoT Network Integration (Fixed)</v>
      </c>
      <c r="C284" s="50" t="str">
        <f>RawList!B253</f>
        <v>Onion Omega2+ + Arduino Base Station</v>
      </c>
      <c r="D284" s="50" t="str">
        <f>RawList!C253</f>
        <v>SparkFun</v>
      </c>
      <c r="E284" s="50" t="str">
        <f>RawList!H253</f>
        <v>Proto Expansion Board for Onion Omega</v>
      </c>
      <c r="F284" s="50" t="str">
        <f>RawList!D253</f>
        <v>DEV-14443</v>
      </c>
      <c r="G284" s="137">
        <f>RawList!E253</f>
        <v>1</v>
      </c>
      <c r="H284" s="50" t="str">
        <f>IF(EquipmentTable[[#This Row],[Units]]&gt;0,"Quantity &gt; 0 Items","Quantity = 0 Items")</f>
        <v>Quantity &gt; 0 Items</v>
      </c>
      <c r="I284" s="141">
        <f>RawList!J253</f>
        <v>5</v>
      </c>
      <c r="J284" s="24">
        <f>VALUE(EquipmentTable[[#This Row],[Units]]*EquipmentTable[[#This Row],[Unit
 Price]])</f>
        <v>5</v>
      </c>
      <c r="K284" s="50" t="str">
        <f>RawList!G253</f>
        <v>https://cdn.sparkfun.com/r/92-92/assets/parts/1/2/4/7/3/14443-01.jpg</v>
      </c>
      <c r="L284" s="50"/>
      <c r="M284" s="50" t="str">
        <f>RawList!F253</f>
        <v>https://www.sparkfun.com/products/14443</v>
      </c>
    </row>
    <row r="285" spans="2:13" hidden="1" x14ac:dyDescent="0.3">
      <c r="B285" s="50" t="str">
        <f>RawList!A254</f>
        <v>Smart-Home/IoT Network Integration (Fixed)</v>
      </c>
      <c r="C285" s="50" t="str">
        <f>RawList!B254</f>
        <v>Onion Omega2+ + Arduino Base Station</v>
      </c>
      <c r="D285" s="50" t="str">
        <f>RawList!C254</f>
        <v>SparkFun</v>
      </c>
      <c r="E285" s="50" t="str">
        <f>RawList!H254</f>
        <v>OLED Expansion Board for Onion Omega</v>
      </c>
      <c r="F285" s="50" t="str">
        <f>RawList!D254</f>
        <v>DEV-14442</v>
      </c>
      <c r="G285" s="137">
        <f>RawList!E254</f>
        <v>1</v>
      </c>
      <c r="H285" s="50" t="str">
        <f>IF(EquipmentTable[[#This Row],[Units]]&gt;0,"Quantity &gt; 0 Items","Quantity = 0 Items")</f>
        <v>Quantity &gt; 0 Items</v>
      </c>
      <c r="I285" s="141">
        <f>RawList!J254</f>
        <v>15</v>
      </c>
      <c r="J285" s="24">
        <f>VALUE(EquipmentTable[[#This Row],[Units]]*EquipmentTable[[#This Row],[Unit
 Price]])</f>
        <v>15</v>
      </c>
      <c r="K285" s="50" t="str">
        <f>RawList!G254</f>
        <v>https://cdn.sparkfun.com/r/92-92/assets/parts/1/2/4/7/2/14442-01.jpg</v>
      </c>
      <c r="L285" s="50"/>
      <c r="M285" s="50" t="str">
        <f>RawList!F254</f>
        <v>https://www.sparkfun.com/products/14442</v>
      </c>
    </row>
    <row r="286" spans="2:13" hidden="1" x14ac:dyDescent="0.3">
      <c r="B286" s="50" t="str">
        <f>RawList!A255</f>
        <v>Smart-Home/IoT Network Integration (Fixed)</v>
      </c>
      <c r="C286" s="50" t="str">
        <f>RawList!B255</f>
        <v>Onion Omega2+ + Arduino Base Station</v>
      </c>
      <c r="D286" s="50" t="str">
        <f>RawList!C255</f>
        <v>SparkFun</v>
      </c>
      <c r="E286" s="50" t="str">
        <f>RawList!H255</f>
        <v>Ethernet Expansion Board for Onion Omega</v>
      </c>
      <c r="F286" s="50" t="str">
        <f>RawList!D255</f>
        <v>DEV-14441</v>
      </c>
      <c r="G286" s="137">
        <f>RawList!E255</f>
        <v>1</v>
      </c>
      <c r="H286" s="50" t="str">
        <f>IF(EquipmentTable[[#This Row],[Units]]&gt;0,"Quantity &gt; 0 Items","Quantity = 0 Items")</f>
        <v>Quantity &gt; 0 Items</v>
      </c>
      <c r="I286" s="141">
        <f>RawList!J255</f>
        <v>15</v>
      </c>
      <c r="J286" s="24">
        <f>VALUE(EquipmentTable[[#This Row],[Units]]*EquipmentTable[[#This Row],[Unit
 Price]])</f>
        <v>15</v>
      </c>
      <c r="K286" s="50" t="str">
        <f>RawList!G255</f>
        <v>https://cdn.sparkfun.com/r/92-92/assets/parts/1/2/4/7/1/14441-02.jpg</v>
      </c>
      <c r="L286" s="50"/>
      <c r="M286" s="50" t="str">
        <f>RawList!F255</f>
        <v>https://www.sparkfun.com/products/14441</v>
      </c>
    </row>
    <row r="287" spans="2:13" hidden="1" x14ac:dyDescent="0.3">
      <c r="B287" s="50" t="str">
        <f>RawList!A256</f>
        <v>Smart-Home/IoT Network Integration (Fixed)</v>
      </c>
      <c r="C287" s="50" t="str">
        <f>RawList!B256</f>
        <v>Onion Omega2+ + Arduino Base Station</v>
      </c>
      <c r="D287" s="50" t="str">
        <f>RawList!C256</f>
        <v>SparkFun</v>
      </c>
      <c r="E287" s="50" t="str">
        <f>RawList!H256</f>
        <v>Mini Dock for Onion Omega</v>
      </c>
      <c r="F287" s="50" t="str">
        <f>RawList!D256</f>
        <v>DEV-14437</v>
      </c>
      <c r="G287" s="137">
        <f>RawList!E256</f>
        <v>1</v>
      </c>
      <c r="H287" s="50" t="str">
        <f>IF(EquipmentTable[[#This Row],[Units]]&gt;0,"Quantity &gt; 0 Items","Quantity = 0 Items")</f>
        <v>Quantity &gt; 0 Items</v>
      </c>
      <c r="I287" s="141">
        <f>RawList!J256</f>
        <v>15</v>
      </c>
      <c r="J287" s="24">
        <f>VALUE(EquipmentTable[[#This Row],[Units]]*EquipmentTable[[#This Row],[Unit
 Price]])</f>
        <v>15</v>
      </c>
      <c r="K287" s="50" t="str">
        <f>RawList!G256</f>
        <v>https://cdn.sparkfun.com/r/92-92/assets/parts/1/2/4/6/7/14437-01.jpg</v>
      </c>
      <c r="L287" s="50"/>
      <c r="M287" s="50" t="str">
        <f>RawList!F256</f>
        <v>https://www.sparkfun.com/products/14437</v>
      </c>
    </row>
    <row r="288" spans="2:13" hidden="1" x14ac:dyDescent="0.3">
      <c r="B288" s="50" t="str">
        <f>RawList!A257</f>
        <v>Smart-Home/IoT Network Integration (Fixed)</v>
      </c>
      <c r="C288" s="50" t="str">
        <f>RawList!B257</f>
        <v>Onion Omega2+ + Arduino Base Station</v>
      </c>
      <c r="D288" s="50" t="str">
        <f>RawList!C257</f>
        <v>SparkFun</v>
      </c>
      <c r="E288" s="50" t="str">
        <f>RawList!H257</f>
        <v>Breadboard Dock for Onion Omega</v>
      </c>
      <c r="F288" s="50" t="str">
        <f>RawList!D257</f>
        <v>DEV-14436</v>
      </c>
      <c r="G288" s="137">
        <f>RawList!E257</f>
        <v>1</v>
      </c>
      <c r="H288" s="50" t="str">
        <f>IF(EquipmentTable[[#This Row],[Units]]&gt;0,"Quantity &gt; 0 Items","Quantity = 0 Items")</f>
        <v>Quantity &gt; 0 Items</v>
      </c>
      <c r="I288" s="141">
        <f>RawList!J257</f>
        <v>10</v>
      </c>
      <c r="J288" s="24">
        <f>VALUE(EquipmentTable[[#This Row],[Units]]*EquipmentTable[[#This Row],[Unit
 Price]])</f>
        <v>10</v>
      </c>
      <c r="K288" s="50" t="str">
        <f>RawList!G257</f>
        <v>https://cdn.sparkfun.com/r/92-92/assets/parts/1/2/4/6/6/14436-01.jpg</v>
      </c>
      <c r="L288" s="50"/>
      <c r="M288" s="50" t="str">
        <f>RawList!F257</f>
        <v>https://www.sparkfun.com/products/14436</v>
      </c>
    </row>
    <row r="289" spans="2:13" hidden="1" x14ac:dyDescent="0.3">
      <c r="B289" s="50" t="str">
        <f>RawList!A258</f>
        <v>Smart-Home/IoT Network Integration (Portable)</v>
      </c>
      <c r="C289" s="50" t="str">
        <f>RawList!B258</f>
        <v>Onion Omega2+ Handheld</v>
      </c>
      <c r="D289" s="50" t="str">
        <f>RawList!C258</f>
        <v>SparkFun</v>
      </c>
      <c r="E289" s="50" t="str">
        <f>RawList!H258</f>
        <v>Expansion Dock for Onion Omega</v>
      </c>
      <c r="F289" s="50" t="str">
        <f>RawList!D258</f>
        <v>DEV-14439</v>
      </c>
      <c r="G289" s="137">
        <f>RawList!E258</f>
        <v>1</v>
      </c>
      <c r="H289" s="50" t="str">
        <f>IF(EquipmentTable[[#This Row],[Units]]&gt;0,"Quantity &gt; 0 Items","Quantity = 0 Items")</f>
        <v>Quantity &gt; 0 Items</v>
      </c>
      <c r="I289" s="141">
        <f>RawList!J258</f>
        <v>15</v>
      </c>
      <c r="J289" s="24">
        <f>VALUE(EquipmentTable[[#This Row],[Units]]*EquipmentTable[[#This Row],[Unit
 Price]])</f>
        <v>15</v>
      </c>
      <c r="K289" s="50" t="str">
        <f>RawList!G258</f>
        <v>https://cdn.sparkfun.com/r/92-92/assets/parts/1/2/4/6/9/14439-03.jpg</v>
      </c>
      <c r="L289" s="50"/>
      <c r="M289" s="50" t="str">
        <f>RawList!F258</f>
        <v>https://www.sparkfun.com/products/14439</v>
      </c>
    </row>
    <row r="290" spans="2:13" hidden="1" x14ac:dyDescent="0.3">
      <c r="B290" s="50" t="str">
        <f>RawList!A259</f>
        <v>Smart-Home/IoT Network Integration (Portable)</v>
      </c>
      <c r="C290" s="50" t="str">
        <f>RawList!B259</f>
        <v>Onion Omega2+ Handheld</v>
      </c>
      <c r="D290" s="50" t="str">
        <f>RawList!C259</f>
        <v>SparkFun</v>
      </c>
      <c r="E290" s="50" t="str">
        <f>RawList!H259</f>
        <v>Onion Omega2+ IoT Computer</v>
      </c>
      <c r="F290" s="50" t="str">
        <f>RawList!D259</f>
        <v>DEV-14431</v>
      </c>
      <c r="G290" s="137">
        <f>RawList!E259</f>
        <v>1</v>
      </c>
      <c r="H290" s="50" t="str">
        <f>IF(EquipmentTable[[#This Row],[Units]]&gt;0,"Quantity &gt; 0 Items","Quantity = 0 Items")</f>
        <v>Quantity &gt; 0 Items</v>
      </c>
      <c r="I290" s="141">
        <f>RawList!J259</f>
        <v>9</v>
      </c>
      <c r="J290" s="24">
        <f>VALUE(EquipmentTable[[#This Row],[Units]]*EquipmentTable[[#This Row],[Unit
 Price]])</f>
        <v>9</v>
      </c>
      <c r="K290" s="50" t="str">
        <f>RawList!G259</f>
        <v>https://cdn.sparkfun.com/r/92-92/assets/parts/1/2/4/6/1/14431-01.jpg</v>
      </c>
      <c r="L290" s="50"/>
      <c r="M290" s="50" t="str">
        <f>RawList!F259</f>
        <v>https://www.sparkfun.com/products/14431</v>
      </c>
    </row>
    <row r="291" spans="2:13" hidden="1" x14ac:dyDescent="0.3">
      <c r="B291" s="50" t="str">
        <f>RawList!A260</f>
        <v>Smart-Home/IoT Network Integration (Portable)</v>
      </c>
      <c r="C291" s="50" t="str">
        <f>RawList!B260</f>
        <v>Onion Omega2+ Handheld</v>
      </c>
      <c r="D291" s="50" t="str">
        <f>RawList!C260</f>
        <v>SparkFun</v>
      </c>
      <c r="E291" s="50" t="str">
        <f>RawList!H260</f>
        <v>GPS Expansion Board for Onion Omega</v>
      </c>
      <c r="F291" s="50" t="str">
        <f>RawList!D260</f>
        <v>DEV-14446</v>
      </c>
      <c r="G291" s="137">
        <f>RawList!E260</f>
        <v>1</v>
      </c>
      <c r="H291" s="50" t="str">
        <f>IF(EquipmentTable[[#This Row],[Units]]&gt;0,"Quantity &gt; 0 Items","Quantity = 0 Items")</f>
        <v>Quantity &gt; 0 Items</v>
      </c>
      <c r="I291" s="141">
        <f>RawList!J260</f>
        <v>30</v>
      </c>
      <c r="J291" s="24">
        <f>VALUE(EquipmentTable[[#This Row],[Units]]*EquipmentTable[[#This Row],[Unit
 Price]])</f>
        <v>30</v>
      </c>
      <c r="K291" s="50" t="str">
        <f>RawList!G260</f>
        <v>https://cdn.sparkfun.com/r/92-92/assets/parts/1/2/4/7/6/14446-01.jpg</v>
      </c>
      <c r="L291" s="50"/>
      <c r="M291" s="50" t="str">
        <f>RawList!F260</f>
        <v>https://www.sparkfun.com/products/14446</v>
      </c>
    </row>
    <row r="292" spans="2:13" hidden="1" x14ac:dyDescent="0.3">
      <c r="B292" s="50" t="str">
        <f>RawList!A261</f>
        <v>Smart-Home/IoT Network Integration (Portable)</v>
      </c>
      <c r="C292" s="50" t="str">
        <f>RawList!B261</f>
        <v>Onion Omega2+ Handheld</v>
      </c>
      <c r="D292" s="50" t="str">
        <f>RawList!C261</f>
        <v>SparkFun</v>
      </c>
      <c r="E292" s="50" t="str">
        <f>RawList!H261</f>
        <v>Proto Expansion Board for Onion Omega</v>
      </c>
      <c r="F292" s="50" t="str">
        <f>RawList!D261</f>
        <v>DEV-14443</v>
      </c>
      <c r="G292" s="137">
        <f>RawList!E261</f>
        <v>1</v>
      </c>
      <c r="H292" s="50" t="str">
        <f>IF(EquipmentTable[[#This Row],[Units]]&gt;0,"Quantity &gt; 0 Items","Quantity = 0 Items")</f>
        <v>Quantity &gt; 0 Items</v>
      </c>
      <c r="I292" s="141">
        <f>RawList!J261</f>
        <v>5</v>
      </c>
      <c r="J292" s="24">
        <f>VALUE(EquipmentTable[[#This Row],[Units]]*EquipmentTable[[#This Row],[Unit
 Price]])</f>
        <v>5</v>
      </c>
      <c r="K292" s="50" t="str">
        <f>RawList!G261</f>
        <v>https://cdn.sparkfun.com/r/92-92/assets/parts/1/2/4/7/3/14443-01.jpg</v>
      </c>
      <c r="L292" s="50"/>
      <c r="M292" s="50" t="str">
        <f>RawList!F261</f>
        <v>https://www.sparkfun.com/products/14443</v>
      </c>
    </row>
    <row r="293" spans="2:13" hidden="1" x14ac:dyDescent="0.3">
      <c r="B293" s="50" t="str">
        <f>RawList!A262</f>
        <v>Smart-Home/IoT Network Integration (Portable)</v>
      </c>
      <c r="C293" s="50" t="str">
        <f>RawList!B262</f>
        <v>Onion Omega2+ Handheld</v>
      </c>
      <c r="D293" s="50" t="str">
        <f>RawList!C262</f>
        <v>SparkFun</v>
      </c>
      <c r="E293" s="50" t="str">
        <f>RawList!H262</f>
        <v>OLED Expansion Board for Onion Omega</v>
      </c>
      <c r="F293" s="50" t="str">
        <f>RawList!D262</f>
        <v>DEV-14442</v>
      </c>
      <c r="G293" s="137">
        <f>RawList!E262</f>
        <v>1</v>
      </c>
      <c r="H293" s="50" t="str">
        <f>IF(EquipmentTable[[#This Row],[Units]]&gt;0,"Quantity &gt; 0 Items","Quantity = 0 Items")</f>
        <v>Quantity &gt; 0 Items</v>
      </c>
      <c r="I293" s="141">
        <f>RawList!J262</f>
        <v>15</v>
      </c>
      <c r="J293" s="24">
        <f>VALUE(EquipmentTable[[#This Row],[Units]]*EquipmentTable[[#This Row],[Unit
 Price]])</f>
        <v>15</v>
      </c>
      <c r="K293" s="50" t="str">
        <f>RawList!G262</f>
        <v>https://cdn.sparkfun.com/r/92-92/assets/parts/1/2/4/7/2/14442-01.jpg</v>
      </c>
      <c r="L293" s="50"/>
      <c r="M293" s="50" t="str">
        <f>RawList!F262</f>
        <v>https://www.sparkfun.com/products/14442</v>
      </c>
    </row>
    <row r="294" spans="2:13" hidden="1" x14ac:dyDescent="0.3">
      <c r="B294" s="50" t="str">
        <f>RawList!A263</f>
        <v>Smart-Home/IoT Network Integration (Portable)</v>
      </c>
      <c r="C294" s="50" t="str">
        <f>RawList!B263</f>
        <v>Realtek Ameba Handheld</v>
      </c>
      <c r="D294" s="50" t="str">
        <f>RawList!C263</f>
        <v>SparkFun</v>
      </c>
      <c r="E294" s="50" t="str">
        <f>RawList!H263</f>
        <v>Realtek Ameba Board</v>
      </c>
      <c r="F294" s="50" t="str">
        <f>RawList!D263</f>
        <v>WRL-14280</v>
      </c>
      <c r="G294" s="137">
        <f>RawList!E263</f>
        <v>1</v>
      </c>
      <c r="H294" s="50" t="str">
        <f>IF(EquipmentTable[[#This Row],[Units]]&gt;0,"Quantity &gt; 0 Items","Quantity = 0 Items")</f>
        <v>Quantity &gt; 0 Items</v>
      </c>
      <c r="I294" s="141">
        <f>RawList!J263</f>
        <v>24.95</v>
      </c>
      <c r="J294" s="24">
        <f>VALUE(EquipmentTable[[#This Row],[Units]]*EquipmentTable[[#This Row],[Unit
 Price]])</f>
        <v>24.95</v>
      </c>
      <c r="K294" s="50" t="str">
        <f>RawList!G263</f>
        <v>https://cdn.sparkfun.com/r/92-92/assets/parts/1/2/2/3/6/14280-01.jpg</v>
      </c>
      <c r="L294" s="50"/>
      <c r="M294" s="50" t="str">
        <f>RawList!F263</f>
        <v>https://www.sparkfun.com/products/14280</v>
      </c>
    </row>
    <row r="295" spans="2:13" hidden="1" x14ac:dyDescent="0.3">
      <c r="B295" s="50" t="str">
        <f>RawList!A264</f>
        <v>Smart-Home/IoT Network Integration (Portable)</v>
      </c>
      <c r="C295" s="50" t="str">
        <f>RawList!B264</f>
        <v>Phone/Computer App Companion</v>
      </c>
      <c r="D295" s="50" t="str">
        <f>RawList!C264</f>
        <v>SparkFun</v>
      </c>
      <c r="E295" s="50" t="str">
        <f>RawList!H264</f>
        <v>IOIO-OTG - V2.2</v>
      </c>
      <c r="F295" s="50" t="str">
        <f>RawList!D264</f>
        <v>DEV-13613</v>
      </c>
      <c r="G295" s="137">
        <f>RawList!E264</f>
        <v>1</v>
      </c>
      <c r="H295" s="50" t="str">
        <f>IF(EquipmentTable[[#This Row],[Units]]&gt;0,"Quantity &gt; 0 Items","Quantity = 0 Items")</f>
        <v>Quantity &gt; 0 Items</v>
      </c>
      <c r="I295" s="141">
        <f>RawList!J264</f>
        <v>39.950000000000003</v>
      </c>
      <c r="J295" s="24">
        <f>VALUE(EquipmentTable[[#This Row],[Units]]*EquipmentTable[[#This Row],[Unit
 Price]])</f>
        <v>39.950000000000003</v>
      </c>
      <c r="K295" s="50" t="str">
        <f>RawList!G264</f>
        <v>https://cdn.sparkfun.com/r/92-92/assets/parts/1/0/9/8/3/13613-01.jpg</v>
      </c>
      <c r="L295" s="50"/>
      <c r="M295" s="50" t="str">
        <f>RawList!F264</f>
        <v>https://www.sparkfun.com/products/13613</v>
      </c>
    </row>
    <row r="296" spans="2:13" hidden="1" x14ac:dyDescent="0.3">
      <c r="B296" s="50" t="str">
        <f>RawList!A265</f>
        <v>Smart-Home/IoT Network Integration (Portable)</v>
      </c>
      <c r="C296" s="50" t="str">
        <f>RawList!B265</f>
        <v>MicroView Watch/Relay</v>
      </c>
      <c r="D296" s="50" t="str">
        <f>RawList!C265</f>
        <v>SparkFun</v>
      </c>
      <c r="E296" s="50" t="str">
        <f>RawList!H265</f>
        <v>SparkFun MicroView - OLED Arduino Module</v>
      </c>
      <c r="F296" s="50" t="str">
        <f>RawList!D265</f>
        <v>DEV-12923</v>
      </c>
      <c r="G296" s="137">
        <f>RawList!E265</f>
        <v>1</v>
      </c>
      <c r="H296" s="50" t="str">
        <f>IF(EquipmentTable[[#This Row],[Units]]&gt;0,"Quantity &gt; 0 Items","Quantity = 0 Items")</f>
        <v>Quantity &gt; 0 Items</v>
      </c>
      <c r="I296" s="141">
        <f>RawList!J265</f>
        <v>39.950000000000003</v>
      </c>
      <c r="J296" s="24">
        <f>VALUE(EquipmentTable[[#This Row],[Units]]*EquipmentTable[[#This Row],[Unit
 Price]])</f>
        <v>39.950000000000003</v>
      </c>
      <c r="K296" s="50" t="str">
        <f>RawList!G265</f>
        <v>https://cdn.sparkfun.com/r/92-92/assets/parts/9/8/4/5/12923-01.jpg</v>
      </c>
      <c r="L296" s="50"/>
      <c r="M296" s="50" t="str">
        <f>RawList!F265</f>
        <v>https://www.sparkfun.com/products/12923</v>
      </c>
    </row>
    <row r="297" spans="2:13" hidden="1" x14ac:dyDescent="0.3">
      <c r="B297" s="50" t="str">
        <f>RawList!A266</f>
        <v>Smart-Home/IoT Network Integration (Portable)</v>
      </c>
      <c r="C297" s="50" t="str">
        <f>RawList!B266</f>
        <v>MicroView Watch/Relay</v>
      </c>
      <c r="D297" s="50" t="str">
        <f>RawList!C266</f>
        <v>SparkFun</v>
      </c>
      <c r="E297" s="50" t="str">
        <f>RawList!H266</f>
        <v>SparkFun MicroView - USB Programmer</v>
      </c>
      <c r="F297" s="50" t="str">
        <f>RawList!D266</f>
        <v>DEV-12924</v>
      </c>
      <c r="G297" s="137">
        <f>RawList!E266</f>
        <v>1</v>
      </c>
      <c r="H297" s="50" t="str">
        <f>IF(EquipmentTable[[#This Row],[Units]]&gt;0,"Quantity &gt; 0 Items","Quantity = 0 Items")</f>
        <v>Quantity &gt; 0 Items</v>
      </c>
      <c r="I297" s="141">
        <f>RawList!J266</f>
        <v>14.95</v>
      </c>
      <c r="J297" s="24">
        <f>VALUE(EquipmentTable[[#This Row],[Units]]*EquipmentTable[[#This Row],[Unit
 Price]])</f>
        <v>14.95</v>
      </c>
      <c r="K297" s="50" t="str">
        <f>RawList!G266</f>
        <v>https://cdn.sparkfun.com/r/92-92/assets/parts/9/8/4/6/12924-01.jpg</v>
      </c>
      <c r="L297" s="50"/>
      <c r="M297" s="50" t="str">
        <f>RawList!F266</f>
        <v>https://www.sparkfun.com/products/12924</v>
      </c>
    </row>
    <row r="298" spans="2:13" x14ac:dyDescent="0.3">
      <c r="B298" s="50" t="str">
        <f>RawList!A267</f>
        <v>Hardware Component</v>
      </c>
      <c r="C298" s="50" t="str">
        <f>RawList!B267</f>
        <v>Breadboard/Protoboard</v>
      </c>
      <c r="D298" s="50" t="str">
        <f>RawList!C267</f>
        <v>SparkFun</v>
      </c>
      <c r="E298" s="50" t="str">
        <f>RawList!H267</f>
        <v>Breadboard - Giant</v>
      </c>
      <c r="F298" s="50" t="str">
        <f>RawList!D267</f>
        <v>PRT-12614</v>
      </c>
      <c r="G298" s="137">
        <f>RawList!E267</f>
        <v>1</v>
      </c>
      <c r="H298" s="50" t="str">
        <f>IF(EquipmentTable[[#This Row],[Units]]&gt;0,"Quantity &gt; 0 Items","Quantity = 0 Items")</f>
        <v>Quantity &gt; 0 Items</v>
      </c>
      <c r="I298" s="141">
        <f>RawList!J267</f>
        <v>19.95</v>
      </c>
      <c r="J298" s="24">
        <f>VALUE(EquipmentTable[[#This Row],[Units]]*EquipmentTable[[#This Row],[Unit
 Price]])</f>
        <v>19.95</v>
      </c>
      <c r="K298" s="50" t="str">
        <f>RawList!G267</f>
        <v>https://cdn.sparkfun.com/r/92-92/assets/parts/9/2/8/1/12614-01.jpg</v>
      </c>
      <c r="L298" s="50"/>
      <c r="M298" s="50" t="str">
        <f>RawList!F267</f>
        <v>https://www.sparkfun.com/products/12614</v>
      </c>
    </row>
    <row r="299" spans="2:13" x14ac:dyDescent="0.3">
      <c r="B299" s="50" t="str">
        <f>RawList!A268</f>
        <v>Hardware Component</v>
      </c>
      <c r="C299" s="50" t="str">
        <f>RawList!B268</f>
        <v>Breadboard/Protoboard</v>
      </c>
      <c r="D299" s="50" t="str">
        <f>RawList!C268</f>
        <v>SparkFun</v>
      </c>
      <c r="E299" s="50" t="str">
        <f>RawList!H268</f>
        <v>Breadboard - Mini Modular (Red)</v>
      </c>
      <c r="F299" s="50" t="str">
        <f>RawList!D268</f>
        <v>PRT-12044</v>
      </c>
      <c r="G299" s="137">
        <f>RawList!E268</f>
        <v>0</v>
      </c>
      <c r="H299" s="50" t="str">
        <f>IF(EquipmentTable[[#This Row],[Units]]&gt;0,"Quantity &gt; 0 Items","Quantity = 0 Items")</f>
        <v>Quantity = 0 Items</v>
      </c>
      <c r="I299" s="141">
        <f>RawList!J268</f>
        <v>3.95</v>
      </c>
      <c r="J299" s="24">
        <f>VALUE(EquipmentTable[[#This Row],[Units]]*EquipmentTable[[#This Row],[Unit
 Price]])</f>
        <v>0</v>
      </c>
      <c r="K299" s="50" t="str">
        <f>RawList!G268</f>
        <v>https://cdn.sparkfun.com/r/92-92/assets/parts/8/6/2/7/12044-01.jpg</v>
      </c>
      <c r="L299" s="50"/>
      <c r="M299" s="50" t="str">
        <f>RawList!F268</f>
        <v>https://www.sparkfun.com/products/12044</v>
      </c>
    </row>
    <row r="300" spans="2:13" x14ac:dyDescent="0.3">
      <c r="B300" s="50" t="str">
        <f>RawList!A269</f>
        <v>Hardware Component</v>
      </c>
      <c r="C300" s="50" t="str">
        <f>RawList!B269</f>
        <v>Breadboard/Protoboard</v>
      </c>
      <c r="D300" s="50" t="str">
        <f>RawList!C269</f>
        <v>SparkFun</v>
      </c>
      <c r="E300" s="50" t="str">
        <f>RawList!H269</f>
        <v>Breadboard - Mini Modular (Black)</v>
      </c>
      <c r="F300" s="50" t="str">
        <f>RawList!D269</f>
        <v>PRT-12047</v>
      </c>
      <c r="G300" s="137">
        <f>RawList!E269</f>
        <v>20</v>
      </c>
      <c r="H300" s="50" t="str">
        <f>IF(EquipmentTable[[#This Row],[Units]]&gt;0,"Quantity &gt; 0 Items","Quantity = 0 Items")</f>
        <v>Quantity &gt; 0 Items</v>
      </c>
      <c r="I300" s="141">
        <f>RawList!J269</f>
        <v>3.95</v>
      </c>
      <c r="J300" s="24">
        <f>VALUE(EquipmentTable[[#This Row],[Units]]*EquipmentTable[[#This Row],[Unit
 Price]])</f>
        <v>79</v>
      </c>
      <c r="K300" s="50" t="str">
        <f>RawList!G269</f>
        <v>https://cdn.sparkfun.com/r/92-92/assets/parts/8/6/3/0/12047-01.jpg</v>
      </c>
      <c r="L300" s="50"/>
      <c r="M300" s="50" t="str">
        <f>RawList!F269</f>
        <v>https://www.sparkfun.com/products/12047</v>
      </c>
    </row>
    <row r="301" spans="2:13" x14ac:dyDescent="0.3">
      <c r="B301" s="50" t="str">
        <f>RawList!A270</f>
        <v>Hardware Component</v>
      </c>
      <c r="C301" s="50" t="str">
        <f>RawList!B270</f>
        <v>Breadboard/Protoboard</v>
      </c>
      <c r="D301" s="50" t="str">
        <f>RawList!C270</f>
        <v>Adafruit</v>
      </c>
      <c r="E301" s="50" t="str">
        <f>RawList!H270</f>
        <v>Tiny breadboard</v>
      </c>
      <c r="F301" s="50" t="str">
        <f>RawList!D270</f>
        <v>65</v>
      </c>
      <c r="G301" s="137">
        <f>RawList!E270</f>
        <v>0</v>
      </c>
      <c r="H301" s="50" t="str">
        <f>IF(EquipmentTable[[#This Row],[Units]]&gt;0,"Quantity &gt; 0 Items","Quantity = 0 Items")</f>
        <v>Quantity = 0 Items</v>
      </c>
      <c r="I301" s="141">
        <f>RawList!J270</f>
        <v>4</v>
      </c>
      <c r="J301" s="24">
        <f>VALUE(EquipmentTable[[#This Row],[Units]]*EquipmentTable[[#This Row],[Unit
 Price]])</f>
        <v>0</v>
      </c>
      <c r="K301" s="50">
        <f>RawList!G270</f>
        <v>0</v>
      </c>
      <c r="L301" s="50"/>
      <c r="M301" s="50">
        <f>RawList!F270</f>
        <v>0</v>
      </c>
    </row>
    <row r="302" spans="2:13" x14ac:dyDescent="0.3">
      <c r="B302" s="50" t="str">
        <f>RawList!A271</f>
        <v>Hardware Component</v>
      </c>
      <c r="C302" s="50" t="str">
        <f>RawList!B271</f>
        <v>Breadboard/Protoboard</v>
      </c>
      <c r="D302" s="50" t="str">
        <f>RawList!C271</f>
        <v>SparkFun</v>
      </c>
      <c r="E302" s="50" t="str">
        <f>RawList!H271</f>
        <v>SparkFun Solder-able Breadboard - Large</v>
      </c>
      <c r="F302" s="50" t="str">
        <f>RawList!D271</f>
        <v>PRT-12699</v>
      </c>
      <c r="G302" s="137">
        <f>RawList!E271</f>
        <v>15</v>
      </c>
      <c r="H302" s="50" t="str">
        <f>IF(EquipmentTable[[#This Row],[Units]]&gt;0,"Quantity &gt; 0 Items","Quantity = 0 Items")</f>
        <v>Quantity &gt; 0 Items</v>
      </c>
      <c r="I302" s="141">
        <f>RawList!J271</f>
        <v>8.5</v>
      </c>
      <c r="J302" s="24">
        <f>VALUE(EquipmentTable[[#This Row],[Units]]*EquipmentTable[[#This Row],[Unit
 Price]])</f>
        <v>127.5</v>
      </c>
      <c r="K302" s="50" t="str">
        <f>RawList!G271</f>
        <v>https://cdn.sparkfun.com/r/92-92/assets/parts/9/4/3/9/12699-02.jpg</v>
      </c>
      <c r="L302" s="50"/>
      <c r="M302" s="50" t="str">
        <f>RawList!F271</f>
        <v>https://www.sparkfun.com/products/12699</v>
      </c>
    </row>
    <row r="303" spans="2:13" x14ac:dyDescent="0.3">
      <c r="B303" s="50" t="str">
        <f>RawList!A272</f>
        <v>Hardware Component</v>
      </c>
      <c r="C303" s="50" t="str">
        <f>RawList!B272</f>
        <v>Breadboard/Protoboard</v>
      </c>
      <c r="D303" s="50" t="str">
        <f>RawList!C272</f>
        <v>SparkFun</v>
      </c>
      <c r="E303" s="50" t="str">
        <f>RawList!H272</f>
        <v>SparkFun Solder-able Breadboard</v>
      </c>
      <c r="F303" s="50" t="str">
        <f>RawList!D272</f>
        <v>PRT-12070</v>
      </c>
      <c r="G303" s="137">
        <f>RawList!E272</f>
        <v>1</v>
      </c>
      <c r="H303" s="50" t="str">
        <f>IF(EquipmentTable[[#This Row],[Units]]&gt;0,"Quantity &gt; 0 Items","Quantity = 0 Items")</f>
        <v>Quantity &gt; 0 Items</v>
      </c>
      <c r="I303" s="141">
        <f>RawList!J272</f>
        <v>4.95</v>
      </c>
      <c r="J303" s="24">
        <f>VALUE(EquipmentTable[[#This Row],[Units]]*EquipmentTable[[#This Row],[Unit
 Price]])</f>
        <v>4.95</v>
      </c>
      <c r="K303" s="50" t="str">
        <f>RawList!G272</f>
        <v>https://cdn.sparkfun.com/r/92-92/assets/parts/8/6/7/7/12070-01.jpg</v>
      </c>
      <c r="L303" s="50"/>
      <c r="M303" s="50" t="str">
        <f>RawList!F272</f>
        <v>https://www.sparkfun.com/products/12070</v>
      </c>
    </row>
    <row r="304" spans="2:13" x14ac:dyDescent="0.3">
      <c r="B304" s="50" t="str">
        <f>RawList!A273</f>
        <v>Hardware Component</v>
      </c>
      <c r="C304" s="50" t="str">
        <f>RawList!B273</f>
        <v>Breadboard/Protoboard</v>
      </c>
      <c r="D304" s="50" t="str">
        <f>RawList!C273</f>
        <v>SparkFun</v>
      </c>
      <c r="E304" s="50" t="str">
        <f>RawList!H273</f>
        <v>SparkFun Solder-able Breadboard - Mini</v>
      </c>
      <c r="F304" s="50" t="str">
        <f>RawList!D273</f>
        <v>PRT-12702</v>
      </c>
      <c r="G304" s="137">
        <f>RawList!E273</f>
        <v>0</v>
      </c>
      <c r="H304" s="50" t="str">
        <f>IF(EquipmentTable[[#This Row],[Units]]&gt;0,"Quantity &gt; 0 Items","Quantity = 0 Items")</f>
        <v>Quantity = 0 Items</v>
      </c>
      <c r="I304" s="141">
        <f>RawList!J273</f>
        <v>2.95</v>
      </c>
      <c r="J304" s="24">
        <f>VALUE(EquipmentTable[[#This Row],[Units]]*EquipmentTable[[#This Row],[Unit
 Price]])</f>
        <v>0</v>
      </c>
      <c r="K304" s="50" t="str">
        <f>RawList!G273</f>
        <v>https://cdn.sparkfun.com/r/92-92/assets/parts/9/4/4/3/12702-01.jpg</v>
      </c>
      <c r="L304" s="50"/>
      <c r="M304" s="50" t="str">
        <f>RawList!F273</f>
        <v>https://www.sparkfun.com/products/12702</v>
      </c>
    </row>
    <row r="305" spans="2:13" x14ac:dyDescent="0.3">
      <c r="B305" s="50" t="str">
        <f>RawList!A274</f>
        <v>Hardware Component</v>
      </c>
      <c r="C305" s="50" t="str">
        <f>RawList!B274</f>
        <v>Breadboard/Protoboard</v>
      </c>
      <c r="D305" s="50" t="str">
        <f>RawList!C274</f>
        <v>SparkFun</v>
      </c>
      <c r="E305" s="50" t="str">
        <f>RawList!H274</f>
        <v>SparkFun ProtoShield Kit</v>
      </c>
      <c r="F305" s="50" t="str">
        <f>RawList!D274</f>
        <v>DEV-07914</v>
      </c>
      <c r="G305" s="137">
        <f>RawList!E274</f>
        <v>1</v>
      </c>
      <c r="H305" s="50" t="str">
        <f>IF(EquipmentTable[[#This Row],[Units]]&gt;0,"Quantity &gt; 0 Items","Quantity = 0 Items")</f>
        <v>Quantity &gt; 0 Items</v>
      </c>
      <c r="I305" s="141">
        <f>RawList!J274</f>
        <v>9.9499999999999993</v>
      </c>
      <c r="J305" s="24">
        <f>VALUE(EquipmentTable[[#This Row],[Units]]*EquipmentTable[[#This Row],[Unit
 Price]])</f>
        <v>9.9499999999999993</v>
      </c>
      <c r="K305" s="50" t="str">
        <f>RawList!G274</f>
        <v>https://cdn.sparkfun.com/r/92-92/assets/parts/5/6/3/07914-001.jpg</v>
      </c>
      <c r="L305" s="50"/>
      <c r="M305" s="50" t="str">
        <f>RawList!F274</f>
        <v>https://www.sparkfun.com/products/7914</v>
      </c>
    </row>
    <row r="306" spans="2:13" x14ac:dyDescent="0.3">
      <c r="B306" s="50" t="str">
        <f>RawList!A275</f>
        <v>Hardware Component</v>
      </c>
      <c r="C306" s="50" t="str">
        <f>RawList!B275</f>
        <v>Breadboard/Protoboard</v>
      </c>
      <c r="D306" s="50" t="str">
        <f>RawList!C275</f>
        <v>Adafruit</v>
      </c>
      <c r="E306" s="50" t="str">
        <f>RawList!H275</f>
        <v>Adafruit Proto Shield for Arduino Kit - Stackable Version R3</v>
      </c>
      <c r="F306" s="50" t="str">
        <f>RawList!D275</f>
        <v>2077</v>
      </c>
      <c r="G306" s="137">
        <f>RawList!E275</f>
        <v>0</v>
      </c>
      <c r="H306" s="50" t="str">
        <f>IF(EquipmentTable[[#This Row],[Units]]&gt;0,"Quantity &gt; 0 Items","Quantity = 0 Items")</f>
        <v>Quantity = 0 Items</v>
      </c>
      <c r="I306" s="141">
        <f>RawList!J275</f>
        <v>9.9499999999999993</v>
      </c>
      <c r="J306" s="24">
        <f>VALUE(EquipmentTable[[#This Row],[Units]]*EquipmentTable[[#This Row],[Unit
 Price]])</f>
        <v>0</v>
      </c>
      <c r="K306" s="50">
        <f>RawList!G275</f>
        <v>0</v>
      </c>
      <c r="L306" s="50"/>
      <c r="M306" s="50">
        <f>RawList!F275</f>
        <v>0</v>
      </c>
    </row>
    <row r="307" spans="2:13" x14ac:dyDescent="0.3">
      <c r="B307" s="50" t="str">
        <f>RawList!A276</f>
        <v>Hardware Component</v>
      </c>
      <c r="C307" s="50" t="str">
        <f>RawList!B276</f>
        <v>Breadboard/Protoboard</v>
      </c>
      <c r="D307" s="50" t="str">
        <f>RawList!C276</f>
        <v>Adafruit</v>
      </c>
      <c r="E307" s="50" t="str">
        <f>RawList!H276</f>
        <v>Proto-Screwshield (Wingshield) R3 Kit for Arduino</v>
      </c>
      <c r="F307" s="50" t="str">
        <f>RawList!D276</f>
        <v>196</v>
      </c>
      <c r="G307" s="137">
        <f>RawList!E276</f>
        <v>0</v>
      </c>
      <c r="H307" s="50" t="str">
        <f>IF(EquipmentTable[[#This Row],[Units]]&gt;0,"Quantity &gt; 0 Items","Quantity = 0 Items")</f>
        <v>Quantity = 0 Items</v>
      </c>
      <c r="I307" s="141">
        <f>RawList!J276</f>
        <v>14.95</v>
      </c>
      <c r="J307" s="24">
        <f>VALUE(EquipmentTable[[#This Row],[Units]]*EquipmentTable[[#This Row],[Unit
 Price]])</f>
        <v>0</v>
      </c>
      <c r="K307" s="50">
        <f>RawList!G276</f>
        <v>0</v>
      </c>
      <c r="L307" s="50"/>
      <c r="M307" s="50">
        <f>RawList!F276</f>
        <v>0</v>
      </c>
    </row>
    <row r="308" spans="2:13" x14ac:dyDescent="0.3">
      <c r="B308" s="50" t="str">
        <f>RawList!A277</f>
        <v>Hardware Component</v>
      </c>
      <c r="C308" s="50" t="str">
        <f>RawList!B277</f>
        <v>Breadboard/Protoboard</v>
      </c>
      <c r="D308" s="50" t="str">
        <f>RawList!C277</f>
        <v>Adafruit</v>
      </c>
      <c r="E308" s="50" t="str">
        <f>RawList!H277</f>
        <v>Mega protoshield for Arduino</v>
      </c>
      <c r="F308" s="50" t="str">
        <f>RawList!D277</f>
        <v>192</v>
      </c>
      <c r="G308" s="137">
        <f>RawList!E277</f>
        <v>0</v>
      </c>
      <c r="H308" s="50" t="str">
        <f>IF(EquipmentTable[[#This Row],[Units]]&gt;0,"Quantity &gt; 0 Items","Quantity = 0 Items")</f>
        <v>Quantity = 0 Items</v>
      </c>
      <c r="I308" s="141">
        <f>RawList!J277</f>
        <v>14.95</v>
      </c>
      <c r="J308" s="24">
        <f>VALUE(EquipmentTable[[#This Row],[Units]]*EquipmentTable[[#This Row],[Unit
 Price]])</f>
        <v>0</v>
      </c>
      <c r="K308" s="50">
        <f>RawList!G277</f>
        <v>0</v>
      </c>
      <c r="L308" s="50"/>
      <c r="M308" s="50">
        <f>RawList!F277</f>
        <v>0</v>
      </c>
    </row>
    <row r="309" spans="2:13" x14ac:dyDescent="0.3">
      <c r="B309" s="50" t="str">
        <f>RawList!A278</f>
        <v>Hardware Component</v>
      </c>
      <c r="C309" s="50" t="str">
        <f>RawList!B278</f>
        <v>Breadboard/Protoboard</v>
      </c>
      <c r="D309" s="50" t="str">
        <f>RawList!C278</f>
        <v>Adafruit</v>
      </c>
      <c r="E309" s="50" t="str">
        <f>RawList!H278</f>
        <v>Large Solderless Breadboard</v>
      </c>
      <c r="F309" s="50" t="str">
        <f>RawList!D278</f>
        <v>443</v>
      </c>
      <c r="G309" s="137">
        <f>RawList!E278</f>
        <v>0</v>
      </c>
      <c r="H309" s="50" t="str">
        <f>IF(EquipmentTable[[#This Row],[Units]]&gt;0,"Quantity &gt; 0 Items","Quantity = 0 Items")</f>
        <v>Quantity = 0 Items</v>
      </c>
      <c r="I309" s="141">
        <f>RawList!J278</f>
        <v>19.95</v>
      </c>
      <c r="J309" s="24">
        <f>VALUE(EquipmentTable[[#This Row],[Units]]*EquipmentTable[[#This Row],[Unit
 Price]])</f>
        <v>0</v>
      </c>
      <c r="K309" s="50">
        <f>RawList!G278</f>
        <v>0</v>
      </c>
      <c r="L309" s="50"/>
      <c r="M309" s="50">
        <f>RawList!F278</f>
        <v>0</v>
      </c>
    </row>
    <row r="310" spans="2:13" x14ac:dyDescent="0.3">
      <c r="B310" s="50" t="str">
        <f>RawList!A279</f>
        <v>Hardware Component</v>
      </c>
      <c r="C310" s="50" t="str">
        <f>RawList!B279</f>
        <v>Breadboard/Protoboard</v>
      </c>
      <c r="D310" s="50" t="str">
        <f>RawList!C279</f>
        <v>Adafruit</v>
      </c>
      <c r="E310" s="50" t="str">
        <f>RawList!H279</f>
        <v>Mini Solderless Breadboard - 2x4 Points</v>
      </c>
      <c r="F310" s="50" t="str">
        <f>RawList!D279</f>
        <v>2017</v>
      </c>
      <c r="G310" s="137">
        <f>RawList!E279</f>
        <v>0</v>
      </c>
      <c r="H310" s="50" t="str">
        <f>IF(EquipmentTable[[#This Row],[Units]]&gt;0,"Quantity &gt; 0 Items","Quantity = 0 Items")</f>
        <v>Quantity = 0 Items</v>
      </c>
      <c r="I310" s="141">
        <f>RawList!J279</f>
        <v>0.75</v>
      </c>
      <c r="J310" s="24">
        <f>VALUE(EquipmentTable[[#This Row],[Units]]*EquipmentTable[[#This Row],[Unit
 Price]])</f>
        <v>0</v>
      </c>
      <c r="K310" s="50">
        <f>RawList!G279</f>
        <v>0</v>
      </c>
      <c r="L310" s="50"/>
      <c r="M310" s="50">
        <f>RawList!F279</f>
        <v>0</v>
      </c>
    </row>
    <row r="311" spans="2:13" x14ac:dyDescent="0.3">
      <c r="B311" s="50" t="str">
        <f>RawList!A280</f>
        <v>Hardware Component</v>
      </c>
      <c r="C311" s="50" t="str">
        <f>RawList!B280</f>
        <v>Breadboard/Protoboard</v>
      </c>
      <c r="D311" s="50" t="str">
        <f>RawList!C280</f>
        <v>Adafruit</v>
      </c>
      <c r="E311" s="50" t="str">
        <f>RawList!H280</f>
        <v>Mini Solderless Breadboard - 2x8 Points</v>
      </c>
      <c r="F311" s="50" t="str">
        <f>RawList!D280</f>
        <v>2018</v>
      </c>
      <c r="G311" s="137">
        <f>RawList!E280</f>
        <v>0</v>
      </c>
      <c r="H311" s="50" t="str">
        <f>IF(EquipmentTable[[#This Row],[Units]]&gt;0,"Quantity &gt; 0 Items","Quantity = 0 Items")</f>
        <v>Quantity = 0 Items</v>
      </c>
      <c r="I311" s="141">
        <f>RawList!J280</f>
        <v>0.95</v>
      </c>
      <c r="J311" s="24">
        <f>VALUE(EquipmentTable[[#This Row],[Units]]*EquipmentTable[[#This Row],[Unit
 Price]])</f>
        <v>0</v>
      </c>
      <c r="K311" s="50">
        <f>RawList!G280</f>
        <v>0</v>
      </c>
      <c r="L311" s="50"/>
      <c r="M311" s="50">
        <f>RawList!F280</f>
        <v>0</v>
      </c>
    </row>
    <row r="312" spans="2:13" x14ac:dyDescent="0.3">
      <c r="B312" s="50" t="str">
        <f>RawList!A281</f>
        <v>Hardware Component</v>
      </c>
      <c r="C312" s="50" t="str">
        <f>RawList!B281</f>
        <v>Breadboard/Protoboard</v>
      </c>
      <c r="D312" s="50" t="str">
        <f>RawList!C281</f>
        <v>Adafruit</v>
      </c>
      <c r="E312" s="50" t="str">
        <f>RawList!H281</f>
        <v>Mini Solderless Breadboard - 4x4 Points</v>
      </c>
      <c r="F312" s="50" t="str">
        <f>RawList!D281</f>
        <v>2463</v>
      </c>
      <c r="G312" s="137">
        <f>RawList!E281</f>
        <v>0</v>
      </c>
      <c r="H312" s="50" t="str">
        <f>IF(EquipmentTable[[#This Row],[Units]]&gt;0,"Quantity &gt; 0 Items","Quantity = 0 Items")</f>
        <v>Quantity = 0 Items</v>
      </c>
      <c r="I312" s="141">
        <f>RawList!J281</f>
        <v>0.95</v>
      </c>
      <c r="J312" s="24">
        <f>VALUE(EquipmentTable[[#This Row],[Units]]*EquipmentTable[[#This Row],[Unit
 Price]])</f>
        <v>0</v>
      </c>
      <c r="K312" s="50">
        <f>RawList!G281</f>
        <v>0</v>
      </c>
      <c r="L312" s="50"/>
      <c r="M312" s="50">
        <f>RawList!F281</f>
        <v>0</v>
      </c>
    </row>
    <row r="313" spans="2:13" x14ac:dyDescent="0.3">
      <c r="B313" s="50" t="str">
        <f>RawList!A282</f>
        <v>Hardware Component</v>
      </c>
      <c r="C313" s="50" t="str">
        <f>RawList!B282</f>
        <v>Breadboard/Protoboard</v>
      </c>
      <c r="D313" s="50" t="str">
        <f>RawList!C282</f>
        <v>SparkFun</v>
      </c>
      <c r="E313" s="50" t="str">
        <f>RawList!H282</f>
        <v>SparkFun Snappable Protoboard</v>
      </c>
      <c r="F313" s="50" t="str">
        <f>RawList!D282</f>
        <v>PRT-13268</v>
      </c>
      <c r="G313" s="137">
        <f>RawList!E282</f>
        <v>5</v>
      </c>
      <c r="H313" s="50" t="str">
        <f>IF(EquipmentTable[[#This Row],[Units]]&gt;0,"Quantity &gt; 0 Items","Quantity = 0 Items")</f>
        <v>Quantity &gt; 0 Items</v>
      </c>
      <c r="I313" s="141">
        <f>RawList!J282</f>
        <v>7.95</v>
      </c>
      <c r="J313" s="24">
        <f>VALUE(EquipmentTable[[#This Row],[Units]]*EquipmentTable[[#This Row],[Unit
 Price]])</f>
        <v>39.75</v>
      </c>
      <c r="K313" s="50" t="str">
        <f>RawList!G282</f>
        <v>https://cdn.sparkfun.com/r/92-92/assets/parts/1/0/4/8/9/13268-01.jpg</v>
      </c>
      <c r="L313" s="50"/>
      <c r="M313" s="50" t="str">
        <f>RawList!F282</f>
        <v>https://www.sparkfun.com/products/13268</v>
      </c>
    </row>
    <row r="314" spans="2:13" x14ac:dyDescent="0.3">
      <c r="B314" s="50" t="str">
        <f>RawList!A283</f>
        <v>Hardware Component</v>
      </c>
      <c r="C314" s="50" t="str">
        <f>RawList!B283</f>
        <v>Breadboard/Protoboard</v>
      </c>
      <c r="D314" s="50" t="str">
        <f>RawList!C283</f>
        <v>SparkFun</v>
      </c>
      <c r="E314" s="50" t="str">
        <f>RawList!H283</f>
        <v>SparkFun Big Red Box Proto Board</v>
      </c>
      <c r="F314" s="50" t="str">
        <f>RawList!D283</f>
        <v>DEV-13317</v>
      </c>
      <c r="G314" s="137">
        <f>RawList!E283</f>
        <v>10</v>
      </c>
      <c r="H314" s="50" t="str">
        <f>IF(EquipmentTable[[#This Row],[Units]]&gt;0,"Quantity &gt; 0 Items","Quantity = 0 Items")</f>
        <v>Quantity &gt; 0 Items</v>
      </c>
      <c r="I314" s="141">
        <f>RawList!J283</f>
        <v>7.95</v>
      </c>
      <c r="J314" s="24">
        <f>VALUE(EquipmentTable[[#This Row],[Units]]*EquipmentTable[[#This Row],[Unit
 Price]])</f>
        <v>79.5</v>
      </c>
      <c r="K314" s="50" t="str">
        <f>RawList!G283</f>
        <v>https://cdn.sparkfun.com/r/92-92/assets/parts/1/0/6/0/3/13317-01.jpg</v>
      </c>
      <c r="L314" s="50"/>
      <c r="M314" s="50" t="str">
        <f>RawList!F283</f>
        <v>https://www.sparkfun.com/products/13317</v>
      </c>
    </row>
    <row r="315" spans="2:13" x14ac:dyDescent="0.3">
      <c r="B315" s="50" t="str">
        <f>RawList!A284</f>
        <v>Hardware Component</v>
      </c>
      <c r="C315" s="50" t="str">
        <f>RawList!B284</f>
        <v>Enclosures/Mounts</v>
      </c>
      <c r="D315" s="50" t="str">
        <f>RawList!C284</f>
        <v>SparkFun</v>
      </c>
      <c r="E315" s="50" t="str">
        <f>RawList!H284</f>
        <v>Big Red Box - Enclosure</v>
      </c>
      <c r="F315" s="50" t="str">
        <f>RawList!D284</f>
        <v>PRT-11366</v>
      </c>
      <c r="G315" s="137">
        <f>RawList!E284</f>
        <v>5</v>
      </c>
      <c r="H315" s="50" t="str">
        <f>IF(EquipmentTable[[#This Row],[Units]]&gt;0,"Quantity &gt; 0 Items","Quantity = 0 Items")</f>
        <v>Quantity &gt; 0 Items</v>
      </c>
      <c r="I315" s="141">
        <f>RawList!J284</f>
        <v>8.9499999999999993</v>
      </c>
      <c r="J315" s="24">
        <f>VALUE(EquipmentTable[[#This Row],[Units]]*EquipmentTable[[#This Row],[Unit
 Price]])</f>
        <v>44.75</v>
      </c>
      <c r="K315" s="50" t="str">
        <f>RawList!G284</f>
        <v>https://cdn.sparkfun.com/r/92-92/assets/parts/7/1/0/7/11366-01.jpg</v>
      </c>
      <c r="L315" s="50"/>
      <c r="M315" s="50" t="str">
        <f>RawList!F284</f>
        <v>https://www.sparkfun.com/products/11366</v>
      </c>
    </row>
    <row r="316" spans="2:13" x14ac:dyDescent="0.3">
      <c r="B316" s="50" t="str">
        <f>RawList!A285</f>
        <v>Hardware Component</v>
      </c>
      <c r="C316" s="50" t="str">
        <f>RawList!B285</f>
        <v>Enclosures/Mounts</v>
      </c>
      <c r="D316" s="50" t="str">
        <f>RawList!C285</f>
        <v>SparkFun</v>
      </c>
      <c r="E316" s="50" t="str">
        <f>RawList!H285</f>
        <v>Arduino Project Enclosure</v>
      </c>
      <c r="F316" s="50" t="str">
        <f>RawList!D285</f>
        <v>PRT-10088</v>
      </c>
      <c r="G316" s="137">
        <f>RawList!E285</f>
        <v>5</v>
      </c>
      <c r="H316" s="50" t="str">
        <f>IF(EquipmentTable[[#This Row],[Units]]&gt;0,"Quantity &gt; 0 Items","Quantity = 0 Items")</f>
        <v>Quantity &gt; 0 Items</v>
      </c>
      <c r="I316" s="141">
        <f>RawList!J285</f>
        <v>11.95</v>
      </c>
      <c r="J316" s="24">
        <f>VALUE(EquipmentTable[[#This Row],[Units]]*EquipmentTable[[#This Row],[Unit
 Price]])</f>
        <v>59.75</v>
      </c>
      <c r="K316" s="50" t="str">
        <f>RawList!G285</f>
        <v>https://cdn.sparkfun.com/r/92-92/assets/parts/4/3/1/1/10088-01.jpg</v>
      </c>
      <c r="L316" s="50"/>
      <c r="M316" s="50" t="str">
        <f>RawList!F285</f>
        <v>https://www.sparkfun.com/products/10088</v>
      </c>
    </row>
    <row r="317" spans="2:13" x14ac:dyDescent="0.3">
      <c r="B317" s="50" t="str">
        <f>RawList!A286</f>
        <v>Hardware Component</v>
      </c>
      <c r="C317" s="50" t="str">
        <f>RawList!B286</f>
        <v>Enclosures/Mounts</v>
      </c>
      <c r="D317" s="50" t="str">
        <f>RawList!C286</f>
        <v>SparkFun</v>
      </c>
      <c r="E317" s="50" t="str">
        <f>RawList!H286</f>
        <v>IOIO and Breadboard Holder</v>
      </c>
      <c r="F317" s="50" t="str">
        <f>RawList!D286</f>
        <v>DEV-11632</v>
      </c>
      <c r="G317" s="137">
        <f>RawList!E286</f>
        <v>1</v>
      </c>
      <c r="H317" s="50" t="str">
        <f>IF(EquipmentTable[[#This Row],[Units]]&gt;0,"Quantity &gt; 0 Items","Quantity = 0 Items")</f>
        <v>Quantity &gt; 0 Items</v>
      </c>
      <c r="I317" s="141">
        <f>RawList!J286</f>
        <v>0.1</v>
      </c>
      <c r="J317" s="24">
        <f>VALUE(EquipmentTable[[#This Row],[Units]]*EquipmentTable[[#This Row],[Unit
 Price]])</f>
        <v>0.1</v>
      </c>
      <c r="K317" s="50" t="str">
        <f>RawList!G286</f>
        <v>https://cdn.sparkfun.com/r/92-92/assets/parts/7/6/8/8/11632-01.jpg</v>
      </c>
      <c r="L317" s="50"/>
      <c r="M317" s="50" t="str">
        <f>RawList!F286</f>
        <v>https://www.sparkfun.com/products/11632</v>
      </c>
    </row>
    <row r="318" spans="2:13" x14ac:dyDescent="0.3">
      <c r="B318" s="50" t="str">
        <f>RawList!A287</f>
        <v>Tools</v>
      </c>
      <c r="C318" s="50" t="str">
        <f>RawList!B287</f>
        <v>Enclosures/Mounts</v>
      </c>
      <c r="D318" s="50" t="str">
        <f>RawList!C287</f>
        <v>Adafruit</v>
      </c>
      <c r="E318" s="50" t="str">
        <f>RawList!H287</f>
        <v>Extruded Aluminum Enclosure Box - 100mm x 67mm x 26mm</v>
      </c>
      <c r="F318" s="50" t="str">
        <f>RawList!D287</f>
        <v>2229</v>
      </c>
      <c r="G318" s="137">
        <f>RawList!E287</f>
        <v>0</v>
      </c>
      <c r="H318" s="50" t="str">
        <f>IF(EquipmentTable[[#This Row],[Units]]&gt;0,"Quantity &gt; 0 Items","Quantity = 0 Items")</f>
        <v>Quantity = 0 Items</v>
      </c>
      <c r="I318" s="141">
        <f>RawList!J287</f>
        <v>7.5</v>
      </c>
      <c r="J318" s="24">
        <f>VALUE(EquipmentTable[[#This Row],[Units]]*EquipmentTable[[#This Row],[Unit
 Price]])</f>
        <v>0</v>
      </c>
      <c r="K318" s="50">
        <f>RawList!G287</f>
        <v>0</v>
      </c>
      <c r="L318" s="50"/>
      <c r="M318" s="50">
        <f>RawList!F287</f>
        <v>0</v>
      </c>
    </row>
    <row r="319" spans="2:13" x14ac:dyDescent="0.3">
      <c r="B319" s="50" t="str">
        <f>RawList!A288</f>
        <v>Tools</v>
      </c>
      <c r="C319" s="50" t="str">
        <f>RawList!B288</f>
        <v>Enclosures/Mounts</v>
      </c>
      <c r="D319" s="50" t="str">
        <f>RawList!C288</f>
        <v>Adafruit</v>
      </c>
      <c r="E319" s="50" t="str">
        <f>RawList!H288</f>
        <v>Extruded Aluminum Enclosure Box - 94mm x 83mm x 30mm</v>
      </c>
      <c r="F319" s="50" t="str">
        <f>RawList!D288</f>
        <v>2230</v>
      </c>
      <c r="G319" s="137">
        <f>RawList!E288</f>
        <v>0</v>
      </c>
      <c r="H319" s="50" t="str">
        <f>IF(EquipmentTable[[#This Row],[Units]]&gt;0,"Quantity &gt; 0 Items","Quantity = 0 Items")</f>
        <v>Quantity = 0 Items</v>
      </c>
      <c r="I319" s="141">
        <f>RawList!J288</f>
        <v>5.95</v>
      </c>
      <c r="J319" s="24">
        <f>VALUE(EquipmentTable[[#This Row],[Units]]*EquipmentTable[[#This Row],[Unit
 Price]])</f>
        <v>0</v>
      </c>
      <c r="K319" s="50">
        <f>RawList!G288</f>
        <v>0</v>
      </c>
      <c r="L319" s="50"/>
      <c r="M319" s="50">
        <f>RawList!F288</f>
        <v>0</v>
      </c>
    </row>
    <row r="320" spans="2:13" x14ac:dyDescent="0.3">
      <c r="B320" s="50" t="str">
        <f>RawList!A289</f>
        <v>Hardware Component</v>
      </c>
      <c r="C320" s="50" t="str">
        <f>RawList!B289</f>
        <v>Hardware Components/Accessories</v>
      </c>
      <c r="D320" s="50" t="str">
        <f>RawList!C289</f>
        <v>SparkFun</v>
      </c>
      <c r="E320" s="50" t="str">
        <f>RawList!H289</f>
        <v>Silicone Bumpers - Large (10x16.5mm, 4 pack)</v>
      </c>
      <c r="F320" s="50" t="str">
        <f>RawList!D289</f>
        <v>COM-10594</v>
      </c>
      <c r="G320" s="137">
        <f>RawList!E289</f>
        <v>5</v>
      </c>
      <c r="H320" s="50" t="str">
        <f>IF(EquipmentTable[[#This Row],[Units]]&gt;0,"Quantity &gt; 0 Items","Quantity = 0 Items")</f>
        <v>Quantity &gt; 0 Items</v>
      </c>
      <c r="I320" s="141">
        <f>RawList!J289</f>
        <v>0.95</v>
      </c>
      <c r="J320" s="24">
        <f>VALUE(EquipmentTable[[#This Row],[Units]]*EquipmentTable[[#This Row],[Unit
 Price]])</f>
        <v>4.75</v>
      </c>
      <c r="K320" s="50" t="str">
        <f>RawList!G289</f>
        <v>https://cdn.sparkfun.com/r/92-92/assets/parts/5/1/6/0/10594-01.jpg</v>
      </c>
      <c r="L320" s="50"/>
      <c r="M320" s="50" t="str">
        <f>RawList!F289</f>
        <v>https://www.sparkfun.com/products/10594</v>
      </c>
    </row>
    <row r="321" spans="2:13" x14ac:dyDescent="0.3">
      <c r="B321" s="50" t="str">
        <f>RawList!A290</f>
        <v>Hardware Component</v>
      </c>
      <c r="C321" s="50" t="str">
        <f>RawList!B290</f>
        <v>Hardware Components/Accessories</v>
      </c>
      <c r="D321" s="50" t="str">
        <f>RawList!C290</f>
        <v>SparkFun</v>
      </c>
      <c r="E321" s="50" t="str">
        <f>RawList!H290</f>
        <v>Silicone Bumpers - Small, Clear (8x2mm, 5 pack)</v>
      </c>
      <c r="F321" s="50" t="str">
        <f>RawList!D290</f>
        <v>PRT-10230</v>
      </c>
      <c r="G321" s="137">
        <f>RawList!E290</f>
        <v>5</v>
      </c>
      <c r="H321" s="50" t="str">
        <f>IF(EquipmentTable[[#This Row],[Units]]&gt;0,"Quantity &gt; 0 Items","Quantity = 0 Items")</f>
        <v>Quantity &gt; 0 Items</v>
      </c>
      <c r="I321" s="141">
        <f>RawList!J290</f>
        <v>0.95</v>
      </c>
      <c r="J321" s="24">
        <f>VALUE(EquipmentTable[[#This Row],[Units]]*EquipmentTable[[#This Row],[Unit
 Price]])</f>
        <v>4.75</v>
      </c>
      <c r="K321" s="50" t="str">
        <f>RawList!G290</f>
        <v>https://cdn.sparkfun.com/r/92-92/assets/parts/4/5/8/0/10230-01a.jpg</v>
      </c>
      <c r="L321" s="50"/>
      <c r="M321" s="50" t="str">
        <f>RawList!F290</f>
        <v>https://www.sparkfun.com/products/10230</v>
      </c>
    </row>
    <row r="322" spans="2:13" x14ac:dyDescent="0.3">
      <c r="B322" s="50" t="str">
        <f>RawList!A291</f>
        <v>Hardware Component</v>
      </c>
      <c r="C322" s="50" t="str">
        <f>RawList!B291</f>
        <v>Hardware Components/Accessories</v>
      </c>
      <c r="D322" s="50" t="str">
        <f>RawList!C291</f>
        <v>Adafruit</v>
      </c>
      <c r="E322" s="50" t="str">
        <f>RawList!H291</f>
        <v xml:space="preserve">Little Rubber Bumper Feet - Pack of 4 </v>
      </c>
      <c r="F322" s="50" t="str">
        <f>RawList!D291</f>
        <v>550</v>
      </c>
      <c r="G322" s="137">
        <f>RawList!E291</f>
        <v>0</v>
      </c>
      <c r="H322" s="50" t="str">
        <f>IF(EquipmentTable[[#This Row],[Units]]&gt;0,"Quantity &gt; 0 Items","Quantity = 0 Items")</f>
        <v>Quantity = 0 Items</v>
      </c>
      <c r="I322" s="141">
        <f>RawList!J291</f>
        <v>0.95</v>
      </c>
      <c r="J322" s="24">
        <f>VALUE(EquipmentTable[[#This Row],[Units]]*EquipmentTable[[#This Row],[Unit
 Price]])</f>
        <v>0</v>
      </c>
      <c r="K322" s="50">
        <f>RawList!G291</f>
        <v>0</v>
      </c>
      <c r="L322" s="50"/>
      <c r="M322" s="50">
        <f>RawList!F291</f>
        <v>0</v>
      </c>
    </row>
    <row r="323" spans="2:13" x14ac:dyDescent="0.3">
      <c r="B323" s="50" t="str">
        <f>RawList!A292</f>
        <v>Hardware Component</v>
      </c>
      <c r="C323" s="50" t="str">
        <f>RawList!B292</f>
        <v>Hardware Components/Accessories</v>
      </c>
      <c r="D323" s="50" t="str">
        <f>RawList!C292</f>
        <v>SparkFun</v>
      </c>
      <c r="E323" s="50" t="str">
        <f>RawList!H292</f>
        <v>Heat Shrink Kit</v>
      </c>
      <c r="F323" s="50" t="str">
        <f>RawList!D292</f>
        <v>PRT-09353</v>
      </c>
      <c r="G323" s="137">
        <f>RawList!E292</f>
        <v>2</v>
      </c>
      <c r="H323" s="50" t="str">
        <f>IF(EquipmentTable[[#This Row],[Units]]&gt;0,"Quantity &gt; 0 Items","Quantity = 0 Items")</f>
        <v>Quantity &gt; 0 Items</v>
      </c>
      <c r="I323" s="141">
        <f>RawList!J292</f>
        <v>7.95</v>
      </c>
      <c r="J323" s="24">
        <f>VALUE(EquipmentTable[[#This Row],[Units]]*EquipmentTable[[#This Row],[Unit
 Price]])</f>
        <v>15.9</v>
      </c>
      <c r="K323" s="50" t="str">
        <f>RawList!G292</f>
        <v>https://cdn.sparkfun.com/r/92-92/assets/parts/2/9/2/3/09353-01.jpg</v>
      </c>
      <c r="L323" s="50"/>
      <c r="M323" s="50" t="str">
        <f>RawList!F292</f>
        <v>https://www.sparkfun.com/products/9353</v>
      </c>
    </row>
    <row r="324" spans="2:13" x14ac:dyDescent="0.3">
      <c r="B324" s="50" t="str">
        <f>RawList!A293</f>
        <v>Hardware Component</v>
      </c>
      <c r="C324" s="50" t="str">
        <f>RawList!B293</f>
        <v>Hardware Components/Accessories</v>
      </c>
      <c r="D324" s="50" t="str">
        <f>RawList!C293</f>
        <v>Adafruit</v>
      </c>
      <c r="E324" s="50" t="str">
        <f>RawList!H293</f>
        <v>Heat Shrink Pack</v>
      </c>
      <c r="F324" s="50" t="str">
        <f>RawList!D293</f>
        <v>344</v>
      </c>
      <c r="G324" s="137">
        <f>RawList!E293</f>
        <v>0</v>
      </c>
      <c r="H324" s="50" t="str">
        <f>IF(EquipmentTable[[#This Row],[Units]]&gt;0,"Quantity &gt; 0 Items","Quantity = 0 Items")</f>
        <v>Quantity = 0 Items</v>
      </c>
      <c r="I324" s="141">
        <f>RawList!J293</f>
        <v>4.95</v>
      </c>
      <c r="J324" s="24">
        <f>VALUE(EquipmentTable[[#This Row],[Units]]*EquipmentTable[[#This Row],[Unit
 Price]])</f>
        <v>0</v>
      </c>
      <c r="K324" s="50">
        <f>RawList!G293</f>
        <v>0</v>
      </c>
      <c r="L324" s="50"/>
      <c r="M324" s="50">
        <f>RawList!F293</f>
        <v>0</v>
      </c>
    </row>
    <row r="325" spans="2:13" x14ac:dyDescent="0.3">
      <c r="B325" s="50" t="str">
        <f>RawList!A294</f>
        <v>Hardware Component</v>
      </c>
      <c r="C325" s="50" t="str">
        <f>RawList!B294</f>
        <v>Plastics Fabrication</v>
      </c>
      <c r="D325" s="50" t="str">
        <f>RawList!C294</f>
        <v>SparkFun</v>
      </c>
      <c r="E325" s="50" t="str">
        <f>RawList!H294</f>
        <v>Polymorph - 1000g</v>
      </c>
      <c r="F325" s="50" t="str">
        <f>RawList!D294</f>
        <v>TOL-10951</v>
      </c>
      <c r="G325" s="137">
        <f>RawList!E294</f>
        <v>1</v>
      </c>
      <c r="H325" s="50" t="str">
        <f>IF(EquipmentTable[[#This Row],[Units]]&gt;0,"Quantity &gt; 0 Items","Quantity = 0 Items")</f>
        <v>Quantity &gt; 0 Items</v>
      </c>
      <c r="I325" s="141">
        <f>RawList!J294</f>
        <v>34.950000000000003</v>
      </c>
      <c r="J325" s="24">
        <f>VALUE(EquipmentTable[[#This Row],[Units]]*EquipmentTable[[#This Row],[Unit
 Price]])</f>
        <v>34.950000000000003</v>
      </c>
      <c r="K325" s="50" t="str">
        <f>RawList!G294</f>
        <v>https://cdn.sparkfun.com/r/92-92/assets/parts/6/1/2/8/10951-01a.jpg</v>
      </c>
      <c r="L325" s="50"/>
      <c r="M325" s="50" t="str">
        <f>RawList!F294</f>
        <v>https://www.sparkfun.com/products/10951</v>
      </c>
    </row>
    <row r="326" spans="2:13" x14ac:dyDescent="0.3">
      <c r="B326" s="50" t="str">
        <f>RawList!A295</f>
        <v>Hardware Component</v>
      </c>
      <c r="C326" s="50" t="str">
        <f>RawList!B295</f>
        <v>Plastics Fabrication</v>
      </c>
      <c r="D326" s="50" t="str">
        <f>RawList!C295</f>
        <v>SparkFun</v>
      </c>
      <c r="E326" s="50" t="str">
        <f>RawList!H295</f>
        <v>Polymorph - 250g</v>
      </c>
      <c r="F326" s="50" t="str">
        <f>RawList!D295</f>
        <v>TOL-10950</v>
      </c>
      <c r="G326" s="137">
        <f>RawList!E295</f>
        <v>0</v>
      </c>
      <c r="H326" s="50" t="str">
        <f>IF(EquipmentTable[[#This Row],[Units]]&gt;0,"Quantity &gt; 0 Items","Quantity = 0 Items")</f>
        <v>Quantity = 0 Items</v>
      </c>
      <c r="I326" s="141">
        <f>RawList!J295</f>
        <v>9.9499999999999993</v>
      </c>
      <c r="J326" s="24">
        <f>VALUE(EquipmentTable[[#This Row],[Units]]*EquipmentTable[[#This Row],[Unit
 Price]])</f>
        <v>0</v>
      </c>
      <c r="K326" s="50" t="str">
        <f>RawList!G295</f>
        <v>https://cdn.sparkfun.com/r/92-92/assets/parts/6/1/2/7/10950-01.jpg</v>
      </c>
      <c r="L326" s="50"/>
      <c r="M326" s="50" t="str">
        <f>RawList!F295</f>
        <v>https://www.sparkfun.com/products/10950</v>
      </c>
    </row>
    <row r="327" spans="2:13" x14ac:dyDescent="0.3">
      <c r="B327" s="50" t="str">
        <f>RawList!A296</f>
        <v>Hardware Component</v>
      </c>
      <c r="C327" s="50" t="str">
        <f>RawList!B296</f>
        <v>Plastics Fabrication</v>
      </c>
      <c r="D327" s="50" t="str">
        <f>RawList!C296</f>
        <v>Adafruit</v>
      </c>
      <c r="E327" s="50" t="str">
        <f>RawList!H296</f>
        <v>Hand-Moldable Plastic - Low Temperature Thermoplastic - 100g Bag</v>
      </c>
      <c r="F327" s="50" t="str">
        <f>RawList!D296</f>
        <v>2504</v>
      </c>
      <c r="G327" s="137">
        <f>RawList!E296</f>
        <v>3</v>
      </c>
      <c r="H327" s="50" t="str">
        <f>IF(EquipmentTable[[#This Row],[Units]]&gt;0,"Quantity &gt; 0 Items","Quantity = 0 Items")</f>
        <v>Quantity &gt; 0 Items</v>
      </c>
      <c r="I327" s="141">
        <f>RawList!J296</f>
        <v>4.95</v>
      </c>
      <c r="J327" s="24">
        <f>VALUE(EquipmentTable[[#This Row],[Units]]*EquipmentTable[[#This Row],[Unit
 Price]])</f>
        <v>14.850000000000001</v>
      </c>
      <c r="K327" s="50">
        <f>RawList!G296</f>
        <v>0</v>
      </c>
      <c r="L327" s="50"/>
      <c r="M327" s="50">
        <f>RawList!F296</f>
        <v>0</v>
      </c>
    </row>
    <row r="328" spans="2:13" x14ac:dyDescent="0.3">
      <c r="B328" s="50" t="str">
        <f>RawList!A297</f>
        <v>Hardware Component</v>
      </c>
      <c r="C328" s="50" t="str">
        <f>RawList!B297</f>
        <v>Plastics Fabrication</v>
      </c>
      <c r="D328" s="50" t="str">
        <f>RawList!C297</f>
        <v>Adafruit</v>
      </c>
      <c r="E328" s="50" t="str">
        <f>RawList!H297</f>
        <v>Sugru - Black and White Pack</v>
      </c>
      <c r="F328" s="50" t="str">
        <f>RawList!D297</f>
        <v>437</v>
      </c>
      <c r="G328" s="137">
        <f>RawList!E297</f>
        <v>1</v>
      </c>
      <c r="H328" s="50" t="str">
        <f>IF(EquipmentTable[[#This Row],[Units]]&gt;0,"Quantity &gt; 0 Items","Quantity = 0 Items")</f>
        <v>Quantity &gt; 0 Items</v>
      </c>
      <c r="I328" s="141">
        <f>RawList!J297</f>
        <v>17.95</v>
      </c>
      <c r="J328" s="24">
        <f>VALUE(EquipmentTable[[#This Row],[Units]]*EquipmentTable[[#This Row],[Unit
 Price]])</f>
        <v>17.95</v>
      </c>
      <c r="K328" s="50">
        <f>RawList!G297</f>
        <v>0</v>
      </c>
      <c r="L328" s="50"/>
      <c r="M328" s="50">
        <f>RawList!F297</f>
        <v>0</v>
      </c>
    </row>
    <row r="329" spans="2:13" x14ac:dyDescent="0.3">
      <c r="B329" s="50" t="str">
        <f>RawList!A298</f>
        <v>Hardware Component</v>
      </c>
      <c r="C329" s="50" t="str">
        <f>RawList!B298</f>
        <v>Heat Insulation/Dissipation</v>
      </c>
      <c r="D329" s="50" t="str">
        <f>RawList!C298</f>
        <v>SparkFun</v>
      </c>
      <c r="E329" s="50" t="str">
        <f>RawList!H298</f>
        <v>Small Heatsink</v>
      </c>
      <c r="F329" s="50" t="str">
        <f>RawList!D298</f>
        <v>PRT-11510</v>
      </c>
      <c r="G329" s="137">
        <f>RawList!E298</f>
        <v>3</v>
      </c>
      <c r="H329" s="50" t="str">
        <f>IF(EquipmentTable[[#This Row],[Units]]&gt;0,"Quantity &gt; 0 Items","Quantity = 0 Items")</f>
        <v>Quantity &gt; 0 Items</v>
      </c>
      <c r="I329" s="141">
        <f>RawList!J298</f>
        <v>1.95</v>
      </c>
      <c r="J329" s="24">
        <f>VALUE(EquipmentTable[[#This Row],[Units]]*EquipmentTable[[#This Row],[Unit
 Price]])</f>
        <v>5.85</v>
      </c>
      <c r="K329" s="50" t="str">
        <f>RawList!G298</f>
        <v>https://cdn.sparkfun.com/r/92-92/assets/parts/5/7/0/4/10746-02a.jpg</v>
      </c>
      <c r="L329" s="50"/>
      <c r="M329" s="50" t="str">
        <f>RawList!F298</f>
        <v>https://www.sparkfun.com/products/11510</v>
      </c>
    </row>
    <row r="330" spans="2:13" x14ac:dyDescent="0.3">
      <c r="B330" s="50" t="str">
        <f>RawList!A299</f>
        <v>Hardware Component</v>
      </c>
      <c r="C330" s="50" t="str">
        <f>RawList!B299</f>
        <v>Heat Insulation/Dissipation</v>
      </c>
      <c r="D330" s="50" t="str">
        <f>RawList!C299</f>
        <v>SparkFun</v>
      </c>
      <c r="E330" s="50" t="str">
        <f>RawList!H299</f>
        <v>Medium Heatsink</v>
      </c>
      <c r="F330" s="50" t="str">
        <f>RawList!D299</f>
        <v>PRT-14340</v>
      </c>
      <c r="G330" s="137">
        <f>RawList!E299</f>
        <v>3</v>
      </c>
      <c r="H330" s="50" t="str">
        <f>IF(EquipmentTable[[#This Row],[Units]]&gt;0,"Quantity &gt; 0 Items","Quantity = 0 Items")</f>
        <v>Quantity &gt; 0 Items</v>
      </c>
      <c r="I330" s="141">
        <f>RawList!J299</f>
        <v>1.5</v>
      </c>
      <c r="J330" s="24">
        <f>VALUE(EquipmentTable[[#This Row],[Units]]*EquipmentTable[[#This Row],[Unit
 Price]])</f>
        <v>4.5</v>
      </c>
      <c r="K330" s="50" t="str">
        <f>RawList!G299</f>
        <v>https://cdn.sparkfun.com/r/92-92/assets/parts/1/2/3/1/6/14340-01.jpg</v>
      </c>
      <c r="L330" s="50"/>
      <c r="M330" s="50" t="str">
        <f>RawList!F299</f>
        <v>https://www.sparkfun.com/products/14340</v>
      </c>
    </row>
    <row r="331" spans="2:13" x14ac:dyDescent="0.3">
      <c r="B331" s="50" t="str">
        <f>RawList!A300</f>
        <v>Hardware Component</v>
      </c>
      <c r="C331" s="50" t="str">
        <f>RawList!B300</f>
        <v>Heat Insulation/Dissipation</v>
      </c>
      <c r="D331" s="50" t="str">
        <f>RawList!C300</f>
        <v>SparkFun</v>
      </c>
      <c r="E331" s="50" t="str">
        <f>RawList!H300</f>
        <v>Heatsink TO-220</v>
      </c>
      <c r="F331" s="50" t="str">
        <f>RawList!D300</f>
        <v>PRT-00121</v>
      </c>
      <c r="G331" s="137">
        <f>RawList!E300</f>
        <v>3</v>
      </c>
      <c r="H331" s="50" t="str">
        <f>IF(EquipmentTable[[#This Row],[Units]]&gt;0,"Quantity &gt; 0 Items","Quantity = 0 Items")</f>
        <v>Quantity &gt; 0 Items</v>
      </c>
      <c r="I331" s="141">
        <f>RawList!J300</f>
        <v>0.95</v>
      </c>
      <c r="J331" s="24">
        <f>VALUE(EquipmentTable[[#This Row],[Units]]*EquipmentTable[[#This Row],[Unit
 Price]])</f>
        <v>2.8499999999999996</v>
      </c>
      <c r="K331" s="50" t="str">
        <f>RawList!G300</f>
        <v>https://cdn.sparkfun.com/r/92-92/assets/parts/1/1/0/00121-02.jpg</v>
      </c>
      <c r="L331" s="50"/>
      <c r="M331" s="50" t="str">
        <f>RawList!F300</f>
        <v>https://www.sparkfun.com/products/121</v>
      </c>
    </row>
    <row r="332" spans="2:13" x14ac:dyDescent="0.3">
      <c r="B332" s="50" t="str">
        <f>RawList!A301</f>
        <v>Hardware Component</v>
      </c>
      <c r="C332" s="50" t="str">
        <f>RawList!B301</f>
        <v>Heat Insulation/Dissipation</v>
      </c>
      <c r="D332" s="50" t="str">
        <f>RawList!C301</f>
        <v>Adafruit</v>
      </c>
      <c r="E332" s="50" t="str">
        <f>RawList!H301</f>
        <v xml:space="preserve">TO-220 Clip-On Heatsink </v>
      </c>
      <c r="F332" s="50" t="str">
        <f>RawList!D301</f>
        <v>977</v>
      </c>
      <c r="G332" s="137">
        <f>RawList!E301</f>
        <v>10</v>
      </c>
      <c r="H332" s="50" t="str">
        <f>IF(EquipmentTable[[#This Row],[Units]]&gt;0,"Quantity &gt; 0 Items","Quantity = 0 Items")</f>
        <v>Quantity &gt; 0 Items</v>
      </c>
      <c r="I332" s="141">
        <f>RawList!J301</f>
        <v>0.75</v>
      </c>
      <c r="J332" s="24">
        <f>VALUE(EquipmentTable[[#This Row],[Units]]*EquipmentTable[[#This Row],[Unit
 Price]])</f>
        <v>7.5</v>
      </c>
      <c r="K332" s="50">
        <f>RawList!G301</f>
        <v>0</v>
      </c>
      <c r="L332" s="50"/>
      <c r="M332" s="50">
        <f>RawList!F301</f>
        <v>0</v>
      </c>
    </row>
    <row r="333" spans="2:13" x14ac:dyDescent="0.3">
      <c r="B333" s="50" t="str">
        <f>RawList!A302</f>
        <v>Hardware Component</v>
      </c>
      <c r="C333" s="50" t="str">
        <f>RawList!B302</f>
        <v>Heat Insulation/Dissipation</v>
      </c>
      <c r="D333" s="50" t="str">
        <f>RawList!C302</f>
        <v>SparkFun</v>
      </c>
      <c r="E333" s="50" t="str">
        <f>RawList!H302</f>
        <v>Heatsink Compound</v>
      </c>
      <c r="F333" s="50" t="str">
        <f>RawList!D302</f>
        <v>PRT-09599</v>
      </c>
      <c r="G333" s="137">
        <f>RawList!E302</f>
        <v>2</v>
      </c>
      <c r="H333" s="50" t="str">
        <f>IF(EquipmentTable[[#This Row],[Units]]&gt;0,"Quantity &gt; 0 Items","Quantity = 0 Items")</f>
        <v>Quantity &gt; 0 Items</v>
      </c>
      <c r="I333" s="141">
        <f>RawList!J302</f>
        <v>1.95</v>
      </c>
      <c r="J333" s="24">
        <f>VALUE(EquipmentTable[[#This Row],[Units]]*EquipmentTable[[#This Row],[Unit
 Price]])</f>
        <v>3.9</v>
      </c>
      <c r="K333" s="50" t="str">
        <f>RawList!G302</f>
        <v>https://cdn.sparkfun.com/r/92-92/assets/parts/3/4/2/2/09599-01.jpg</v>
      </c>
      <c r="L333" s="50"/>
      <c r="M333" s="50" t="str">
        <f>RawList!F302</f>
        <v>https://www.sparkfun.com/products/9599</v>
      </c>
    </row>
    <row r="334" spans="2:13" x14ac:dyDescent="0.3">
      <c r="B334" s="50" t="str">
        <f>RawList!A303</f>
        <v>Hardware Component</v>
      </c>
      <c r="C334" s="50" t="str">
        <f>RawList!B303</f>
        <v>Heat Insulation/Dissipation</v>
      </c>
      <c r="D334" s="50" t="str">
        <f>RawList!C303</f>
        <v>SparkFun</v>
      </c>
      <c r="E334" s="50" t="str">
        <f>RawList!H303</f>
        <v>Theragrip Thermal Tape</v>
      </c>
      <c r="F334" s="50" t="str">
        <f>RawList!D303</f>
        <v>PRT-09771</v>
      </c>
      <c r="G334" s="137">
        <f>RawList!E303</f>
        <v>3</v>
      </c>
      <c r="H334" s="50" t="str">
        <f>IF(EquipmentTable[[#This Row],[Units]]&gt;0,"Quantity &gt; 0 Items","Quantity = 0 Items")</f>
        <v>Quantity &gt; 0 Items</v>
      </c>
      <c r="I334" s="141">
        <f>RawList!J303</f>
        <v>3.95</v>
      </c>
      <c r="J334" s="24">
        <f>VALUE(EquipmentTable[[#This Row],[Units]]*EquipmentTable[[#This Row],[Unit
 Price]])</f>
        <v>11.850000000000001</v>
      </c>
      <c r="K334" s="50" t="str">
        <f>RawList!G303</f>
        <v>https://cdn.sparkfun.com/r/92-92/assets/parts/3/7/4/5/09771-04.jpg</v>
      </c>
      <c r="L334" s="50"/>
      <c r="M334" s="50" t="str">
        <f>RawList!F303</f>
        <v>https://www.sparkfun.com/products/9771</v>
      </c>
    </row>
    <row r="335" spans="2:13" x14ac:dyDescent="0.3">
      <c r="B335" s="50" t="str">
        <f>RawList!A304</f>
        <v>Hardware Component</v>
      </c>
      <c r="C335" s="50" t="str">
        <f>RawList!B304</f>
        <v>Standoffs/Screws</v>
      </c>
      <c r="D335" s="50" t="str">
        <f>RawList!C304</f>
        <v>SparkFun</v>
      </c>
      <c r="E335" s="50" t="str">
        <f>RawList!H304</f>
        <v>Standoff - Nylon (4-40; 3/4\"; 10 pack)</v>
      </c>
      <c r="F335" s="50" t="str">
        <f>RawList!D304</f>
        <v>PRT-11796</v>
      </c>
      <c r="G335" s="137">
        <f>RawList!E304</f>
        <v>3</v>
      </c>
      <c r="H335" s="50" t="str">
        <f>IF(EquipmentTable[[#This Row],[Units]]&gt;0,"Quantity &gt; 0 Items","Quantity = 0 Items")</f>
        <v>Quantity &gt; 0 Items</v>
      </c>
      <c r="I335" s="141">
        <f>RawList!J304</f>
        <v>3.95</v>
      </c>
      <c r="J335" s="24">
        <f>VALUE(EquipmentTable[[#This Row],[Units]]*EquipmentTable[[#This Row],[Unit
 Price]])</f>
        <v>11.850000000000001</v>
      </c>
      <c r="K335" s="50" t="str">
        <f>RawList!G304</f>
        <v>https://cdn.sparkfun.com/r/92-92/assets/parts/8/0/8/2/10315_03b.jpg</v>
      </c>
      <c r="L335" s="50"/>
      <c r="M335" s="50" t="str">
        <f>RawList!F304</f>
        <v>https://www.sparkfun.com/products/11796</v>
      </c>
    </row>
    <row r="336" spans="2:13" x14ac:dyDescent="0.3">
      <c r="B336" s="50" t="str">
        <f>RawList!A305</f>
        <v>Hardware Component</v>
      </c>
      <c r="C336" s="50" t="str">
        <f>RawList!B305</f>
        <v>Standoffs/Screws</v>
      </c>
      <c r="D336" s="50" t="str">
        <f>RawList!C305</f>
        <v>SparkFun</v>
      </c>
      <c r="E336" s="50" t="str">
        <f>RawList!H305</f>
        <v>Standoff - Nylon (4-40; 3/8\"; 10 pack)</v>
      </c>
      <c r="F336" s="50" t="str">
        <f>RawList!D305</f>
        <v>PRT-10927</v>
      </c>
      <c r="G336" s="137">
        <f>RawList!E305</f>
        <v>5</v>
      </c>
      <c r="H336" s="50" t="str">
        <f>IF(EquipmentTable[[#This Row],[Units]]&gt;0,"Quantity &gt; 0 Items","Quantity = 0 Items")</f>
        <v>Quantity &gt; 0 Items</v>
      </c>
      <c r="I336" s="141">
        <f>RawList!J305</f>
        <v>2.95</v>
      </c>
      <c r="J336" s="24">
        <f>VALUE(EquipmentTable[[#This Row],[Units]]*EquipmentTable[[#This Row],[Unit
 Price]])</f>
        <v>14.75</v>
      </c>
      <c r="K336" s="50" t="str">
        <f>RawList!G305</f>
        <v>https://cdn.sparkfun.com/r/92-92/assets/parts/6/0/7/1/10927-03.jpg</v>
      </c>
      <c r="L336" s="50"/>
      <c r="M336" s="50" t="str">
        <f>RawList!F305</f>
        <v>https://www.sparkfun.com/products/10927</v>
      </c>
    </row>
    <row r="337" spans="2:13" x14ac:dyDescent="0.3">
      <c r="B337" s="50" t="str">
        <f>RawList!A306</f>
        <v>Hardware Component</v>
      </c>
      <c r="C337" s="50" t="str">
        <f>RawList!B306</f>
        <v>Standoffs/Screws</v>
      </c>
      <c r="D337" s="50" t="str">
        <f>RawList!C306</f>
        <v>SparkFun</v>
      </c>
      <c r="E337" s="50" t="str">
        <f>RawList!H306</f>
        <v>Screw - Phillips Head (1/4\", 4-40, 10 pack)</v>
      </c>
      <c r="F337" s="50" t="str">
        <f>RawList!D306</f>
        <v>PRT-10453</v>
      </c>
      <c r="G337" s="137">
        <f>RawList!E306</f>
        <v>5</v>
      </c>
      <c r="H337" s="50" t="str">
        <f>IF(EquipmentTable[[#This Row],[Units]]&gt;0,"Quantity &gt; 0 Items","Quantity = 0 Items")</f>
        <v>Quantity &gt; 0 Items</v>
      </c>
      <c r="I337" s="141">
        <f>RawList!J306</f>
        <v>1.5</v>
      </c>
      <c r="J337" s="24">
        <f>VALUE(EquipmentTable[[#This Row],[Units]]*EquipmentTable[[#This Row],[Unit
 Price]])</f>
        <v>7.5</v>
      </c>
      <c r="K337" s="50" t="str">
        <f>RawList!G306</f>
        <v>https://cdn.sparkfun.com/r/92-92/assets/parts/4/9/4/7/10453-01.jpg</v>
      </c>
      <c r="L337" s="50"/>
      <c r="M337" s="50" t="str">
        <f>RawList!F306</f>
        <v>https://www.sparkfun.com/products/10453</v>
      </c>
    </row>
    <row r="338" spans="2:13" x14ac:dyDescent="0.3">
      <c r="B338" s="50" t="str">
        <f>RawList!A307</f>
        <v>Hardware Component</v>
      </c>
      <c r="C338" s="50" t="str">
        <f>RawList!B307</f>
        <v>Standoffs/Screws</v>
      </c>
      <c r="D338" s="50" t="str">
        <f>RawList!C307</f>
        <v>SparkFun</v>
      </c>
      <c r="E338" s="50" t="str">
        <f>RawList!H307</f>
        <v>Standoff - Metal (1\", 4-40, 10 pack)</v>
      </c>
      <c r="F338" s="50" t="str">
        <f>RawList!D307</f>
        <v>PRT-10738</v>
      </c>
      <c r="G338" s="137">
        <f>RawList!E307</f>
        <v>3</v>
      </c>
      <c r="H338" s="50" t="str">
        <f>IF(EquipmentTable[[#This Row],[Units]]&gt;0,"Quantity &gt; 0 Items","Quantity = 0 Items")</f>
        <v>Quantity &gt; 0 Items</v>
      </c>
      <c r="I338" s="141">
        <f>RawList!J307</f>
        <v>3.95</v>
      </c>
      <c r="J338" s="24">
        <f>VALUE(EquipmentTable[[#This Row],[Units]]*EquipmentTable[[#This Row],[Unit
 Price]])</f>
        <v>11.850000000000001</v>
      </c>
      <c r="K338" s="50" t="str">
        <f>RawList!G307</f>
        <v>https://cdn.sparkfun.com/r/92-92/assets/parts/5/6/4/4/10738-01.jpg</v>
      </c>
      <c r="L338" s="50"/>
      <c r="M338" s="50" t="str">
        <f>RawList!F307</f>
        <v>https://www.sparkfun.com/products/10738</v>
      </c>
    </row>
    <row r="339" spans="2:13" x14ac:dyDescent="0.3">
      <c r="B339" s="50" t="str">
        <f>RawList!A308</f>
        <v>Hardware Component</v>
      </c>
      <c r="C339" s="50" t="str">
        <f>RawList!B308</f>
        <v>Standoffs/Screws</v>
      </c>
      <c r="D339" s="50" t="str">
        <f>RawList!C308</f>
        <v>SparkFun</v>
      </c>
      <c r="E339" s="50" t="str">
        <f>RawList!H308</f>
        <v>Screw - Phillips Head (1\", 4-40, 10 pack)</v>
      </c>
      <c r="F339" s="50" t="str">
        <f>RawList!D308</f>
        <v>PRT-10450</v>
      </c>
      <c r="G339" s="137">
        <f>RawList!E308</f>
        <v>5</v>
      </c>
      <c r="H339" s="50" t="str">
        <f>IF(EquipmentTable[[#This Row],[Units]]&gt;0,"Quantity &gt; 0 Items","Quantity = 0 Items")</f>
        <v>Quantity &gt; 0 Items</v>
      </c>
      <c r="I339" s="141">
        <f>RawList!J308</f>
        <v>0.46</v>
      </c>
      <c r="J339" s="24">
        <f>VALUE(EquipmentTable[[#This Row],[Units]]*EquipmentTable[[#This Row],[Unit
 Price]])</f>
        <v>2.3000000000000003</v>
      </c>
      <c r="K339" s="50" t="str">
        <f>RawList!G308</f>
        <v>https://cdn.sparkfun.com/r/92-92/assets/parts/4/9/3/9/10450-02.jpg</v>
      </c>
      <c r="L339" s="50"/>
      <c r="M339" s="50" t="str">
        <f>RawList!F308</f>
        <v>https://www.sparkfun.com/products/10450</v>
      </c>
    </row>
    <row r="340" spans="2:13" x14ac:dyDescent="0.3">
      <c r="B340" s="50" t="str">
        <f>RawList!A309</f>
        <v>Hardware Component</v>
      </c>
      <c r="C340" s="50" t="str">
        <f>RawList!B309</f>
        <v>Standoffs/Screws</v>
      </c>
      <c r="D340" s="50" t="str">
        <f>RawList!C309</f>
        <v>SparkFun</v>
      </c>
      <c r="E340" s="50" t="str">
        <f>RawList!H309</f>
        <v>Standoff - Metal Hex (4-40; 3/8\"; 10 pack)</v>
      </c>
      <c r="F340" s="50" t="str">
        <f>RawList!D309</f>
        <v>PRT-10463</v>
      </c>
      <c r="G340" s="137">
        <f>RawList!E309</f>
        <v>10</v>
      </c>
      <c r="H340" s="50" t="str">
        <f>IF(EquipmentTable[[#This Row],[Units]]&gt;0,"Quantity &gt; 0 Items","Quantity = 0 Items")</f>
        <v>Quantity &gt; 0 Items</v>
      </c>
      <c r="I340" s="141">
        <f>RawList!J309</f>
        <v>3.95</v>
      </c>
      <c r="J340" s="24">
        <f>VALUE(EquipmentTable[[#This Row],[Units]]*EquipmentTable[[#This Row],[Unit
 Price]])</f>
        <v>39.5</v>
      </c>
      <c r="K340" s="50" t="str">
        <f>RawList!G309</f>
        <v>https://cdn.sparkfun.com/r/92-92/assets/parts/4/9/5/4/10463-01.jpg</v>
      </c>
      <c r="L340" s="50"/>
      <c r="M340" s="50" t="str">
        <f>RawList!F309</f>
        <v>https://www.sparkfun.com/products/10463</v>
      </c>
    </row>
    <row r="341" spans="2:13" hidden="1" x14ac:dyDescent="0.3">
      <c r="B341" s="50" t="str">
        <f>RawList!A310</f>
        <v>Hardware Component</v>
      </c>
      <c r="C341" s="50" t="str">
        <f>RawList!B310</f>
        <v>Trace/Shielding Construction</v>
      </c>
      <c r="D341" s="50" t="str">
        <f>RawList!C310</f>
        <v>SparkFun</v>
      </c>
      <c r="E341" s="50" t="str">
        <f>RawList!H310</f>
        <v>Copper Tape - 5mm (50ft)</v>
      </c>
      <c r="F341" s="50" t="str">
        <f>RawList!D310</f>
        <v>PRT-10561</v>
      </c>
      <c r="G341" s="137">
        <f>RawList!E310</f>
        <v>1</v>
      </c>
      <c r="H341" s="50" t="str">
        <f>IF(EquipmentTable[[#This Row],[Units]]&gt;0,"Quantity &gt; 0 Items","Quantity = 0 Items")</f>
        <v>Quantity &gt; 0 Items</v>
      </c>
      <c r="I341" s="141">
        <f>RawList!J310</f>
        <v>2.95</v>
      </c>
      <c r="J341" s="24">
        <f>VALUE(EquipmentTable[[#This Row],[Units]]*EquipmentTable[[#This Row],[Unit
 Price]])</f>
        <v>2.95</v>
      </c>
      <c r="K341" s="50" t="str">
        <f>RawList!G310</f>
        <v>https://cdn.sparkfun.com/r/92-92/assets/parts/5/1/8/1/10561-01.jpg</v>
      </c>
      <c r="L341" s="50"/>
      <c r="M341" s="50" t="str">
        <f>RawList!F310</f>
        <v>https://www.sparkfun.com/products/10561</v>
      </c>
    </row>
    <row r="342" spans="2:13" hidden="1" x14ac:dyDescent="0.3">
      <c r="B342" s="50" t="str">
        <f>RawList!A311</f>
        <v>Hardware Component</v>
      </c>
      <c r="C342" s="50" t="str">
        <f>RawList!B311</f>
        <v>Trace/Shielding Construction</v>
      </c>
      <c r="D342" s="50" t="str">
        <f>RawList!C311</f>
        <v>SparkFun</v>
      </c>
      <c r="E342" s="50" t="str">
        <f>RawList!H311</f>
        <v>Copper Tape - Conductive Adhesive, 5mm (50ft)</v>
      </c>
      <c r="F342" s="50" t="str">
        <f>RawList!D311</f>
        <v>PRT-13827</v>
      </c>
      <c r="G342" s="137">
        <f>RawList!E311</f>
        <v>1</v>
      </c>
      <c r="H342" s="50" t="str">
        <f>IF(EquipmentTable[[#This Row],[Units]]&gt;0,"Quantity &gt; 0 Items","Quantity = 0 Items")</f>
        <v>Quantity &gt; 0 Items</v>
      </c>
      <c r="I342" s="141">
        <f>RawList!J311</f>
        <v>3.95</v>
      </c>
      <c r="J342" s="24">
        <f>VALUE(EquipmentTable[[#This Row],[Units]]*EquipmentTable[[#This Row],[Unit
 Price]])</f>
        <v>3.95</v>
      </c>
      <c r="K342" s="50" t="str">
        <f>RawList!G311</f>
        <v>https://cdn.sparkfun.com/r/92-92/assets/parts/1/1/4/2/2/13827-01.jpg</v>
      </c>
      <c r="L342" s="50"/>
      <c r="M342" s="50" t="str">
        <f>RawList!F311</f>
        <v>https://www.sparkfun.com/products/13827</v>
      </c>
    </row>
    <row r="343" spans="2:13" x14ac:dyDescent="0.3">
      <c r="B343" s="50" t="str">
        <f>RawList!A312</f>
        <v>Low-Level Electronics</v>
      </c>
      <c r="C343" s="50" t="str">
        <f>RawList!B312</f>
        <v>Buttons/Switches/Knobs</v>
      </c>
      <c r="D343" s="50" t="str">
        <f>RawList!C312</f>
        <v>SparkFun</v>
      </c>
      <c r="E343" s="50" t="str">
        <f>RawList!H312</f>
        <v>LED Tactile Button Breakout</v>
      </c>
      <c r="F343" s="50" t="str">
        <f>RawList!D312</f>
        <v>BOB-10467</v>
      </c>
      <c r="G343" s="137">
        <f>RawList!E312</f>
        <v>4</v>
      </c>
      <c r="H343" s="50" t="str">
        <f>IF(EquipmentTable[[#This Row],[Units]]&gt;0,"Quantity &gt; 0 Items","Quantity = 0 Items")</f>
        <v>Quantity &gt; 0 Items</v>
      </c>
      <c r="I343" s="141">
        <f>RawList!J312</f>
        <v>1.5</v>
      </c>
      <c r="J343" s="24">
        <f>VALUE(EquipmentTable[[#This Row],[Units]]*EquipmentTable[[#This Row],[Unit
 Price]])</f>
        <v>6</v>
      </c>
      <c r="K343" s="50" t="str">
        <f>RawList!G312</f>
        <v>https://cdn.sparkfun.com/r/92-92/assets/parts/4/9/5/9/10467-01.jpg</v>
      </c>
      <c r="L343" s="50"/>
      <c r="M343" s="50" t="str">
        <f>RawList!F312</f>
        <v>https://www.sparkfun.com/products/10467</v>
      </c>
    </row>
    <row r="344" spans="2:13" x14ac:dyDescent="0.3">
      <c r="B344" s="50" t="str">
        <f>RawList!A313</f>
        <v>Low-Level Electronics</v>
      </c>
      <c r="C344" s="50" t="str">
        <f>RawList!B313</f>
        <v>Buttons/Switches/Knobs</v>
      </c>
      <c r="D344" s="50" t="str">
        <f>RawList!C313</f>
        <v>SparkFun</v>
      </c>
      <c r="E344" s="50" t="str">
        <f>RawList!H313</f>
        <v>LED Tactile Button - Blue</v>
      </c>
      <c r="F344" s="50" t="str">
        <f>RawList!D313</f>
        <v>COM-10443</v>
      </c>
      <c r="G344" s="137">
        <f>RawList!E313</f>
        <v>1</v>
      </c>
      <c r="H344" s="50" t="str">
        <f>IF(EquipmentTable[[#This Row],[Units]]&gt;0,"Quantity &gt; 0 Items","Quantity = 0 Items")</f>
        <v>Quantity &gt; 0 Items</v>
      </c>
      <c r="I344" s="141">
        <f>RawList!J313</f>
        <v>1.95</v>
      </c>
      <c r="J344" s="24">
        <f>VALUE(EquipmentTable[[#This Row],[Units]]*EquipmentTable[[#This Row],[Unit
 Price]])</f>
        <v>1.95</v>
      </c>
      <c r="K344" s="50" t="str">
        <f>RawList!G313</f>
        <v>https://cdn.sparkfun.com/r/92-92/assets/parts/4/9/3/1/10443-01.jpg</v>
      </c>
      <c r="L344" s="50"/>
      <c r="M344" s="50" t="str">
        <f>RawList!F313</f>
        <v>https://www.sparkfun.com/products/10443</v>
      </c>
    </row>
    <row r="345" spans="2:13" x14ac:dyDescent="0.3">
      <c r="B345" s="50" t="str">
        <f>RawList!A314</f>
        <v>Low-Level Electronics</v>
      </c>
      <c r="C345" s="50" t="str">
        <f>RawList!B314</f>
        <v>Buttons/Switches/Knobs</v>
      </c>
      <c r="D345" s="50" t="str">
        <f>RawList!C314</f>
        <v>SparkFun</v>
      </c>
      <c r="E345" s="50" t="str">
        <f>RawList!H314</f>
        <v>LED Tactile Button - Green</v>
      </c>
      <c r="F345" s="50" t="str">
        <f>RawList!D314</f>
        <v>COM-10440</v>
      </c>
      <c r="G345" s="137">
        <f>RawList!E314</f>
        <v>1</v>
      </c>
      <c r="H345" s="50" t="str">
        <f>IF(EquipmentTable[[#This Row],[Units]]&gt;0,"Quantity &gt; 0 Items","Quantity = 0 Items")</f>
        <v>Quantity &gt; 0 Items</v>
      </c>
      <c r="I345" s="141">
        <f>RawList!J314</f>
        <v>1.95</v>
      </c>
      <c r="J345" s="24">
        <f>VALUE(EquipmentTable[[#This Row],[Units]]*EquipmentTable[[#This Row],[Unit
 Price]])</f>
        <v>1.95</v>
      </c>
      <c r="K345" s="50" t="str">
        <f>RawList!G314</f>
        <v>https://cdn.sparkfun.com/r/92-92/assets/parts/4/9/2/8/10440-01.jpg</v>
      </c>
      <c r="L345" s="50"/>
      <c r="M345" s="50" t="str">
        <f>RawList!F314</f>
        <v>https://www.sparkfun.com/products/10440</v>
      </c>
    </row>
    <row r="346" spans="2:13" x14ac:dyDescent="0.3">
      <c r="B346" s="50" t="str">
        <f>RawList!A315</f>
        <v>Low-Level Electronics</v>
      </c>
      <c r="C346" s="50" t="str">
        <f>RawList!B315</f>
        <v>Buttons/Switches/Knobs</v>
      </c>
      <c r="D346" s="50" t="str">
        <f>RawList!C315</f>
        <v>SparkFun</v>
      </c>
      <c r="E346" s="50" t="str">
        <f>RawList!H315</f>
        <v>LED Tactile Button - Red</v>
      </c>
      <c r="F346" s="50" t="str">
        <f>RawList!D315</f>
        <v>COM-10442</v>
      </c>
      <c r="G346" s="137">
        <f>RawList!E315</f>
        <v>1</v>
      </c>
      <c r="H346" s="50" t="str">
        <f>IF(EquipmentTable[[#This Row],[Units]]&gt;0,"Quantity &gt; 0 Items","Quantity = 0 Items")</f>
        <v>Quantity &gt; 0 Items</v>
      </c>
      <c r="I346" s="141">
        <f>RawList!J315</f>
        <v>1.95</v>
      </c>
      <c r="J346" s="24">
        <f>VALUE(EquipmentTable[[#This Row],[Units]]*EquipmentTable[[#This Row],[Unit
 Price]])</f>
        <v>1.95</v>
      </c>
      <c r="K346" s="50" t="str">
        <f>RawList!G315</f>
        <v>https://cdn.sparkfun.com/r/92-92/assets/parts/4/9/3/0/10442-01.jpg</v>
      </c>
      <c r="L346" s="50"/>
      <c r="M346" s="50" t="str">
        <f>RawList!F315</f>
        <v>https://www.sparkfun.com/products/10442</v>
      </c>
    </row>
    <row r="347" spans="2:13" x14ac:dyDescent="0.3">
      <c r="B347" s="50" t="str">
        <f>RawList!A316</f>
        <v>Low-Level Electronics</v>
      </c>
      <c r="C347" s="50" t="str">
        <f>RawList!B316</f>
        <v>Buttons/Switches/Knobs</v>
      </c>
      <c r="D347" s="50" t="str">
        <f>RawList!C316</f>
        <v>SparkFun</v>
      </c>
      <c r="E347" s="50" t="str">
        <f>RawList!H316</f>
        <v>LED Tactile Button - Orange</v>
      </c>
      <c r="F347" s="50" t="str">
        <f>RawList!D316</f>
        <v>COM-10441</v>
      </c>
      <c r="G347" s="137">
        <f>RawList!E316</f>
        <v>0</v>
      </c>
      <c r="H347" s="50" t="str">
        <f>IF(EquipmentTable[[#This Row],[Units]]&gt;0,"Quantity &gt; 0 Items","Quantity = 0 Items")</f>
        <v>Quantity = 0 Items</v>
      </c>
      <c r="I347" s="141">
        <f>RawList!J316</f>
        <v>1.95</v>
      </c>
      <c r="J347" s="24">
        <f>VALUE(EquipmentTable[[#This Row],[Units]]*EquipmentTable[[#This Row],[Unit
 Price]])</f>
        <v>0</v>
      </c>
      <c r="K347" s="50" t="str">
        <f>RawList!G316</f>
        <v>https://cdn.sparkfun.com/r/92-92/assets/parts/4/9/2/9/10441-01b.jpg</v>
      </c>
      <c r="L347" s="50"/>
      <c r="M347" s="50" t="str">
        <f>RawList!F316</f>
        <v>https://www.sparkfun.com/products/10441</v>
      </c>
    </row>
    <row r="348" spans="2:13" x14ac:dyDescent="0.3">
      <c r="B348" s="50" t="str">
        <f>RawList!A317</f>
        <v>Low-Level Electronics</v>
      </c>
      <c r="C348" s="50" t="str">
        <f>RawList!B317</f>
        <v>Buttons/Switches/Knobs</v>
      </c>
      <c r="D348" s="50" t="str">
        <f>RawList!C317</f>
        <v>SparkFun</v>
      </c>
      <c r="E348" s="50" t="str">
        <f>RawList!H317</f>
        <v>LED Tactile Button- White</v>
      </c>
      <c r="F348" s="50" t="str">
        <f>RawList!D317</f>
        <v>COM-10439</v>
      </c>
      <c r="G348" s="137">
        <f>RawList!E317</f>
        <v>1</v>
      </c>
      <c r="H348" s="50" t="str">
        <f>IF(EquipmentTable[[#This Row],[Units]]&gt;0,"Quantity &gt; 0 Items","Quantity = 0 Items")</f>
        <v>Quantity &gt; 0 Items</v>
      </c>
      <c r="I348" s="141">
        <f>RawList!J317</f>
        <v>1.95</v>
      </c>
      <c r="J348" s="24">
        <f>VALUE(EquipmentTable[[#This Row],[Units]]*EquipmentTable[[#This Row],[Unit
 Price]])</f>
        <v>1.95</v>
      </c>
      <c r="K348" s="50" t="str">
        <f>RawList!G317</f>
        <v>https://cdn.sparkfun.com/r/92-92/assets/parts/4/9/2/7/10439-01.jpg</v>
      </c>
      <c r="L348" s="50"/>
      <c r="M348" s="50" t="str">
        <f>RawList!F317</f>
        <v>https://www.sparkfun.com/products/10439</v>
      </c>
    </row>
    <row r="349" spans="2:13" x14ac:dyDescent="0.3">
      <c r="B349" s="50" t="str">
        <f>RawList!A318</f>
        <v>Low-Level Electronics</v>
      </c>
      <c r="C349" s="50" t="str">
        <f>RawList!B318</f>
        <v>Buttons/Switches/Knobs</v>
      </c>
      <c r="D349" s="50" t="str">
        <f>RawList!C318</f>
        <v>Adafruit</v>
      </c>
      <c r="E349" s="50" t="str">
        <f>RawList!H318</f>
        <v xml:space="preserve">Tactile Switch Buttons (12mm square, 6mm tall) x 10 pack </v>
      </c>
      <c r="F349" s="50" t="str">
        <f>RawList!D318</f>
        <v>1119</v>
      </c>
      <c r="G349" s="137">
        <f>RawList!E318</f>
        <v>0</v>
      </c>
      <c r="H349" s="50" t="str">
        <f>IF(EquipmentTable[[#This Row],[Units]]&gt;0,"Quantity &gt; 0 Items","Quantity = 0 Items")</f>
        <v>Quantity = 0 Items</v>
      </c>
      <c r="I349" s="141">
        <f>RawList!J318</f>
        <v>2.5</v>
      </c>
      <c r="J349" s="24">
        <f>VALUE(EquipmentTable[[#This Row],[Units]]*EquipmentTable[[#This Row],[Unit
 Price]])</f>
        <v>0</v>
      </c>
      <c r="K349" s="50">
        <f>RawList!G318</f>
        <v>0</v>
      </c>
      <c r="L349" s="50"/>
      <c r="M349" s="50">
        <f>RawList!F318</f>
        <v>0</v>
      </c>
    </row>
    <row r="350" spans="2:13" x14ac:dyDescent="0.3">
      <c r="B350" s="50" t="str">
        <f>RawList!A319</f>
        <v>Low-Level Electronics</v>
      </c>
      <c r="C350" s="50" t="str">
        <f>RawList!B319</f>
        <v>Buttons/Switches/Knobs</v>
      </c>
      <c r="D350" s="50" t="str">
        <f>RawList!C319</f>
        <v>SparkFun</v>
      </c>
      <c r="E350" s="50" t="str">
        <f>RawList!H319</f>
        <v>Mini Pushbutton Switch</v>
      </c>
      <c r="F350" s="50" t="str">
        <f>RawList!D319</f>
        <v>COM-00097</v>
      </c>
      <c r="G350" s="137">
        <f>RawList!E319</f>
        <v>2</v>
      </c>
      <c r="H350" s="50" t="str">
        <f>IF(EquipmentTable[[#This Row],[Units]]&gt;0,"Quantity &gt; 0 Items","Quantity = 0 Items")</f>
        <v>Quantity &gt; 0 Items</v>
      </c>
      <c r="I350" s="141">
        <f>RawList!J319</f>
        <v>0.35</v>
      </c>
      <c r="J350" s="24">
        <f>VALUE(EquipmentTable[[#This Row],[Units]]*EquipmentTable[[#This Row],[Unit
 Price]])</f>
        <v>0.7</v>
      </c>
      <c r="K350" s="50" t="str">
        <f>RawList!G319</f>
        <v>https://cdn.sparkfun.com/r/92-92/assets/parts/9/0/00097-03-L.jpg</v>
      </c>
      <c r="L350" s="50"/>
      <c r="M350" s="50" t="str">
        <f>RawList!F319</f>
        <v>https://www.sparkfun.com/products/97</v>
      </c>
    </row>
    <row r="351" spans="2:13" x14ac:dyDescent="0.3">
      <c r="B351" s="50" t="str">
        <f>RawList!A320</f>
        <v>Low-Level Electronics</v>
      </c>
      <c r="C351" s="50" t="str">
        <f>RawList!B320</f>
        <v>Buttons/Switches/Knobs</v>
      </c>
      <c r="D351" s="50" t="str">
        <f>RawList!C320</f>
        <v>SparkFun</v>
      </c>
      <c r="E351" s="50" t="str">
        <f>RawList!H320</f>
        <v>Mini Pushbutton Switch - Tall</v>
      </c>
      <c r="F351" s="50" t="str">
        <f>RawList!D320</f>
        <v>COM-08605</v>
      </c>
      <c r="G351" s="137">
        <f>RawList!E320</f>
        <v>2</v>
      </c>
      <c r="H351" s="50" t="str">
        <f>IF(EquipmentTable[[#This Row],[Units]]&gt;0,"Quantity &gt; 0 Items","Quantity = 0 Items")</f>
        <v>Quantity &gt; 0 Items</v>
      </c>
      <c r="I351" s="141">
        <f>RawList!J320</f>
        <v>0.5</v>
      </c>
      <c r="J351" s="24">
        <f>VALUE(EquipmentTable[[#This Row],[Units]]*EquipmentTable[[#This Row],[Unit
 Price]])</f>
        <v>1</v>
      </c>
      <c r="K351" s="50" t="str">
        <f>RawList!G320</f>
        <v>https://cdn.sparkfun.com/r/92-92/assets/parts/1/6/7/9/08605-04-L.jpg</v>
      </c>
      <c r="L351" s="50"/>
      <c r="M351" s="50" t="str">
        <f>RawList!F320</f>
        <v>https://www.sparkfun.com/products/8605</v>
      </c>
    </row>
    <row r="352" spans="2:13" x14ac:dyDescent="0.3">
      <c r="B352" s="50" t="str">
        <f>RawList!A321</f>
        <v>Low-Level Electronics</v>
      </c>
      <c r="C352" s="50" t="str">
        <f>RawList!B321</f>
        <v>Buttons/Switches/Knobs</v>
      </c>
      <c r="D352" s="50" t="str">
        <f>RawList!C321</f>
        <v>SparkFun</v>
      </c>
      <c r="E352" s="50" t="str">
        <f>RawList!H321</f>
        <v>Momentary Pushbutton Switch - 12mm Square</v>
      </c>
      <c r="F352" s="50" t="str">
        <f>RawList!D321</f>
        <v>COM-09190</v>
      </c>
      <c r="G352" s="137">
        <f>RawList!E321</f>
        <v>2</v>
      </c>
      <c r="H352" s="50" t="str">
        <f>IF(EquipmentTable[[#This Row],[Units]]&gt;0,"Quantity &gt; 0 Items","Quantity = 0 Items")</f>
        <v>Quantity &gt; 0 Items</v>
      </c>
      <c r="I352" s="141">
        <f>RawList!J321</f>
        <v>0.5</v>
      </c>
      <c r="J352" s="24">
        <f>VALUE(EquipmentTable[[#This Row],[Units]]*EquipmentTable[[#This Row],[Unit
 Price]])</f>
        <v>1</v>
      </c>
      <c r="K352" s="50" t="str">
        <f>RawList!G321</f>
        <v>https://cdn.sparkfun.com/r/92-92/assets/parts/2/6/2/9/09190-03-L.jpg</v>
      </c>
      <c r="L352" s="50"/>
      <c r="M352" s="50" t="str">
        <f>RawList!F321</f>
        <v>https://www.sparkfun.com/products/9190</v>
      </c>
    </row>
    <row r="353" spans="2:13" x14ac:dyDescent="0.3">
      <c r="B353" s="50" t="str">
        <f>RawList!A322</f>
        <v>Low-Level Electronics</v>
      </c>
      <c r="C353" s="50" t="str">
        <f>RawList!B322</f>
        <v>Buttons/Switches/Knobs</v>
      </c>
      <c r="D353" s="50" t="str">
        <f>RawList!C322</f>
        <v>Adafruit</v>
      </c>
      <c r="E353" s="50" t="str">
        <f>RawList!H322</f>
        <v xml:space="preserve">Mini Illuminated Momentary Pushbutton - Blue Power Symbol </v>
      </c>
      <c r="F353" s="50" t="str">
        <f>RawList!D322</f>
        <v>3105</v>
      </c>
      <c r="G353" s="137">
        <f>RawList!E322</f>
        <v>0</v>
      </c>
      <c r="H353" s="50" t="str">
        <f>IF(EquipmentTable[[#This Row],[Units]]&gt;0,"Quantity &gt; 0 Items","Quantity = 0 Items")</f>
        <v>Quantity = 0 Items</v>
      </c>
      <c r="I353" s="141">
        <f>RawList!J322</f>
        <v>1.95</v>
      </c>
      <c r="J353" s="24">
        <f>VALUE(EquipmentTable[[#This Row],[Units]]*EquipmentTable[[#This Row],[Unit
 Price]])</f>
        <v>0</v>
      </c>
      <c r="K353" s="50">
        <f>RawList!G322</f>
        <v>0</v>
      </c>
      <c r="L353" s="50"/>
      <c r="M353" s="50">
        <f>RawList!F322</f>
        <v>0</v>
      </c>
    </row>
    <row r="354" spans="2:13" x14ac:dyDescent="0.3">
      <c r="B354" s="50" t="str">
        <f>RawList!A323</f>
        <v>Low-Level Electronics</v>
      </c>
      <c r="C354" s="50" t="str">
        <f>RawList!B323</f>
        <v>Buttons/Switches/Knobs</v>
      </c>
      <c r="D354" s="50" t="str">
        <f>RawList!C323</f>
        <v>Adafruit</v>
      </c>
      <c r="E354" s="50" t="str">
        <f>RawList!H323</f>
        <v>Mini Illuminated Momentary Pushbutton - Red Power Symbol</v>
      </c>
      <c r="F354" s="50" t="str">
        <f>RawList!D323</f>
        <v>3104</v>
      </c>
      <c r="G354" s="137">
        <f>RawList!E323</f>
        <v>0</v>
      </c>
      <c r="H354" s="50" t="str">
        <f>IF(EquipmentTable[[#This Row],[Units]]&gt;0,"Quantity &gt; 0 Items","Quantity = 0 Items")</f>
        <v>Quantity = 0 Items</v>
      </c>
      <c r="I354" s="141">
        <f>RawList!J323</f>
        <v>1.95</v>
      </c>
      <c r="J354" s="24">
        <f>VALUE(EquipmentTable[[#This Row],[Units]]*EquipmentTable[[#This Row],[Unit
 Price]])</f>
        <v>0</v>
      </c>
      <c r="K354" s="50">
        <f>RawList!G323</f>
        <v>0</v>
      </c>
      <c r="L354" s="50"/>
      <c r="M354" s="50">
        <f>RawList!F323</f>
        <v>0</v>
      </c>
    </row>
    <row r="355" spans="2:13" x14ac:dyDescent="0.3">
      <c r="B355" s="50" t="str">
        <f>RawList!A324</f>
        <v>Low-Level Electronics</v>
      </c>
      <c r="C355" s="50" t="str">
        <f>RawList!B324</f>
        <v>Buttons/Switches/Knobs</v>
      </c>
      <c r="D355" s="50" t="str">
        <f>RawList!C324</f>
        <v>SparkFun</v>
      </c>
      <c r="E355" s="50" t="str">
        <f>RawList!H324</f>
        <v>Right Angle Tactile Button</v>
      </c>
      <c r="F355" s="50" t="str">
        <f>RawList!D324</f>
        <v>COM-10791</v>
      </c>
      <c r="G355" s="137">
        <f>RawList!E324</f>
        <v>5</v>
      </c>
      <c r="H355" s="50" t="str">
        <f>IF(EquipmentTable[[#This Row],[Units]]&gt;0,"Quantity &gt; 0 Items","Quantity = 0 Items")</f>
        <v>Quantity &gt; 0 Items</v>
      </c>
      <c r="I355" s="141">
        <f>RawList!J324</f>
        <v>0.5</v>
      </c>
      <c r="J355" s="24">
        <f>VALUE(EquipmentTable[[#This Row],[Units]]*EquipmentTable[[#This Row],[Unit
 Price]])</f>
        <v>2.5</v>
      </c>
      <c r="K355" s="50" t="str">
        <f>RawList!G324</f>
        <v>https://cdn.sparkfun.com/r/92-92/assets/parts/5/7/7/6/10791-01.jpg</v>
      </c>
      <c r="L355" s="50"/>
      <c r="M355" s="50" t="str">
        <f>RawList!F324</f>
        <v>https://www.sparkfun.com/products/10791</v>
      </c>
    </row>
    <row r="356" spans="2:13" x14ac:dyDescent="0.3">
      <c r="B356" s="50" t="str">
        <f>RawList!A325</f>
        <v>Low-Level Electronics</v>
      </c>
      <c r="C356" s="50" t="str">
        <f>RawList!B325</f>
        <v>Buttons/Switches/Knobs</v>
      </c>
      <c r="D356" s="50" t="str">
        <f>RawList!C325</f>
        <v>SparkFun</v>
      </c>
      <c r="E356" s="50" t="str">
        <f>RawList!H325</f>
        <v>Rocker Switch - SPST (right-angle)</v>
      </c>
      <c r="F356" s="50" t="str">
        <f>RawList!D325</f>
        <v>COM-08837</v>
      </c>
      <c r="G356" s="137">
        <f>RawList!E325</f>
        <v>7</v>
      </c>
      <c r="H356" s="50" t="str">
        <f>IF(EquipmentTable[[#This Row],[Units]]&gt;0,"Quantity &gt; 0 Items","Quantity = 0 Items")</f>
        <v>Quantity &gt; 0 Items</v>
      </c>
      <c r="I356" s="141">
        <f>RawList!J325</f>
        <v>0.95</v>
      </c>
      <c r="J356" s="24">
        <f>VALUE(EquipmentTable[[#This Row],[Units]]*EquipmentTable[[#This Row],[Unit
 Price]])</f>
        <v>6.6499999999999995</v>
      </c>
      <c r="K356" s="50" t="str">
        <f>RawList!G325</f>
        <v>https://cdn.sparkfun.com/r/92-92/assets/parts/1/8/4/7/08837-03-L.jpg</v>
      </c>
      <c r="L356" s="50"/>
      <c r="M356" s="50" t="str">
        <f>RawList!F325</f>
        <v>https://www.sparkfun.com/products/8837</v>
      </c>
    </row>
    <row r="357" spans="2:13" x14ac:dyDescent="0.3">
      <c r="B357" s="50" t="str">
        <f>RawList!A326</f>
        <v>Low-Level Electronics</v>
      </c>
      <c r="C357" s="50" t="str">
        <f>RawList!B326</f>
        <v>Buttons/Switches/Knobs</v>
      </c>
      <c r="D357" s="50" t="str">
        <f>RawList!C326</f>
        <v>SparkFun</v>
      </c>
      <c r="E357" s="50" t="str">
        <f>RawList!H326</f>
        <v>SPDT Mini Power Switch</v>
      </c>
      <c r="F357" s="50" t="str">
        <f>RawList!D326</f>
        <v>COM-00102</v>
      </c>
      <c r="G357" s="137">
        <f>RawList!E326</f>
        <v>2</v>
      </c>
      <c r="H357" s="50" t="str">
        <f>IF(EquipmentTable[[#This Row],[Units]]&gt;0,"Quantity &gt; 0 Items","Quantity = 0 Items")</f>
        <v>Quantity &gt; 0 Items</v>
      </c>
      <c r="I357" s="141">
        <f>RawList!J326</f>
        <v>1.5</v>
      </c>
      <c r="J357" s="24">
        <f>VALUE(EquipmentTable[[#This Row],[Units]]*EquipmentTable[[#This Row],[Unit
 Price]])</f>
        <v>3</v>
      </c>
      <c r="K357" s="50" t="str">
        <f>RawList!G326</f>
        <v>https://cdn.sparkfun.com/r/92-92/assets/parts/9/5/00102-02-L.jpg</v>
      </c>
      <c r="L357" s="50"/>
      <c r="M357" s="50" t="str">
        <f>RawList!F326</f>
        <v>https://www.sparkfun.com/products/102</v>
      </c>
    </row>
    <row r="358" spans="2:13" x14ac:dyDescent="0.3">
      <c r="B358" s="50" t="str">
        <f>RawList!A327</f>
        <v>Low-Level Electronics</v>
      </c>
      <c r="C358" s="50" t="str">
        <f>RawList!B327</f>
        <v>Buttons/Switches/Knobs</v>
      </c>
      <c r="D358" s="50" t="str">
        <f>RawList!C327</f>
        <v>SparkFun</v>
      </c>
      <c r="E358" s="50" t="str">
        <f>RawList!H327</f>
        <v>SPDT Slide Switch</v>
      </c>
      <c r="F358" s="50" t="str">
        <f>RawList!D327</f>
        <v>COM-09609</v>
      </c>
      <c r="G358" s="137">
        <f>RawList!E327</f>
        <v>5</v>
      </c>
      <c r="H358" s="50" t="str">
        <f>IF(EquipmentTable[[#This Row],[Units]]&gt;0,"Quantity &gt; 0 Items","Quantity = 0 Items")</f>
        <v>Quantity &gt; 0 Items</v>
      </c>
      <c r="I358" s="141">
        <f>RawList!J327</f>
        <v>0.75</v>
      </c>
      <c r="J358" s="24">
        <f>VALUE(EquipmentTable[[#This Row],[Units]]*EquipmentTable[[#This Row],[Unit
 Price]])</f>
        <v>3.75</v>
      </c>
      <c r="K358" s="50" t="str">
        <f>RawList!G327</f>
        <v>https://cdn.sparkfun.com/r/92-92/assets/parts/3/4/3/1/09609-01.jpg</v>
      </c>
      <c r="L358" s="50"/>
      <c r="M358" s="50" t="str">
        <f>RawList!F327</f>
        <v>https://www.sparkfun.com/products/9609</v>
      </c>
    </row>
    <row r="359" spans="2:13" x14ac:dyDescent="0.3">
      <c r="B359" s="50" t="str">
        <f>RawList!A328</f>
        <v>Low-Level Electronics</v>
      </c>
      <c r="C359" s="50" t="str">
        <f>RawList!B328</f>
        <v>Buttons/Switches/Knobs</v>
      </c>
      <c r="D359" s="50" t="str">
        <f>RawList!C328</f>
        <v>SparkFun</v>
      </c>
      <c r="E359" s="50" t="str">
        <f>RawList!H328</f>
        <v>Cherry MX Switch</v>
      </c>
      <c r="F359" s="50" t="str">
        <f>RawList!D328</f>
        <v>COM-13834</v>
      </c>
      <c r="G359" s="137">
        <f>RawList!E328</f>
        <v>1</v>
      </c>
      <c r="H359" s="50" t="str">
        <f>IF(EquipmentTable[[#This Row],[Units]]&gt;0,"Quantity &gt; 0 Items","Quantity = 0 Items")</f>
        <v>Quantity &gt; 0 Items</v>
      </c>
      <c r="I359" s="141">
        <f>RawList!J328</f>
        <v>0.95</v>
      </c>
      <c r="J359" s="24">
        <f>VALUE(EquipmentTable[[#This Row],[Units]]*EquipmentTable[[#This Row],[Unit
 Price]])</f>
        <v>0.95</v>
      </c>
      <c r="K359" s="50" t="str">
        <f>RawList!G328</f>
        <v>https://cdn.sparkfun.com/r/92-92/assets/parts/1/1/4/3/1/13834-01.jpg</v>
      </c>
      <c r="L359" s="50"/>
      <c r="M359" s="50" t="str">
        <f>RawList!F328</f>
        <v>https://www.sparkfun.com/products/13834</v>
      </c>
    </row>
    <row r="360" spans="2:13" x14ac:dyDescent="0.3">
      <c r="B360" s="50" t="str">
        <f>RawList!A329</f>
        <v>Low-Level Electronics</v>
      </c>
      <c r="C360" s="50" t="str">
        <f>RawList!B329</f>
        <v>Buttons/Switches/Knobs</v>
      </c>
      <c r="D360" s="50" t="str">
        <f>RawList!C329</f>
        <v>SparkFun</v>
      </c>
      <c r="E360" s="50" t="str">
        <f>RawList!H329</f>
        <v>5-way Tactile Switch</v>
      </c>
      <c r="F360" s="50" t="str">
        <f>RawList!D329</f>
        <v>COM-10063</v>
      </c>
      <c r="G360" s="137">
        <f>RawList!E329</f>
        <v>1</v>
      </c>
      <c r="H360" s="50" t="str">
        <f>IF(EquipmentTable[[#This Row],[Units]]&gt;0,"Quantity &gt; 0 Items","Quantity = 0 Items")</f>
        <v>Quantity &gt; 0 Items</v>
      </c>
      <c r="I360" s="141">
        <f>RawList!J329</f>
        <v>1.95</v>
      </c>
      <c r="J360" s="24">
        <f>VALUE(EquipmentTable[[#This Row],[Units]]*EquipmentTable[[#This Row],[Unit
 Price]])</f>
        <v>1.95</v>
      </c>
      <c r="K360" s="50" t="str">
        <f>RawList!G329</f>
        <v>https://cdn.sparkfun.com/r/92-92/assets/parts/4/3/3/7/10063-01.jpg</v>
      </c>
      <c r="L360" s="50"/>
      <c r="M360" s="50" t="str">
        <f>RawList!F329</f>
        <v>https://www.sparkfun.com/products/10063</v>
      </c>
    </row>
    <row r="361" spans="2:13" x14ac:dyDescent="0.3">
      <c r="B361" s="50" t="str">
        <f>RawList!A330</f>
        <v>Low-Level Electronics</v>
      </c>
      <c r="C361" s="50" t="str">
        <f>RawList!B330</f>
        <v>Buttons/Switches/Knobs</v>
      </c>
      <c r="D361" s="50" t="str">
        <f>RawList!C330</f>
        <v>SparkFun</v>
      </c>
      <c r="E361" s="50" t="str">
        <f>RawList!H330</f>
        <v>Thumb Slide Joystick</v>
      </c>
      <c r="F361" s="50" t="str">
        <f>RawList!D330</f>
        <v>COM-09426</v>
      </c>
      <c r="G361" s="137">
        <f>RawList!E330</f>
        <v>1</v>
      </c>
      <c r="H361" s="50" t="str">
        <f>IF(EquipmentTable[[#This Row],[Units]]&gt;0,"Quantity &gt; 0 Items","Quantity = 0 Items")</f>
        <v>Quantity &gt; 0 Items</v>
      </c>
      <c r="I361" s="141">
        <f>RawList!J330</f>
        <v>3.5</v>
      </c>
      <c r="J361" s="24">
        <f>VALUE(EquipmentTable[[#This Row],[Units]]*EquipmentTable[[#This Row],[Unit
 Price]])</f>
        <v>3.5</v>
      </c>
      <c r="K361" s="50" t="str">
        <f>RawList!G330</f>
        <v>https://cdn.sparkfun.com/r/92-92/assets/parts/3/0/7/2/09426-01.jpg</v>
      </c>
      <c r="L361" s="50"/>
      <c r="M361" s="50" t="str">
        <f>RawList!F330</f>
        <v>https://www.sparkfun.com/products/9426</v>
      </c>
    </row>
    <row r="362" spans="2:13" x14ac:dyDescent="0.3">
      <c r="B362" s="50" t="str">
        <f>RawList!A331</f>
        <v>Low-Level Electronics</v>
      </c>
      <c r="C362" s="50" t="str">
        <f>RawList!B331</f>
        <v>Buttons/Switches/Knobs</v>
      </c>
      <c r="D362" s="50" t="str">
        <f>RawList!C331</f>
        <v>SparkFun</v>
      </c>
      <c r="E362" s="50" t="str">
        <f>RawList!H331</f>
        <v>Black Metal Knob - 14x24mm</v>
      </c>
      <c r="F362" s="50" t="str">
        <f>RawList!D331</f>
        <v>COM-10002</v>
      </c>
      <c r="G362" s="137">
        <f>RawList!E331</f>
        <v>3</v>
      </c>
      <c r="H362" s="50" t="str">
        <f>IF(EquipmentTable[[#This Row],[Units]]&gt;0,"Quantity &gt; 0 Items","Quantity = 0 Items")</f>
        <v>Quantity &gt; 0 Items</v>
      </c>
      <c r="I362" s="141">
        <f>RawList!J331</f>
        <v>1.5</v>
      </c>
      <c r="J362" s="24">
        <f>VALUE(EquipmentTable[[#This Row],[Units]]*EquipmentTable[[#This Row],[Unit
 Price]])</f>
        <v>4.5</v>
      </c>
      <c r="K362" s="50" t="str">
        <f>RawList!G331</f>
        <v>https://cdn.sparkfun.com/r/92-92/assets/parts/4/1/4/6/10002-01.jpg</v>
      </c>
      <c r="L362" s="50"/>
      <c r="M362" s="50" t="str">
        <f>RawList!F331</f>
        <v>https://www.sparkfun.com/products/10002</v>
      </c>
    </row>
    <row r="363" spans="2:13" x14ac:dyDescent="0.3">
      <c r="B363" s="50" t="str">
        <f>RawList!A332</f>
        <v>Low-Level Electronics</v>
      </c>
      <c r="C363" s="50" t="str">
        <f>RawList!B332</f>
        <v>Buttons/Switches/Knobs</v>
      </c>
      <c r="D363" s="50" t="str">
        <f>RawList!C332</f>
        <v>SparkFun</v>
      </c>
      <c r="E363" s="50" t="str">
        <f>RawList!H332</f>
        <v>Silver Metal Knob - 14x24mm</v>
      </c>
      <c r="F363" s="50" t="str">
        <f>RawList!D332</f>
        <v>COM-10001</v>
      </c>
      <c r="G363" s="137">
        <f>RawList!E332</f>
        <v>0</v>
      </c>
      <c r="H363" s="50" t="str">
        <f>IF(EquipmentTable[[#This Row],[Units]]&gt;0,"Quantity &gt; 0 Items","Quantity = 0 Items")</f>
        <v>Quantity = 0 Items</v>
      </c>
      <c r="I363" s="141">
        <f>RawList!J332</f>
        <v>1.5</v>
      </c>
      <c r="J363" s="24">
        <f>VALUE(EquipmentTable[[#This Row],[Units]]*EquipmentTable[[#This Row],[Unit
 Price]])</f>
        <v>0</v>
      </c>
      <c r="K363" s="50" t="str">
        <f>RawList!G332</f>
        <v>https://cdn.sparkfun.com/r/92-92/assets/parts/4/1/4/6/10002-01.jpg</v>
      </c>
      <c r="L363" s="50"/>
      <c r="M363" s="50" t="str">
        <f>RawList!F332</f>
        <v>https://www.sparkfun.com/products/10002</v>
      </c>
    </row>
    <row r="364" spans="2:13" x14ac:dyDescent="0.3">
      <c r="B364" s="50" t="str">
        <f>RawList!A333</f>
        <v>Low-Level Electronics</v>
      </c>
      <c r="C364" s="50" t="str">
        <f>RawList!B333</f>
        <v>Buttons/Switches/Knobs</v>
      </c>
      <c r="D364" s="50" t="str">
        <f>RawList!C333</f>
        <v>Adafruit</v>
      </c>
      <c r="E364" s="50" t="str">
        <f>RawList!H333</f>
        <v xml:space="preserve">Potentiometer Knob - Soft Touch T18 - White </v>
      </c>
      <c r="F364" s="50" t="str">
        <f>RawList!D333</f>
        <v>2047</v>
      </c>
      <c r="G364" s="137">
        <f>RawList!E333</f>
        <v>0</v>
      </c>
      <c r="H364" s="50" t="str">
        <f>IF(EquipmentTable[[#This Row],[Units]]&gt;0,"Quantity &gt; 0 Items","Quantity = 0 Items")</f>
        <v>Quantity = 0 Items</v>
      </c>
      <c r="I364" s="141">
        <f>RawList!J333</f>
        <v>0.5</v>
      </c>
      <c r="J364" s="24">
        <f>VALUE(EquipmentTable[[#This Row],[Units]]*EquipmentTable[[#This Row],[Unit
 Price]])</f>
        <v>0</v>
      </c>
      <c r="K364" s="50">
        <f>RawList!G333</f>
        <v>0</v>
      </c>
      <c r="L364" s="50"/>
      <c r="M364" s="50">
        <f>RawList!F333</f>
        <v>0</v>
      </c>
    </row>
    <row r="365" spans="2:13" x14ac:dyDescent="0.3">
      <c r="B365" s="50" t="str">
        <f>RawList!A334</f>
        <v>Low-Level Electronics</v>
      </c>
      <c r="C365" s="50" t="str">
        <f>RawList!B334</f>
        <v>Buttons/Switches/Knobs</v>
      </c>
      <c r="D365" s="50" t="str">
        <f>RawList!C334</f>
        <v>Adafruit</v>
      </c>
      <c r="E365" s="50" t="str">
        <f>RawList!H334</f>
        <v xml:space="preserve">Scrubber Knob for Rotary Encoder - 35mm </v>
      </c>
      <c r="F365" s="50" t="str">
        <f>RawList!D334</f>
        <v>2055</v>
      </c>
      <c r="G365" s="137">
        <f>RawList!E334</f>
        <v>0</v>
      </c>
      <c r="H365" s="50" t="str">
        <f>IF(EquipmentTable[[#This Row],[Units]]&gt;0,"Quantity &gt; 0 Items","Quantity = 0 Items")</f>
        <v>Quantity = 0 Items</v>
      </c>
      <c r="I365" s="141">
        <f>RawList!J334</f>
        <v>0.95</v>
      </c>
      <c r="J365" s="24">
        <f>VALUE(EquipmentTable[[#This Row],[Units]]*EquipmentTable[[#This Row],[Unit
 Price]])</f>
        <v>0</v>
      </c>
      <c r="K365" s="50">
        <f>RawList!G334</f>
        <v>0</v>
      </c>
      <c r="L365" s="50"/>
      <c r="M365" s="50">
        <f>RawList!F334</f>
        <v>0</v>
      </c>
    </row>
    <row r="366" spans="2:13" x14ac:dyDescent="0.3">
      <c r="B366" s="50" t="str">
        <f>RawList!A335</f>
        <v>Low-Level Electronics</v>
      </c>
      <c r="C366" s="50" t="str">
        <f>RawList!B335</f>
        <v>Buttons/Switches/Knobs</v>
      </c>
      <c r="D366" s="50" t="str">
        <f>RawList!C335</f>
        <v>Adafruit</v>
      </c>
      <c r="E366" s="50" t="str">
        <f>RawList!H335</f>
        <v xml:space="preserve">Slim Metal Potentiometer Knob - 10mm Diameter x 10mm - T18 </v>
      </c>
      <c r="F366" s="50" t="str">
        <f>RawList!D335</f>
        <v>2058</v>
      </c>
      <c r="G366" s="137">
        <f>RawList!E335</f>
        <v>0</v>
      </c>
      <c r="H366" s="50" t="str">
        <f>IF(EquipmentTable[[#This Row],[Units]]&gt;0,"Quantity &gt; 0 Items","Quantity = 0 Items")</f>
        <v>Quantity = 0 Items</v>
      </c>
      <c r="I366" s="141">
        <f>RawList!J335</f>
        <v>0.95</v>
      </c>
      <c r="J366" s="24">
        <f>VALUE(EquipmentTable[[#This Row],[Units]]*EquipmentTable[[#This Row],[Unit
 Price]])</f>
        <v>0</v>
      </c>
      <c r="K366" s="50">
        <f>RawList!G335</f>
        <v>0</v>
      </c>
      <c r="L366" s="50"/>
      <c r="M366" s="50">
        <f>RawList!F335</f>
        <v>0</v>
      </c>
    </row>
    <row r="367" spans="2:13" x14ac:dyDescent="0.3">
      <c r="B367" s="50" t="str">
        <f>RawList!A336</f>
        <v>Low-Level Electronics</v>
      </c>
      <c r="C367" s="50" t="str">
        <f>RawList!B336</f>
        <v>Buttons/Switches/Knobs</v>
      </c>
      <c r="D367" s="50" t="str">
        <f>RawList!C336</f>
        <v>Adafruit</v>
      </c>
      <c r="E367" s="50" t="str">
        <f>RawList!H336</f>
        <v xml:space="preserve">Solid Machined Metal Knob - 1" Diameter </v>
      </c>
      <c r="F367" s="50" t="str">
        <f>RawList!D336</f>
        <v>2056</v>
      </c>
      <c r="G367" s="137">
        <f>RawList!E336</f>
        <v>0</v>
      </c>
      <c r="H367" s="50" t="str">
        <f>IF(EquipmentTable[[#This Row],[Units]]&gt;0,"Quantity &gt; 0 Items","Quantity = 0 Items")</f>
        <v>Quantity = 0 Items</v>
      </c>
      <c r="I367" s="141">
        <f>RawList!J336</f>
        <v>3.95</v>
      </c>
      <c r="J367" s="24">
        <f>VALUE(EquipmentTable[[#This Row],[Units]]*EquipmentTable[[#This Row],[Unit
 Price]])</f>
        <v>0</v>
      </c>
      <c r="K367" s="50">
        <f>RawList!G336</f>
        <v>0</v>
      </c>
      <c r="L367" s="50"/>
      <c r="M367" s="50">
        <f>RawList!F336</f>
        <v>0</v>
      </c>
    </row>
    <row r="368" spans="2:13" x14ac:dyDescent="0.3">
      <c r="B368" s="50" t="str">
        <f>RawList!A337</f>
        <v>Low-Level Electronics</v>
      </c>
      <c r="C368" s="50" t="str">
        <f>RawList!B337</f>
        <v>Connectors, IDC</v>
      </c>
      <c r="D368" s="50" t="str">
        <f>RawList!C337</f>
        <v>Adafruit</v>
      </c>
      <c r="E368" s="50" t="str">
        <f>RawList!H337</f>
        <v xml:space="preserve">IDC Breakout Helper - 2x16 (32 pin) </v>
      </c>
      <c r="F368" s="50" t="str">
        <f>RawList!D337</f>
        <v>2103</v>
      </c>
      <c r="G368" s="137">
        <f>RawList!E337</f>
        <v>0</v>
      </c>
      <c r="H368" s="50" t="str">
        <f>IF(EquipmentTable[[#This Row],[Units]]&gt;0,"Quantity &gt; 0 Items","Quantity = 0 Items")</f>
        <v>Quantity = 0 Items</v>
      </c>
      <c r="I368" s="141">
        <f>RawList!J337</f>
        <v>1.95</v>
      </c>
      <c r="J368" s="24">
        <f>VALUE(EquipmentTable[[#This Row],[Units]]*EquipmentTable[[#This Row],[Unit
 Price]])</f>
        <v>0</v>
      </c>
      <c r="K368" s="50">
        <f>RawList!G337</f>
        <v>0</v>
      </c>
      <c r="L368" s="50"/>
      <c r="M368" s="50">
        <f>RawList!F337</f>
        <v>0</v>
      </c>
    </row>
    <row r="369" spans="2:13" x14ac:dyDescent="0.3">
      <c r="B369" s="50" t="str">
        <f>RawList!A338</f>
        <v>Low-Level Electronics</v>
      </c>
      <c r="C369" s="50" t="str">
        <f>RawList!B338</f>
        <v>Connectors, IDC</v>
      </c>
      <c r="D369" s="50" t="str">
        <f>RawList!C338</f>
        <v>Adafruit</v>
      </c>
      <c r="E369" s="50" t="str">
        <f>RawList!H338</f>
        <v>IDC Breakout Helper - 2x20 (40 pin)</v>
      </c>
      <c r="F369" s="50" t="str">
        <f>RawList!D338</f>
        <v>2270</v>
      </c>
      <c r="G369" s="137">
        <f>RawList!E338</f>
        <v>0</v>
      </c>
      <c r="H369" s="50" t="str">
        <f>IF(EquipmentTable[[#This Row],[Units]]&gt;0,"Quantity &gt; 0 Items","Quantity = 0 Items")</f>
        <v>Quantity = 0 Items</v>
      </c>
      <c r="I369" s="141">
        <f>RawList!J338</f>
        <v>2.25</v>
      </c>
      <c r="J369" s="24">
        <f>VALUE(EquipmentTable[[#This Row],[Units]]*EquipmentTable[[#This Row],[Unit
 Price]])</f>
        <v>0</v>
      </c>
      <c r="K369" s="50">
        <f>RawList!G338</f>
        <v>0</v>
      </c>
      <c r="L369" s="50"/>
      <c r="M369" s="50">
        <f>RawList!F338</f>
        <v>0</v>
      </c>
    </row>
    <row r="370" spans="2:13" x14ac:dyDescent="0.3">
      <c r="B370" s="50" t="str">
        <f>RawList!A339</f>
        <v>Low-Level Electronics</v>
      </c>
      <c r="C370" s="50" t="str">
        <f>RawList!B339</f>
        <v>Connectors, IDC</v>
      </c>
      <c r="D370" s="50" t="str">
        <f>RawList!C339</f>
        <v>Adafruit</v>
      </c>
      <c r="E370" s="50" t="str">
        <f>RawList!H339</f>
        <v>IDC Breakout Helper - 2x5 (10 pin)</v>
      </c>
      <c r="F370" s="50" t="str">
        <f>RawList!D339</f>
        <v>2102</v>
      </c>
      <c r="G370" s="137">
        <f>RawList!E339</f>
        <v>10</v>
      </c>
      <c r="H370" s="50" t="str">
        <f>IF(EquipmentTable[[#This Row],[Units]]&gt;0,"Quantity &gt; 0 Items","Quantity = 0 Items")</f>
        <v>Quantity &gt; 0 Items</v>
      </c>
      <c r="I370" s="141">
        <f>RawList!J339</f>
        <v>0.95</v>
      </c>
      <c r="J370" s="24">
        <f>VALUE(EquipmentTable[[#This Row],[Units]]*EquipmentTable[[#This Row],[Unit
 Price]])</f>
        <v>9.5</v>
      </c>
      <c r="K370" s="50">
        <f>RawList!G339</f>
        <v>0</v>
      </c>
      <c r="L370" s="50"/>
      <c r="M370" s="50">
        <f>RawList!F339</f>
        <v>0</v>
      </c>
    </row>
    <row r="371" spans="2:13" x14ac:dyDescent="0.3">
      <c r="B371" s="50" t="str">
        <f>RawList!A340</f>
        <v>Low-Level Electronics</v>
      </c>
      <c r="C371" s="50" t="str">
        <f>RawList!B340</f>
        <v>Connectors, JST</v>
      </c>
      <c r="D371" s="50" t="str">
        <f>RawList!C340</f>
        <v>SparkFun</v>
      </c>
      <c r="E371" s="50" t="str">
        <f>RawList!H340</f>
        <v>JST Right-Angle Connector - Through-Hole 2-Pin</v>
      </c>
      <c r="F371" s="50" t="str">
        <f>RawList!D340</f>
        <v>PRT-09749</v>
      </c>
      <c r="G371" s="137">
        <f>RawList!E340</f>
        <v>10</v>
      </c>
      <c r="H371" s="50" t="str">
        <f>IF(EquipmentTable[[#This Row],[Units]]&gt;0,"Quantity &gt; 0 Items","Quantity = 0 Items")</f>
        <v>Quantity &gt; 0 Items</v>
      </c>
      <c r="I371" s="141">
        <f>RawList!J340</f>
        <v>0.95</v>
      </c>
      <c r="J371" s="24">
        <f>VALUE(EquipmentTable[[#This Row],[Units]]*EquipmentTable[[#This Row],[Unit
 Price]])</f>
        <v>9.5</v>
      </c>
      <c r="K371" s="50" t="str">
        <f>RawList!G340</f>
        <v>https://cdn.sparkfun.com/r/92-92/assets/parts/3/7/0/9/09749-01.jpg</v>
      </c>
      <c r="L371" s="50"/>
      <c r="M371" s="50" t="str">
        <f>RawList!F340</f>
        <v>https://www.sparkfun.com/products/9749</v>
      </c>
    </row>
    <row r="372" spans="2:13" x14ac:dyDescent="0.3">
      <c r="B372" s="50" t="str">
        <f>RawList!A341</f>
        <v>Low-Level Electronics</v>
      </c>
      <c r="C372" s="50" t="str">
        <f>RawList!B341</f>
        <v>Connectors, JST</v>
      </c>
      <c r="D372" s="50" t="str">
        <f>RawList!C341</f>
        <v>SparkFun</v>
      </c>
      <c r="E372" s="50" t="str">
        <f>RawList!H341</f>
        <v>JST Right Angle Connector - Through-Hole 3-Pin</v>
      </c>
      <c r="F372" s="50" t="str">
        <f>RawList!D341</f>
        <v>PRT-09750</v>
      </c>
      <c r="G372" s="137">
        <f>RawList!E341</f>
        <v>5</v>
      </c>
      <c r="H372" s="50" t="str">
        <f>IF(EquipmentTable[[#This Row],[Units]]&gt;0,"Quantity &gt; 0 Items","Quantity = 0 Items")</f>
        <v>Quantity &gt; 0 Items</v>
      </c>
      <c r="I372" s="141">
        <f>RawList!J341</f>
        <v>0.95</v>
      </c>
      <c r="J372" s="24">
        <f>VALUE(EquipmentTable[[#This Row],[Units]]*EquipmentTable[[#This Row],[Unit
 Price]])</f>
        <v>4.75</v>
      </c>
      <c r="K372" s="50" t="str">
        <f>RawList!G341</f>
        <v>https://cdn.sparkfun.com/r/92-92/assets/parts/3/7/1/0/09750-01.jpg</v>
      </c>
      <c r="L372" s="50"/>
      <c r="M372" s="50" t="str">
        <f>RawList!F341</f>
        <v>https://www.sparkfun.com/products/9750</v>
      </c>
    </row>
    <row r="373" spans="2:13" x14ac:dyDescent="0.3">
      <c r="B373" s="50" t="str">
        <f>RawList!A342</f>
        <v>Low-Level Electronics</v>
      </c>
      <c r="C373" s="50" t="str">
        <f>RawList!B342</f>
        <v>Connectors, JST</v>
      </c>
      <c r="D373" s="50" t="str">
        <f>RawList!C342</f>
        <v>SparkFun</v>
      </c>
      <c r="E373" s="50" t="str">
        <f>RawList!H342</f>
        <v>JST RCY Connector - Male/Female Set (2-pin)</v>
      </c>
      <c r="F373" s="50" t="str">
        <f>RawList!D342</f>
        <v>PRT-10501</v>
      </c>
      <c r="G373" s="137">
        <f>RawList!E342</f>
        <v>0</v>
      </c>
      <c r="H373" s="50" t="str">
        <f>IF(EquipmentTable[[#This Row],[Units]]&gt;0,"Quantity &gt; 0 Items","Quantity = 0 Items")</f>
        <v>Quantity = 0 Items</v>
      </c>
      <c r="I373" s="141">
        <f>RawList!J342</f>
        <v>0.5</v>
      </c>
      <c r="J373" s="24">
        <f>VALUE(EquipmentTable[[#This Row],[Units]]*EquipmentTable[[#This Row],[Unit
 Price]])</f>
        <v>0</v>
      </c>
      <c r="K373" s="50" t="str">
        <f>RawList!G342</f>
        <v>https://cdn.sparkfun.com/r/92-92/assets/parts/5/0/3/5/10501-01.jpg</v>
      </c>
      <c r="L373" s="50"/>
      <c r="M373" s="50" t="str">
        <f>RawList!F342</f>
        <v>https://www.sparkfun.com/products/10501</v>
      </c>
    </row>
    <row r="374" spans="2:13" x14ac:dyDescent="0.3">
      <c r="B374" s="50" t="str">
        <f>RawList!A343</f>
        <v>Low-Level Electronics</v>
      </c>
      <c r="C374" s="50" t="str">
        <f>RawList!B343</f>
        <v>Connectors, JST</v>
      </c>
      <c r="D374" s="50" t="str">
        <f>RawList!C343</f>
        <v>SparkFun</v>
      </c>
      <c r="E374" s="50" t="str">
        <f>RawList!H343</f>
        <v>JST Right Angle Connector - White</v>
      </c>
      <c r="F374" s="50" t="str">
        <f>RawList!D343</f>
        <v>PRT-08612</v>
      </c>
      <c r="G374" s="137">
        <f>RawList!E343</f>
        <v>0</v>
      </c>
      <c r="H374" s="50" t="str">
        <f>IF(EquipmentTable[[#This Row],[Units]]&gt;0,"Quantity &gt; 0 Items","Quantity = 0 Items")</f>
        <v>Quantity = 0 Items</v>
      </c>
      <c r="I374" s="141">
        <f>RawList!J343</f>
        <v>0.95</v>
      </c>
      <c r="J374" s="24">
        <f>VALUE(EquipmentTable[[#This Row],[Units]]*EquipmentTable[[#This Row],[Unit
 Price]])</f>
        <v>0</v>
      </c>
      <c r="K374" s="50" t="str">
        <f>RawList!G343</f>
        <v>https://cdn.sparkfun.com/r/92-92/assets/parts/1/6/9/6/08612-04-L.jpg</v>
      </c>
      <c r="L374" s="50"/>
      <c r="M374" s="50" t="str">
        <f>RawList!F343</f>
        <v>https://www.sparkfun.com/products/8612</v>
      </c>
    </row>
    <row r="375" spans="2:13" x14ac:dyDescent="0.3">
      <c r="B375" s="50" t="str">
        <f>RawList!A344</f>
        <v>Low-Level Electronics</v>
      </c>
      <c r="C375" s="50" t="str">
        <f>RawList!B344</f>
        <v>Connectors, JST</v>
      </c>
      <c r="D375" s="50" t="str">
        <f>RawList!C344</f>
        <v>SparkFun</v>
      </c>
      <c r="E375" s="50" t="str">
        <f>RawList!H344</f>
        <v>JST Vertical Connector</v>
      </c>
      <c r="F375" s="50" t="str">
        <f>RawList!D344</f>
        <v>PRT-08613</v>
      </c>
      <c r="G375" s="137">
        <f>RawList!E344</f>
        <v>0</v>
      </c>
      <c r="H375" s="50" t="str">
        <f>IF(EquipmentTable[[#This Row],[Units]]&gt;0,"Quantity &gt; 0 Items","Quantity = 0 Items")</f>
        <v>Quantity = 0 Items</v>
      </c>
      <c r="I375" s="141">
        <f>RawList!J344</f>
        <v>0.95</v>
      </c>
      <c r="J375" s="24">
        <f>VALUE(EquipmentTable[[#This Row],[Units]]*EquipmentTable[[#This Row],[Unit
 Price]])</f>
        <v>0</v>
      </c>
      <c r="K375" s="50" t="str">
        <f>RawList!G344</f>
        <v>https://cdn.sparkfun.com/r/92-92/assets/parts/1/6/9/7/08613-04-L.jpg</v>
      </c>
      <c r="L375" s="50"/>
      <c r="M375" s="50" t="str">
        <f>RawList!F344</f>
        <v>https://www.sparkfun.com/products/8613</v>
      </c>
    </row>
    <row r="376" spans="2:13" x14ac:dyDescent="0.3">
      <c r="B376" s="50" t="str">
        <f>RawList!A345</f>
        <v>Low-Level Electronics</v>
      </c>
      <c r="C376" s="50" t="str">
        <f>RawList!B345</f>
        <v>Connectors, JST</v>
      </c>
      <c r="D376" s="50" t="str">
        <f>RawList!C345</f>
        <v>Adafruit</v>
      </c>
      <c r="E376" s="50" t="str">
        <f>RawList!H345</f>
        <v xml:space="preserve">JST-PH 2-Pin SMT Right Angle Breakout Board </v>
      </c>
      <c r="F376" s="50" t="str">
        <f>RawList!D345</f>
        <v>1862</v>
      </c>
      <c r="G376" s="137">
        <f>RawList!E345</f>
        <v>0</v>
      </c>
      <c r="H376" s="50" t="str">
        <f>IF(EquipmentTable[[#This Row],[Units]]&gt;0,"Quantity &gt; 0 Items","Quantity = 0 Items")</f>
        <v>Quantity = 0 Items</v>
      </c>
      <c r="I376" s="141">
        <f>RawList!J345</f>
        <v>1.5</v>
      </c>
      <c r="J376" s="24">
        <f>VALUE(EquipmentTable[[#This Row],[Units]]*EquipmentTable[[#This Row],[Unit
 Price]])</f>
        <v>0</v>
      </c>
      <c r="K376" s="50">
        <f>RawList!G345</f>
        <v>0</v>
      </c>
      <c r="L376" s="50"/>
      <c r="M376" s="50">
        <f>RawList!F345</f>
        <v>0</v>
      </c>
    </row>
    <row r="377" spans="2:13" x14ac:dyDescent="0.3">
      <c r="B377" s="50" t="str">
        <f>RawList!A346</f>
        <v>Low-Level Electronics</v>
      </c>
      <c r="C377" s="50" t="str">
        <f>RawList!B346</f>
        <v>Connectors, JST</v>
      </c>
      <c r="D377" s="50" t="str">
        <f>RawList!C346</f>
        <v>Adafruit</v>
      </c>
      <c r="E377" s="50" t="str">
        <f>RawList!H346</f>
        <v xml:space="preserve">JST-PH 2-Pin SMT Right Angle Connector </v>
      </c>
      <c r="F377" s="50" t="str">
        <f>RawList!D346</f>
        <v>1769</v>
      </c>
      <c r="G377" s="137">
        <f>RawList!E346</f>
        <v>0</v>
      </c>
      <c r="H377" s="50" t="str">
        <f>IF(EquipmentTable[[#This Row],[Units]]&gt;0,"Quantity &gt; 0 Items","Quantity = 0 Items")</f>
        <v>Quantity = 0 Items</v>
      </c>
      <c r="I377" s="141">
        <f>RawList!J346</f>
        <v>0.75</v>
      </c>
      <c r="J377" s="24">
        <f>VALUE(EquipmentTable[[#This Row],[Units]]*EquipmentTable[[#This Row],[Unit
 Price]])</f>
        <v>0</v>
      </c>
      <c r="K377" s="50">
        <f>RawList!G346</f>
        <v>0</v>
      </c>
      <c r="L377" s="50"/>
      <c r="M377" s="50">
        <f>RawList!F346</f>
        <v>0</v>
      </c>
    </row>
    <row r="378" spans="2:13" x14ac:dyDescent="0.3">
      <c r="B378" s="50" t="str">
        <f>RawList!A347</f>
        <v>Low-Level Electronics</v>
      </c>
      <c r="C378" s="50" t="str">
        <f>RawList!B347</f>
        <v>Connectors, JST</v>
      </c>
      <c r="D378" s="50" t="str">
        <f>RawList!C347</f>
        <v>Adafruit</v>
      </c>
      <c r="E378" s="50" t="str">
        <f>RawList!H347</f>
        <v xml:space="preserve">Switched JST-PH 2-Pin SMT Right Angle Breakout Board </v>
      </c>
      <c r="F378" s="50" t="str">
        <f>RawList!D347</f>
        <v>1863</v>
      </c>
      <c r="G378" s="137">
        <f>RawList!E347</f>
        <v>0</v>
      </c>
      <c r="H378" s="50" t="str">
        <f>IF(EquipmentTable[[#This Row],[Units]]&gt;0,"Quantity &gt; 0 Items","Quantity = 0 Items")</f>
        <v>Quantity = 0 Items</v>
      </c>
      <c r="I378" s="141">
        <f>RawList!J347</f>
        <v>2.5</v>
      </c>
      <c r="J378" s="24">
        <f>VALUE(EquipmentTable[[#This Row],[Units]]*EquipmentTable[[#This Row],[Unit
 Price]])</f>
        <v>0</v>
      </c>
      <c r="K378" s="50">
        <f>RawList!G347</f>
        <v>0</v>
      </c>
      <c r="L378" s="50"/>
      <c r="M378" s="50">
        <f>RawList!F347</f>
        <v>0</v>
      </c>
    </row>
    <row r="379" spans="2:13" x14ac:dyDescent="0.3">
      <c r="B379" s="50" t="str">
        <f>RawList!A348</f>
        <v>Low-Level Electronics</v>
      </c>
      <c r="C379" s="50" t="str">
        <f>RawList!B348</f>
        <v>Connectors, Polarized (Molex)</v>
      </c>
      <c r="D379" s="50" t="str">
        <f>RawList!C348</f>
        <v>SparkFun</v>
      </c>
      <c r="E379" s="50" t="str">
        <f>RawList!H348</f>
        <v>Polarized Connectors - Header (2-Pin)</v>
      </c>
      <c r="F379" s="50" t="str">
        <f>RawList!D348</f>
        <v>PRT-08233</v>
      </c>
      <c r="G379" s="137">
        <f>RawList!E348</f>
        <v>0</v>
      </c>
      <c r="H379" s="50" t="str">
        <f>IF(EquipmentTable[[#This Row],[Units]]&gt;0,"Quantity &gt; 0 Items","Quantity = 0 Items")</f>
        <v>Quantity = 0 Items</v>
      </c>
      <c r="I379" s="141">
        <f>RawList!J348</f>
        <v>0.45</v>
      </c>
      <c r="J379" s="24">
        <f>VALUE(EquipmentTable[[#This Row],[Units]]*EquipmentTable[[#This Row],[Unit
 Price]])</f>
        <v>0</v>
      </c>
      <c r="K379" s="50" t="str">
        <f>RawList!G348</f>
        <v>https://cdn.sparkfun.com/r/92-92/assets/parts/5/5/8/Connectors.jpg</v>
      </c>
      <c r="L379" s="50"/>
      <c r="M379" s="50" t="str">
        <f>RawList!F348</f>
        <v>https://www.sparkfun.com/products/8233</v>
      </c>
    </row>
    <row r="380" spans="2:13" x14ac:dyDescent="0.3">
      <c r="B380" s="50" t="str">
        <f>RawList!A349</f>
        <v>Low-Level Electronics</v>
      </c>
      <c r="C380" s="50" t="str">
        <f>RawList!B349</f>
        <v>Connectors, Polarized (Molex)</v>
      </c>
      <c r="D380" s="50" t="str">
        <f>RawList!C349</f>
        <v>SparkFun</v>
      </c>
      <c r="E380" s="50" t="str">
        <f>RawList!H349</f>
        <v>Polarized Connectors - Housing (2-Pin)</v>
      </c>
      <c r="F380" s="50" t="str">
        <f>RawList!D349</f>
        <v>PRT-08095</v>
      </c>
      <c r="G380" s="137">
        <f>RawList!E349</f>
        <v>0</v>
      </c>
      <c r="H380" s="50" t="str">
        <f>IF(EquipmentTable[[#This Row],[Units]]&gt;0,"Quantity &gt; 0 Items","Quantity = 0 Items")</f>
        <v>Quantity = 0 Items</v>
      </c>
      <c r="I380" s="141">
        <f>RawList!J349</f>
        <v>0.45</v>
      </c>
      <c r="J380" s="24">
        <f>VALUE(EquipmentTable[[#This Row],[Units]]*EquipmentTable[[#This Row],[Unit
 Price]])</f>
        <v>0</v>
      </c>
      <c r="K380" s="50" t="str">
        <f>RawList!G349</f>
        <v>https://cdn.sparkfun.com/r/92-92/assets/parts/6/6/1/08095-03-L.jpg</v>
      </c>
      <c r="L380" s="50"/>
      <c r="M380" s="50" t="str">
        <f>RawList!F349</f>
        <v>https://www.sparkfun.com/products/8095</v>
      </c>
    </row>
    <row r="381" spans="2:13" x14ac:dyDescent="0.3">
      <c r="B381" s="50" t="str">
        <f>RawList!A350</f>
        <v>Low-Level Electronics</v>
      </c>
      <c r="C381" s="50" t="str">
        <f>RawList!B350</f>
        <v>Connectors, Polarized (Molex)</v>
      </c>
      <c r="D381" s="50" t="str">
        <f>RawList!C350</f>
        <v>SparkFun</v>
      </c>
      <c r="E381" s="50" t="str">
        <f>RawList!H350</f>
        <v>Polarized Connectors - Header (3-Pin)</v>
      </c>
      <c r="F381" s="50" t="str">
        <f>RawList!D350</f>
        <v>PRT-08232</v>
      </c>
      <c r="G381" s="137">
        <f>RawList!E350</f>
        <v>6</v>
      </c>
      <c r="H381" s="50" t="str">
        <f>IF(EquipmentTable[[#This Row],[Units]]&gt;0,"Quantity &gt; 0 Items","Quantity = 0 Items")</f>
        <v>Quantity &gt; 0 Items</v>
      </c>
      <c r="I381" s="141">
        <f>RawList!J350</f>
        <v>0.45</v>
      </c>
      <c r="J381" s="24">
        <f>VALUE(EquipmentTable[[#This Row],[Units]]*EquipmentTable[[#This Row],[Unit
 Price]])</f>
        <v>2.7</v>
      </c>
      <c r="K381" s="50" t="str">
        <f>RawList!G350</f>
        <v>https://cdn.sparkfun.com/r/92-92/assets/parts/1/7/0/8/Connectors.jpg</v>
      </c>
      <c r="L381" s="50"/>
      <c r="M381" s="50" t="str">
        <f>RawList!F350</f>
        <v>https://www.sparkfun.com/products/8232</v>
      </c>
    </row>
    <row r="382" spans="2:13" x14ac:dyDescent="0.3">
      <c r="B382" s="50" t="str">
        <f>RawList!A351</f>
        <v>Low-Level Electronics</v>
      </c>
      <c r="C382" s="50" t="str">
        <f>RawList!B351</f>
        <v>Connectors, Polarized (Molex)</v>
      </c>
      <c r="D382" s="50" t="str">
        <f>RawList!C351</f>
        <v>SparkFun</v>
      </c>
      <c r="E382" s="50" t="str">
        <f>RawList!H351</f>
        <v>Polarized Connectors - Housing (3-Pin)</v>
      </c>
      <c r="F382" s="50" t="str">
        <f>RawList!D351</f>
        <v>PRT-08096</v>
      </c>
      <c r="G382" s="137">
        <f>RawList!E351</f>
        <v>6</v>
      </c>
      <c r="H382" s="50" t="str">
        <f>IF(EquipmentTable[[#This Row],[Units]]&gt;0,"Quantity &gt; 0 Items","Quantity = 0 Items")</f>
        <v>Quantity &gt; 0 Items</v>
      </c>
      <c r="I382" s="141">
        <f>RawList!J351</f>
        <v>0.45</v>
      </c>
      <c r="J382" s="24">
        <f>VALUE(EquipmentTable[[#This Row],[Units]]*EquipmentTable[[#This Row],[Unit
 Price]])</f>
        <v>2.7</v>
      </c>
      <c r="K382" s="50" t="str">
        <f>RawList!G351</f>
        <v>https://cdn.sparkfun.com/r/92-92/assets/parts/6/6/2/Connectors.jpg</v>
      </c>
      <c r="L382" s="50"/>
      <c r="M382" s="50" t="str">
        <f>RawList!F351</f>
        <v>https://www.sparkfun.com/products/8096</v>
      </c>
    </row>
    <row r="383" spans="2:13" x14ac:dyDescent="0.3">
      <c r="B383" s="50" t="str">
        <f>RawList!A352</f>
        <v>Low-Level Electronics</v>
      </c>
      <c r="C383" s="50" t="str">
        <f>RawList!B352</f>
        <v>Connectors, Polarized (Molex)</v>
      </c>
      <c r="D383" s="50" t="str">
        <f>RawList!C352</f>
        <v>SparkFun</v>
      </c>
      <c r="E383" s="50" t="str">
        <f>RawList!H352</f>
        <v>Polarized Connectors - Header (4-Pin)</v>
      </c>
      <c r="F383" s="50" t="str">
        <f>RawList!D352</f>
        <v>PRT-08231</v>
      </c>
      <c r="G383" s="137">
        <f>RawList!E352</f>
        <v>6</v>
      </c>
      <c r="H383" s="50" t="str">
        <f>IF(EquipmentTable[[#This Row],[Units]]&gt;0,"Quantity &gt; 0 Items","Quantity = 0 Items")</f>
        <v>Quantity &gt; 0 Items</v>
      </c>
      <c r="I383" s="141">
        <f>RawList!J352</f>
        <v>0.45</v>
      </c>
      <c r="J383" s="24">
        <f>VALUE(EquipmentTable[[#This Row],[Units]]*EquipmentTable[[#This Row],[Unit
 Price]])</f>
        <v>2.7</v>
      </c>
      <c r="K383" s="50" t="str">
        <f>RawList!G352</f>
        <v>https://cdn.sparkfun.com/r/92-92/assets/parts/4/9/9/Connectors.jpg</v>
      </c>
      <c r="L383" s="50"/>
      <c r="M383" s="50" t="str">
        <f>RawList!F352</f>
        <v>https://www.sparkfun.com/products/8231</v>
      </c>
    </row>
    <row r="384" spans="2:13" x14ac:dyDescent="0.3">
      <c r="B384" s="50" t="str">
        <f>RawList!A353</f>
        <v>Low-Level Electronics</v>
      </c>
      <c r="C384" s="50" t="str">
        <f>RawList!B353</f>
        <v>Connectors, Polarized (Molex)</v>
      </c>
      <c r="D384" s="50" t="str">
        <f>RawList!C353</f>
        <v>SparkFun</v>
      </c>
      <c r="E384" s="50" t="str">
        <f>RawList!H353</f>
        <v>Polarized Connectors - Housing (4-Pin)</v>
      </c>
      <c r="F384" s="50" t="str">
        <f>RawList!D353</f>
        <v>PRT-08097</v>
      </c>
      <c r="G384" s="137">
        <f>RawList!E353</f>
        <v>6</v>
      </c>
      <c r="H384" s="50" t="str">
        <f>IF(EquipmentTable[[#This Row],[Units]]&gt;0,"Quantity &gt; 0 Items","Quantity = 0 Items")</f>
        <v>Quantity &gt; 0 Items</v>
      </c>
      <c r="I384" s="141">
        <f>RawList!J353</f>
        <v>0.45</v>
      </c>
      <c r="J384" s="24">
        <f>VALUE(EquipmentTable[[#This Row],[Units]]*EquipmentTable[[#This Row],[Unit
 Price]])</f>
        <v>2.7</v>
      </c>
      <c r="K384" s="50" t="str">
        <f>RawList!G353</f>
        <v>https://cdn.sparkfun.com/r/92-92/assets/parts/6/6/3/Connectors.jpg</v>
      </c>
      <c r="L384" s="50"/>
      <c r="M384" s="50" t="str">
        <f>RawList!F353</f>
        <v>https://www.sparkfun.com/products/8097</v>
      </c>
    </row>
    <row r="385" spans="2:13" x14ac:dyDescent="0.3">
      <c r="B385" s="50" t="str">
        <f>RawList!A354</f>
        <v>Low-Level Electronics</v>
      </c>
      <c r="C385" s="50" t="str">
        <f>RawList!B354</f>
        <v>Connectors, Polarized (Molex)</v>
      </c>
      <c r="D385" s="50" t="str">
        <f>RawList!C354</f>
        <v>SparkFun</v>
      </c>
      <c r="E385" s="50" t="str">
        <f>RawList!H354</f>
        <v>Polarized Connectors - Crimp Pins</v>
      </c>
      <c r="F385" s="50" t="str">
        <f>RawList!D354</f>
        <v>PRT-08100</v>
      </c>
      <c r="G385" s="137">
        <f>RawList!E354</f>
        <v>6</v>
      </c>
      <c r="H385" s="50" t="str">
        <f>IF(EquipmentTable[[#This Row],[Units]]&gt;0,"Quantity &gt; 0 Items","Quantity = 0 Items")</f>
        <v>Quantity &gt; 0 Items</v>
      </c>
      <c r="I385" s="141">
        <f>RawList!J354</f>
        <v>1.95</v>
      </c>
      <c r="J385" s="24">
        <f>VALUE(EquipmentTable[[#This Row],[Units]]*EquipmentTable[[#This Row],[Unit
 Price]])</f>
        <v>11.7</v>
      </c>
      <c r="K385" s="50" t="str">
        <f>RawList!G354</f>
        <v>https://cdn.sparkfun.com/r/92-92/assets/parts/6/6/6/08100-01a.jpg</v>
      </c>
      <c r="L385" s="50"/>
      <c r="M385" s="50" t="str">
        <f>RawList!F354</f>
        <v>https://www.sparkfun.com/products/8100</v>
      </c>
    </row>
    <row r="386" spans="2:13" x14ac:dyDescent="0.3">
      <c r="B386" s="50" t="str">
        <f>RawList!A355</f>
        <v>Low-Level Electronics</v>
      </c>
      <c r="C386" s="50" t="str">
        <f>RawList!B355</f>
        <v>Connectors, Ribbon Crimp</v>
      </c>
      <c r="D386" s="50" t="str">
        <f>RawList!C355</f>
        <v>SparkFun</v>
      </c>
      <c r="E386" s="50" t="str">
        <f>RawList!H355</f>
        <v>Ribbon Crimp Connector - 6-pin (2x3, Female)</v>
      </c>
      <c r="F386" s="50" t="str">
        <f>RawList!D355</f>
        <v>PRT-10651</v>
      </c>
      <c r="G386" s="137">
        <f>RawList!E355</f>
        <v>10</v>
      </c>
      <c r="H386" s="50" t="str">
        <f>IF(EquipmentTable[[#This Row],[Units]]&gt;0,"Quantity &gt; 0 Items","Quantity = 0 Items")</f>
        <v>Quantity &gt; 0 Items</v>
      </c>
      <c r="I386" s="141">
        <f>RawList!J355</f>
        <v>0.35</v>
      </c>
      <c r="J386" s="24">
        <f>VALUE(EquipmentTable[[#This Row],[Units]]*EquipmentTable[[#This Row],[Unit
 Price]])</f>
        <v>3.5</v>
      </c>
      <c r="K386" s="50" t="str">
        <f>RawList!G355</f>
        <v>https://cdn.sparkfun.com/r/92-92/assets/parts/5/4/2/6/10651-02.jpg</v>
      </c>
      <c r="L386" s="50"/>
      <c r="M386" s="50" t="str">
        <f>RawList!F355</f>
        <v>https://www.sparkfun.com/products/10651</v>
      </c>
    </row>
    <row r="387" spans="2:13" x14ac:dyDescent="0.3">
      <c r="B387" s="50" t="str">
        <f>RawList!A356</f>
        <v>Low-Level Electronics</v>
      </c>
      <c r="C387" s="50" t="str">
        <f>RawList!B356</f>
        <v>Connectors, Ribbon Crimp</v>
      </c>
      <c r="D387" s="50" t="str">
        <f>RawList!C356</f>
        <v>SparkFun</v>
      </c>
      <c r="E387" s="50" t="str">
        <f>RawList!H356</f>
        <v>Ribbon Crimp Connector - 10-pin (2x5, Female)</v>
      </c>
      <c r="F387" s="50" t="str">
        <f>RawList!D356</f>
        <v>PRT-10650</v>
      </c>
      <c r="G387" s="137">
        <f>RawList!E356</f>
        <v>10</v>
      </c>
      <c r="H387" s="50" t="str">
        <f>IF(EquipmentTable[[#This Row],[Units]]&gt;0,"Quantity &gt; 0 Items","Quantity = 0 Items")</f>
        <v>Quantity &gt; 0 Items</v>
      </c>
      <c r="I387" s="141">
        <f>RawList!J356</f>
        <v>0.5</v>
      </c>
      <c r="J387" s="24">
        <f>VALUE(EquipmentTable[[#This Row],[Units]]*EquipmentTable[[#This Row],[Unit
 Price]])</f>
        <v>5</v>
      </c>
      <c r="K387" s="50" t="str">
        <f>RawList!G356</f>
        <v>https://cdn.sparkfun.com/r/92-92/assets/parts/5/4/2/5/10650-02.jpg</v>
      </c>
      <c r="L387" s="50"/>
      <c r="M387" s="50" t="str">
        <f>RawList!F356</f>
        <v>https://www.sparkfun.com/products/10650</v>
      </c>
    </row>
    <row r="388" spans="2:13" x14ac:dyDescent="0.3">
      <c r="B388" s="50" t="str">
        <f>RawList!A357</f>
        <v>Low-Level Electronics</v>
      </c>
      <c r="C388" s="50" t="str">
        <f>RawList!B357</f>
        <v>Connectors, Spring/Screw Terminals</v>
      </c>
      <c r="D388" s="50" t="str">
        <f>RawList!C357</f>
        <v>SparkFun</v>
      </c>
      <c r="E388" s="50" t="str">
        <f>RawList!H357</f>
        <v>Screw Terminals 2.54mm Pitch (2-Pin)</v>
      </c>
      <c r="F388" s="50" t="str">
        <f>RawList!D357</f>
        <v>PRT-10571</v>
      </c>
      <c r="G388" s="137">
        <f>RawList!E357</f>
        <v>0</v>
      </c>
      <c r="H388" s="50" t="str">
        <f>IF(EquipmentTable[[#This Row],[Units]]&gt;0,"Quantity &gt; 0 Items","Quantity = 0 Items")</f>
        <v>Quantity = 0 Items</v>
      </c>
      <c r="I388" s="141">
        <f>RawList!J357</f>
        <v>0.75</v>
      </c>
      <c r="J388" s="24">
        <f>VALUE(EquipmentTable[[#This Row],[Units]]*EquipmentTable[[#This Row],[Unit
 Price]])</f>
        <v>0</v>
      </c>
      <c r="K388" s="50" t="str">
        <f>RawList!G357</f>
        <v>https://cdn.sparkfun.com/r/92-92/assets/parts/5/2/0/4/10571-01.jpg</v>
      </c>
      <c r="L388" s="50"/>
      <c r="M388" s="50" t="str">
        <f>RawList!F357</f>
        <v>https://www.sparkfun.com/products/10571</v>
      </c>
    </row>
    <row r="389" spans="2:13" x14ac:dyDescent="0.3">
      <c r="B389" s="50" t="str">
        <f>RawList!A358</f>
        <v>Low-Level Electronics</v>
      </c>
      <c r="C389" s="50" t="str">
        <f>RawList!B358</f>
        <v>Connectors, Spring/Screw Terminals</v>
      </c>
      <c r="D389" s="50" t="str">
        <f>RawList!C358</f>
        <v>SparkFun</v>
      </c>
      <c r="E389" s="50" t="str">
        <f>RawList!H358</f>
        <v>Screw Terminals 5mm Pitch (2-Pin)</v>
      </c>
      <c r="F389" s="50" t="str">
        <f>RawList!D358</f>
        <v>PRT-08432</v>
      </c>
      <c r="G389" s="137">
        <f>RawList!E358</f>
        <v>10</v>
      </c>
      <c r="H389" s="50" t="str">
        <f>IF(EquipmentTable[[#This Row],[Units]]&gt;0,"Quantity &gt; 0 Items","Quantity = 0 Items")</f>
        <v>Quantity &gt; 0 Items</v>
      </c>
      <c r="I389" s="141">
        <f>RawList!J358</f>
        <v>0.95</v>
      </c>
      <c r="J389" s="24">
        <f>VALUE(EquipmentTable[[#This Row],[Units]]*EquipmentTable[[#This Row],[Unit
 Price]])</f>
        <v>9.5</v>
      </c>
      <c r="K389" s="50" t="str">
        <f>RawList!G358</f>
        <v>https://cdn.sparkfun.com/r/92-92/assets/parts/1/3/6/5/2PinScrewTerminal-01-L.jpg</v>
      </c>
      <c r="L389" s="50"/>
      <c r="M389" s="50" t="str">
        <f>RawList!F358</f>
        <v>https://www.sparkfun.com/products/8432</v>
      </c>
    </row>
    <row r="390" spans="2:13" x14ac:dyDescent="0.3">
      <c r="B390" s="50" t="str">
        <f>RawList!A359</f>
        <v>Low-Level Electronics</v>
      </c>
      <c r="C390" s="50" t="str">
        <f>RawList!B359</f>
        <v>Connectors, Spring/Screw Terminals</v>
      </c>
      <c r="D390" s="50" t="str">
        <f>RawList!C359</f>
        <v>SparkFun</v>
      </c>
      <c r="E390" s="50" t="str">
        <f>RawList!H359</f>
        <v>Screw Terminals 5mm Pitch (3-Pin)</v>
      </c>
      <c r="F390" s="50" t="str">
        <f>RawList!D359</f>
        <v>PRT-08433</v>
      </c>
      <c r="G390" s="137">
        <f>RawList!E359</f>
        <v>10</v>
      </c>
      <c r="H390" s="50" t="str">
        <f>IF(EquipmentTable[[#This Row],[Units]]&gt;0,"Quantity &gt; 0 Items","Quantity = 0 Items")</f>
        <v>Quantity &gt; 0 Items</v>
      </c>
      <c r="I390" s="141">
        <f>RawList!J359</f>
        <v>0.95</v>
      </c>
      <c r="J390" s="24">
        <f>VALUE(EquipmentTable[[#This Row],[Units]]*EquipmentTable[[#This Row],[Unit
 Price]])</f>
        <v>9.5</v>
      </c>
      <c r="K390" s="50" t="str">
        <f>RawList!G359</f>
        <v>https://cdn.sparkfun.com/r/92-92/assets/parts/1/3/6/4/3PinScrewTerminal-01-L.jpg</v>
      </c>
      <c r="L390" s="50"/>
      <c r="M390" s="50" t="str">
        <f>RawList!F359</f>
        <v>https://www.sparkfun.com/products/8433</v>
      </c>
    </row>
    <row r="391" spans="2:13" x14ac:dyDescent="0.3">
      <c r="B391" s="50" t="str">
        <f>RawList!A360</f>
        <v>Low-Level Electronics</v>
      </c>
      <c r="C391" s="50" t="str">
        <f>RawList!B360</f>
        <v>Connectors, Spring/Screw Terminals</v>
      </c>
      <c r="D391" s="50" t="str">
        <f>RawList!C360</f>
        <v>SparkFun</v>
      </c>
      <c r="E391" s="50" t="str">
        <f>RawList!H360</f>
        <v>Spring Terminals - PCB Mount (2-Pin)</v>
      </c>
      <c r="F391" s="50" t="str">
        <f>RawList!D360</f>
        <v>PRT-08073</v>
      </c>
      <c r="G391" s="137">
        <f>RawList!E360</f>
        <v>0</v>
      </c>
      <c r="H391" s="50" t="str">
        <f>IF(EquipmentTable[[#This Row],[Units]]&gt;0,"Quantity &gt; 0 Items","Quantity = 0 Items")</f>
        <v>Quantity = 0 Items</v>
      </c>
      <c r="I391" s="141">
        <f>RawList!J360</f>
        <v>1.5</v>
      </c>
      <c r="J391" s="24">
        <f>VALUE(EquipmentTable[[#This Row],[Units]]*EquipmentTable[[#This Row],[Unit
 Price]])</f>
        <v>0</v>
      </c>
      <c r="K391" s="50" t="str">
        <f>RawList!G360</f>
        <v>https://cdn.sparkfun.com/r/92-92/assets/parts/6/5/2/08073-01.jpg</v>
      </c>
      <c r="L391" s="50"/>
      <c r="M391" s="50" t="str">
        <f>RawList!F360</f>
        <v>https://www.sparkfun.com/products/8073</v>
      </c>
    </row>
    <row r="392" spans="2:13" x14ac:dyDescent="0.3">
      <c r="B392" s="50" t="str">
        <f>RawList!A361</f>
        <v>Low-Level Electronics</v>
      </c>
      <c r="C392" s="50" t="str">
        <f>RawList!B361</f>
        <v>Connectors, Spring/Screw Terminals</v>
      </c>
      <c r="D392" s="50" t="str">
        <f>RawList!C361</f>
        <v>SparkFun</v>
      </c>
      <c r="E392" s="50" t="str">
        <f>RawList!H361</f>
        <v>Spring Terminals - PCB Mount (3-Pin)</v>
      </c>
      <c r="F392" s="50" t="str">
        <f>RawList!D361</f>
        <v>PRT-08074</v>
      </c>
      <c r="G392" s="137">
        <f>RawList!E361</f>
        <v>0</v>
      </c>
      <c r="H392" s="50" t="str">
        <f>IF(EquipmentTable[[#This Row],[Units]]&gt;0,"Quantity &gt; 0 Items","Quantity = 0 Items")</f>
        <v>Quantity = 0 Items</v>
      </c>
      <c r="I392" s="141">
        <f>RawList!J361</f>
        <v>1.5</v>
      </c>
      <c r="J392" s="24">
        <f>VALUE(EquipmentTable[[#This Row],[Units]]*EquipmentTable[[#This Row],[Unit
 Price]])</f>
        <v>0</v>
      </c>
      <c r="K392" s="50" t="str">
        <f>RawList!G361</f>
        <v>https://cdn.sparkfun.com/r/92-92/assets/parts/6/5/3/08074-01.jpg</v>
      </c>
      <c r="L392" s="50"/>
      <c r="M392" s="50" t="str">
        <f>RawList!F361</f>
        <v>https://www.sparkfun.com/products/8074</v>
      </c>
    </row>
    <row r="393" spans="2:13" x14ac:dyDescent="0.3">
      <c r="B393" s="50" t="str">
        <f>RawList!A362</f>
        <v>Low-Level Electronics</v>
      </c>
      <c r="C393" s="50" t="str">
        <f>RawList!B362</f>
        <v>Connectors, Spring/Screw Terminals</v>
      </c>
      <c r="D393" s="50" t="str">
        <f>RawList!C362</f>
        <v>SparkFun</v>
      </c>
      <c r="E393" s="50" t="str">
        <f>RawList!H362</f>
        <v>Spring Terminals - PCB Mount (4-Pin)</v>
      </c>
      <c r="F393" s="50" t="str">
        <f>RawList!D362</f>
        <v>PRT-08075</v>
      </c>
      <c r="G393" s="137">
        <f>RawList!E362</f>
        <v>0</v>
      </c>
      <c r="H393" s="50" t="str">
        <f>IF(EquipmentTable[[#This Row],[Units]]&gt;0,"Quantity &gt; 0 Items","Quantity = 0 Items")</f>
        <v>Quantity = 0 Items</v>
      </c>
      <c r="I393" s="141">
        <f>RawList!J362</f>
        <v>1.5</v>
      </c>
      <c r="J393" s="24">
        <f>VALUE(EquipmentTable[[#This Row],[Units]]*EquipmentTable[[#This Row],[Unit
 Price]])</f>
        <v>0</v>
      </c>
      <c r="K393" s="50" t="str">
        <f>RawList!G362</f>
        <v>https://cdn.sparkfun.com/r/92-92/assets/parts/6/5/4/08075-01.jpg</v>
      </c>
      <c r="L393" s="50"/>
      <c r="M393" s="50" t="str">
        <f>RawList!F362</f>
        <v>https://www.sparkfun.com/products/8075</v>
      </c>
    </row>
    <row r="394" spans="2:13" x14ac:dyDescent="0.3">
      <c r="B394" s="50" t="str">
        <f>RawList!A363</f>
        <v>Low-Level Electronics</v>
      </c>
      <c r="C394" s="50" t="str">
        <f>RawList!B363</f>
        <v>Connectors, Spring/Screw Terminals</v>
      </c>
      <c r="D394" s="50" t="str">
        <f>RawList!C363</f>
        <v>SparkFun</v>
      </c>
      <c r="E394" s="50" t="str">
        <f>RawList!H363</f>
        <v>Spring Terminals - PCB Mount (6-Pin)</v>
      </c>
      <c r="F394" s="50" t="str">
        <f>RawList!D363</f>
        <v>PRT-08077</v>
      </c>
      <c r="G394" s="137">
        <f>RawList!E363</f>
        <v>2</v>
      </c>
      <c r="H394" s="50" t="str">
        <f>IF(EquipmentTable[[#This Row],[Units]]&gt;0,"Quantity &gt; 0 Items","Quantity = 0 Items")</f>
        <v>Quantity &gt; 0 Items</v>
      </c>
      <c r="I394" s="141">
        <f>RawList!J363</f>
        <v>1.5</v>
      </c>
      <c r="J394" s="24">
        <f>VALUE(EquipmentTable[[#This Row],[Units]]*EquipmentTable[[#This Row],[Unit
 Price]])</f>
        <v>3</v>
      </c>
      <c r="K394" s="50" t="str">
        <f>RawList!G363</f>
        <v>https://cdn.sparkfun.com/r/92-92/assets/parts/6/5/6/08077-01.jpg</v>
      </c>
      <c r="L394" s="50"/>
      <c r="M394" s="50" t="str">
        <f>RawList!F363</f>
        <v>https://www.sparkfun.com/products/8077</v>
      </c>
    </row>
    <row r="395" spans="2:13" x14ac:dyDescent="0.3">
      <c r="B395" s="50" t="str">
        <f>RawList!A364</f>
        <v>Low-Level Electronics</v>
      </c>
      <c r="C395" s="50" t="str">
        <f>RawList!B364</f>
        <v>Connectors, USB</v>
      </c>
      <c r="D395" s="50" t="str">
        <f>RawList!C364</f>
        <v>SparkFun</v>
      </c>
      <c r="E395" s="50" t="str">
        <f>RawList!H364</f>
        <v>USB Female Type B Connector</v>
      </c>
      <c r="F395" s="50" t="str">
        <f>RawList!D364</f>
        <v>PRT-00139</v>
      </c>
      <c r="G395" s="137">
        <f>RawList!E364</f>
        <v>0</v>
      </c>
      <c r="H395" s="50" t="str">
        <f>IF(EquipmentTable[[#This Row],[Units]]&gt;0,"Quantity &gt; 0 Items","Quantity = 0 Items")</f>
        <v>Quantity = 0 Items</v>
      </c>
      <c r="I395" s="141">
        <f>RawList!J364</f>
        <v>1.25</v>
      </c>
      <c r="J395" s="24">
        <f>VALUE(EquipmentTable[[#This Row],[Units]]*EquipmentTable[[#This Row],[Unit
 Price]])</f>
        <v>0</v>
      </c>
      <c r="K395" s="50" t="str">
        <f>RawList!G364</f>
        <v>https://cdn.sparkfun.com/r/92-92/assets/parts/1/2/3/00139-03-L.jpg</v>
      </c>
      <c r="L395" s="50"/>
      <c r="M395" s="50" t="str">
        <f>RawList!F364</f>
        <v>https://www.sparkfun.com/products/139</v>
      </c>
    </row>
    <row r="396" spans="2:13" x14ac:dyDescent="0.3">
      <c r="B396" s="50" t="str">
        <f>RawList!A365</f>
        <v>Low-Level Electronics</v>
      </c>
      <c r="C396" s="50" t="str">
        <f>RawList!B365</f>
        <v>Connectors, USB</v>
      </c>
      <c r="D396" s="50" t="str">
        <f>RawList!C365</f>
        <v>SparkFun</v>
      </c>
      <c r="E396" s="50" t="str">
        <f>RawList!H365</f>
        <v>SparkFun microB USB Breakout</v>
      </c>
      <c r="F396" s="50" t="str">
        <f>RawList!D365</f>
        <v>BOB-12035</v>
      </c>
      <c r="G396" s="137">
        <f>RawList!E365</f>
        <v>0</v>
      </c>
      <c r="H396" s="50" t="str">
        <f>IF(EquipmentTable[[#This Row],[Units]]&gt;0,"Quantity &gt; 0 Items","Quantity = 0 Items")</f>
        <v>Quantity = 0 Items</v>
      </c>
      <c r="I396" s="141">
        <f>RawList!J365</f>
        <v>1.95</v>
      </c>
      <c r="J396" s="24">
        <f>VALUE(EquipmentTable[[#This Row],[Units]]*EquipmentTable[[#This Row],[Unit
 Price]])</f>
        <v>0</v>
      </c>
      <c r="K396" s="50" t="str">
        <f>RawList!G365</f>
        <v>https://cdn.sparkfun.com/r/92-92/assets/parts/8/5/7/8/12035-01.jpg</v>
      </c>
      <c r="L396" s="50"/>
      <c r="M396" s="50" t="str">
        <f>RawList!F365</f>
        <v>https://www.sparkfun.com/products/12035</v>
      </c>
    </row>
    <row r="397" spans="2:13" x14ac:dyDescent="0.3">
      <c r="B397" s="50" t="str">
        <f>RawList!A366</f>
        <v>Low-Level Electronics</v>
      </c>
      <c r="C397" s="50" t="str">
        <f>RawList!B366</f>
        <v>Connectors, USB</v>
      </c>
      <c r="D397" s="50" t="str">
        <f>RawList!C366</f>
        <v>SparkFun</v>
      </c>
      <c r="E397" s="50" t="str">
        <f>RawList!H366</f>
        <v>SparkFun USB MicroB Plug Breakout</v>
      </c>
      <c r="F397" s="50" t="str">
        <f>RawList!D366</f>
        <v>BOB-10031</v>
      </c>
      <c r="G397" s="137">
        <f>RawList!E366</f>
        <v>0</v>
      </c>
      <c r="H397" s="50" t="str">
        <f>IF(EquipmentTable[[#This Row],[Units]]&gt;0,"Quantity &gt; 0 Items","Quantity = 0 Items")</f>
        <v>Quantity = 0 Items</v>
      </c>
      <c r="I397" s="141">
        <f>RawList!J366</f>
        <v>3.95</v>
      </c>
      <c r="J397" s="24">
        <f>VALUE(EquipmentTable[[#This Row],[Units]]*EquipmentTable[[#This Row],[Unit
 Price]])</f>
        <v>0</v>
      </c>
      <c r="K397" s="50" t="str">
        <f>RawList!G366</f>
        <v>https://cdn.sparkfun.com/r/92-92/assets/parts/4/2/1/8/10031-01a.jpg</v>
      </c>
      <c r="L397" s="50"/>
      <c r="M397" s="50" t="str">
        <f>RawList!F366</f>
        <v>https://www.sparkfun.com/products/10031</v>
      </c>
    </row>
    <row r="398" spans="2:13" x14ac:dyDescent="0.3">
      <c r="B398" s="50" t="str">
        <f>RawList!A367</f>
        <v>Low-Level Electronics</v>
      </c>
      <c r="C398" s="50" t="str">
        <f>RawList!B367</f>
        <v>Connectors, USB</v>
      </c>
      <c r="D398" s="50" t="str">
        <f>RawList!C367</f>
        <v>SparkFun</v>
      </c>
      <c r="E398" s="50" t="str">
        <f>RawList!H367</f>
        <v>SparkFun USB Mini-B Breakout</v>
      </c>
      <c r="F398" s="50" t="str">
        <f>RawList!D367</f>
        <v>BOB-09966</v>
      </c>
      <c r="G398" s="137">
        <f>RawList!E367</f>
        <v>0</v>
      </c>
      <c r="H398" s="50" t="str">
        <f>IF(EquipmentTable[[#This Row],[Units]]&gt;0,"Quantity &gt; 0 Items","Quantity = 0 Items")</f>
        <v>Quantity = 0 Items</v>
      </c>
      <c r="I398" s="141">
        <f>RawList!J367</f>
        <v>1.95</v>
      </c>
      <c r="J398" s="24">
        <f>VALUE(EquipmentTable[[#This Row],[Units]]*EquipmentTable[[#This Row],[Unit
 Price]])</f>
        <v>0</v>
      </c>
      <c r="K398" s="50" t="str">
        <f>RawList!G367</f>
        <v>https://cdn.sparkfun.com/r/92-92/assets/parts/4/0/9/9/09966-01.jpg</v>
      </c>
      <c r="L398" s="50"/>
      <c r="M398" s="50" t="str">
        <f>RawList!F367</f>
        <v>https://www.sparkfun.com/products/9966</v>
      </c>
    </row>
    <row r="399" spans="2:13" x14ac:dyDescent="0.3">
      <c r="B399" s="50" t="str">
        <f>RawList!A368</f>
        <v>Low-Level Electronics</v>
      </c>
      <c r="C399" s="50" t="str">
        <f>RawList!B368</f>
        <v>Connectors/Sockets/Terminals, Other</v>
      </c>
      <c r="D399" s="50" t="str">
        <f>RawList!C368</f>
        <v>SparkFun</v>
      </c>
      <c r="E399" s="50" t="str">
        <f>RawList!H368</f>
        <v>Amphenol FCI Clincher Connector (2 Position, Female)</v>
      </c>
      <c r="F399" s="50" t="str">
        <f>RawList!D368</f>
        <v>COM-14194</v>
      </c>
      <c r="G399" s="137">
        <f>RawList!E368</f>
        <v>0</v>
      </c>
      <c r="H399" s="50" t="str">
        <f>IF(EquipmentTable[[#This Row],[Units]]&gt;0,"Quantity &gt; 0 Items","Quantity = 0 Items")</f>
        <v>Quantity = 0 Items</v>
      </c>
      <c r="I399" s="141">
        <f>RawList!J368</f>
        <v>1.95</v>
      </c>
      <c r="J399" s="24">
        <f>VALUE(EquipmentTable[[#This Row],[Units]]*EquipmentTable[[#This Row],[Unit
 Price]])</f>
        <v>0</v>
      </c>
      <c r="K399" s="50" t="str">
        <f>RawList!G368</f>
        <v>https://cdn.sparkfun.com/r/92-92/assets/parts/1/2/1/3/3/14194-01.jpg</v>
      </c>
      <c r="L399" s="50"/>
      <c r="M399" s="50" t="str">
        <f>RawList!F368</f>
        <v>https://www.sparkfun.com/products/14194</v>
      </c>
    </row>
    <row r="400" spans="2:13" x14ac:dyDescent="0.3">
      <c r="B400" s="50" t="str">
        <f>RawList!A369</f>
        <v>Low-Level Electronics</v>
      </c>
      <c r="C400" s="50" t="str">
        <f>RawList!B369</f>
        <v>Connectors/Sockets/Terminals, Other</v>
      </c>
      <c r="D400" s="50" t="str">
        <f>RawList!C369</f>
        <v>SparkFun</v>
      </c>
      <c r="E400" s="50" t="str">
        <f>RawList!H369</f>
        <v>Amphenol FCI Clincher Connector (2 Position, Male)</v>
      </c>
      <c r="F400" s="50" t="str">
        <f>RawList!D369</f>
        <v>COM-14195</v>
      </c>
      <c r="G400" s="137">
        <f>RawList!E369</f>
        <v>9</v>
      </c>
      <c r="H400" s="50" t="str">
        <f>IF(EquipmentTable[[#This Row],[Units]]&gt;0,"Quantity &gt; 0 Items","Quantity = 0 Items")</f>
        <v>Quantity &gt; 0 Items</v>
      </c>
      <c r="I400" s="141">
        <f>RawList!J369</f>
        <v>1.95</v>
      </c>
      <c r="J400" s="24">
        <f>VALUE(EquipmentTable[[#This Row],[Units]]*EquipmentTable[[#This Row],[Unit
 Price]])</f>
        <v>17.55</v>
      </c>
      <c r="K400" s="50" t="str">
        <f>RawList!G369</f>
        <v>https://cdn.sparkfun.com/r/92-92/assets/parts/1/2/1/3/4/14195-01.jpg</v>
      </c>
      <c r="L400" s="50"/>
      <c r="M400" s="50" t="str">
        <f>RawList!F369</f>
        <v>https://www.sparkfun.com/products/14195</v>
      </c>
    </row>
    <row r="401" spans="2:13" x14ac:dyDescent="0.3">
      <c r="B401" s="50" t="str">
        <f>RawList!A370</f>
        <v>Low-Level Electronics</v>
      </c>
      <c r="C401" s="50" t="str">
        <f>RawList!B370</f>
        <v>Connectors/Sockets/Terminals, Other</v>
      </c>
      <c r="D401" s="50" t="str">
        <f>RawList!C370</f>
        <v>SparkFun</v>
      </c>
      <c r="E401" s="50" t="str">
        <f>RawList!H370</f>
        <v>Jumper - 2 Pin</v>
      </c>
      <c r="F401" s="50" t="str">
        <f>RawList!D370</f>
        <v>PRT-09044</v>
      </c>
      <c r="G401" s="137">
        <f>RawList!E370</f>
        <v>0</v>
      </c>
      <c r="H401" s="50" t="str">
        <f>IF(EquipmentTable[[#This Row],[Units]]&gt;0,"Quantity &gt; 0 Items","Quantity = 0 Items")</f>
        <v>Quantity = 0 Items</v>
      </c>
      <c r="I401" s="141">
        <f>RawList!J370</f>
        <v>0.35</v>
      </c>
      <c r="J401" s="24">
        <f>VALUE(EquipmentTable[[#This Row],[Units]]*EquipmentTable[[#This Row],[Unit
 Price]])</f>
        <v>0</v>
      </c>
      <c r="K401" s="50" t="str">
        <f>RawList!G370</f>
        <v>https://cdn.sparkfun.com/r/92-92/assets/parts/2/4/0/7/09044-02-L.jpg</v>
      </c>
      <c r="L401" s="50"/>
      <c r="M401" s="50" t="str">
        <f>RawList!F370</f>
        <v>https://www.sparkfun.com/products/9044</v>
      </c>
    </row>
    <row r="402" spans="2:13" x14ac:dyDescent="0.3">
      <c r="B402" s="50" t="str">
        <f>RawList!A371</f>
        <v>Low-Level Electronics</v>
      </c>
      <c r="C402" s="50" t="str">
        <f>RawList!B371</f>
        <v>Connectors/Sockets/Terminals, Other</v>
      </c>
      <c r="D402" s="50" t="str">
        <f>RawList!C371</f>
        <v>Adafruit</v>
      </c>
      <c r="E402" s="50" t="str">
        <f>RawList!H371</f>
        <v xml:space="preserve">Jumper Shunt with Handle (0.1" / 2.54mm) – 10 Pack </v>
      </c>
      <c r="F402" s="50">
        <f>RawList!D371</f>
        <v>3525</v>
      </c>
      <c r="G402" s="137">
        <f>RawList!E371</f>
        <v>1</v>
      </c>
      <c r="H402" s="50" t="str">
        <f>IF(EquipmentTable[[#This Row],[Units]]&gt;0,"Quantity &gt; 0 Items","Quantity = 0 Items")</f>
        <v>Quantity &gt; 0 Items</v>
      </c>
      <c r="I402" s="141">
        <f>RawList!J371</f>
        <v>0.95</v>
      </c>
      <c r="J402" s="24">
        <f>VALUE(EquipmentTable[[#This Row],[Units]]*EquipmentTable[[#This Row],[Unit
 Price]])</f>
        <v>0.95</v>
      </c>
      <c r="K402" s="50">
        <f>RawList!G371</f>
        <v>0</v>
      </c>
      <c r="L402" s="50"/>
      <c r="M402" s="50">
        <f>RawList!F371</f>
        <v>0</v>
      </c>
    </row>
    <row r="403" spans="2:13" x14ac:dyDescent="0.3">
      <c r="B403" s="50" t="str">
        <f>RawList!A372</f>
        <v>Low-Level Electronics</v>
      </c>
      <c r="C403" s="50" t="str">
        <f>RawList!B372</f>
        <v>DIP/TO-#/SMD Components</v>
      </c>
      <c r="D403" s="50" t="str">
        <f>RawList!C372</f>
        <v>SparkFun</v>
      </c>
      <c r="E403" s="50" t="str">
        <f>RawList!H372</f>
        <v>SparkFun Beginner Parts Kit</v>
      </c>
      <c r="F403" s="50" t="str">
        <f>RawList!D372</f>
        <v>KIT-13973</v>
      </c>
      <c r="G403" s="137">
        <f>RawList!E372</f>
        <v>0</v>
      </c>
      <c r="H403" s="50" t="str">
        <f>IF(EquipmentTable[[#This Row],[Units]]&gt;0,"Quantity &gt; 0 Items","Quantity = 0 Items")</f>
        <v>Quantity = 0 Items</v>
      </c>
      <c r="I403" s="141">
        <f>RawList!J372</f>
        <v>14.95</v>
      </c>
      <c r="J403" s="24">
        <f>VALUE(EquipmentTable[[#This Row],[Units]]*EquipmentTable[[#This Row],[Unit
 Price]])</f>
        <v>0</v>
      </c>
      <c r="K403" s="50" t="str">
        <f>RawList!G372</f>
        <v>https://cdn.sparkfun.com/r/92-92/assets/parts/1/1/7/1/5/13973-05.jpg</v>
      </c>
      <c r="L403" s="50"/>
      <c r="M403" s="50" t="str">
        <f>RawList!F372</f>
        <v>https://www.sparkfun.com/products/13973</v>
      </c>
    </row>
    <row r="404" spans="2:13" x14ac:dyDescent="0.3">
      <c r="B404" s="50" t="str">
        <f>RawList!A373</f>
        <v>Low-Level Electronics</v>
      </c>
      <c r="C404" s="50" t="str">
        <f>RawList!B373</f>
        <v>DIP/TO-#/SMD Components</v>
      </c>
      <c r="D404" s="50" t="str">
        <f>RawList!C373</f>
        <v>Adafruit</v>
      </c>
      <c r="E404" s="50" t="str">
        <f>RawList!H373</f>
        <v>Adafruit Parts Pal</v>
      </c>
      <c r="F404" s="50" t="str">
        <f>RawList!D373</f>
        <v>2975</v>
      </c>
      <c r="G404" s="137">
        <f>RawList!E373</f>
        <v>1</v>
      </c>
      <c r="H404" s="50" t="str">
        <f>IF(EquipmentTable[[#This Row],[Units]]&gt;0,"Quantity &gt; 0 Items","Quantity = 0 Items")</f>
        <v>Quantity &gt; 0 Items</v>
      </c>
      <c r="I404" s="141">
        <f>RawList!J373</f>
        <v>19.95</v>
      </c>
      <c r="J404" s="24">
        <f>VALUE(EquipmentTable[[#This Row],[Units]]*EquipmentTable[[#This Row],[Unit
 Price]])</f>
        <v>19.95</v>
      </c>
      <c r="K404" s="50">
        <f>RawList!G373</f>
        <v>0</v>
      </c>
      <c r="L404" s="50"/>
      <c r="M404" s="50">
        <f>RawList!F373</f>
        <v>0</v>
      </c>
    </row>
    <row r="405" spans="2:13" x14ac:dyDescent="0.3">
      <c r="B405" s="50" t="str">
        <f>RawList!A374</f>
        <v>Low-Level Electronics</v>
      </c>
      <c r="C405" s="50" t="str">
        <f>RawList!B374</f>
        <v>DIP/TO-#/SMD Components</v>
      </c>
      <c r="D405" s="50" t="str">
        <f>RawList!C374</f>
        <v>SparkFun</v>
      </c>
      <c r="E405" s="50" t="str">
        <f>RawList!H374</f>
        <v>Transistor - PNP (2N3906)</v>
      </c>
      <c r="F405" s="50" t="str">
        <f>RawList!D374</f>
        <v>COM-00522</v>
      </c>
      <c r="G405" s="137">
        <f>RawList!E374</f>
        <v>0</v>
      </c>
      <c r="H405" s="50" t="str">
        <f>IF(EquipmentTable[[#This Row],[Units]]&gt;0,"Quantity &gt; 0 Items","Quantity = 0 Items")</f>
        <v>Quantity = 0 Items</v>
      </c>
      <c r="I405" s="141">
        <f>RawList!J374</f>
        <v>0.5</v>
      </c>
      <c r="J405" s="24">
        <f>VALUE(EquipmentTable[[#This Row],[Units]]*EquipmentTable[[#This Row],[Unit
 Price]])</f>
        <v>0</v>
      </c>
      <c r="K405" s="50" t="str">
        <f>RawList!G374</f>
        <v>https://cdn.sparkfun.com/r/92-92/assets/parts/1/6/5/00522-1.jpg</v>
      </c>
      <c r="L405" s="50"/>
      <c r="M405" s="50" t="str">
        <f>RawList!F374</f>
        <v>https://www.sparkfun.com/products/522</v>
      </c>
    </row>
    <row r="406" spans="2:13" x14ac:dyDescent="0.3">
      <c r="B406" s="50" t="str">
        <f>RawList!A375</f>
        <v>Low-Level Electronics</v>
      </c>
      <c r="C406" s="50" t="str">
        <f>RawList!B375</f>
        <v>DIP/TO-#/SMD Components</v>
      </c>
      <c r="D406" s="50" t="str">
        <f>RawList!C375</f>
        <v>SparkFun</v>
      </c>
      <c r="E406" s="50" t="str">
        <f>RawList!H375</f>
        <v>Transistor - NPN (2N3904)</v>
      </c>
      <c r="F406" s="50" t="str">
        <f>RawList!D375</f>
        <v>COM-00521</v>
      </c>
      <c r="G406" s="137">
        <f>RawList!E375</f>
        <v>0</v>
      </c>
      <c r="H406" s="50" t="str">
        <f>IF(EquipmentTable[[#This Row],[Units]]&gt;0,"Quantity &gt; 0 Items","Quantity = 0 Items")</f>
        <v>Quantity = 0 Items</v>
      </c>
      <c r="I406" s="141">
        <f>RawList!J375</f>
        <v>0.5</v>
      </c>
      <c r="J406" s="24">
        <f>VALUE(EquipmentTable[[#This Row],[Units]]*EquipmentTable[[#This Row],[Unit
 Price]])</f>
        <v>0</v>
      </c>
      <c r="K406" s="50" t="str">
        <f>RawList!G375</f>
        <v>https://cdn.sparkfun.com/r/92-92/assets/parts/2/9/9/00521-1.jpg</v>
      </c>
      <c r="L406" s="50"/>
      <c r="M406" s="50" t="str">
        <f>RawList!F375</f>
        <v>https://www.sparkfun.com/products/521</v>
      </c>
    </row>
    <row r="407" spans="2:13" x14ac:dyDescent="0.3">
      <c r="B407" s="50" t="str">
        <f>RawList!A376</f>
        <v>Low-Level Electronics</v>
      </c>
      <c r="C407" s="50" t="str">
        <f>RawList!B376</f>
        <v>DIP/TO-#/SMD Components</v>
      </c>
      <c r="D407" s="50" t="str">
        <f>RawList!C376</f>
        <v>SparkFun</v>
      </c>
      <c r="E407" s="50" t="str">
        <f>RawList!H376</f>
        <v>Transistor - NPN (BC547)</v>
      </c>
      <c r="F407" s="50" t="str">
        <f>RawList!D376</f>
        <v>COM-08928</v>
      </c>
      <c r="G407" s="137">
        <f>RawList!E376</f>
        <v>0</v>
      </c>
      <c r="H407" s="50" t="str">
        <f>IF(EquipmentTable[[#This Row],[Units]]&gt;0,"Quantity &gt; 0 Items","Quantity = 0 Items")</f>
        <v>Quantity = 0 Items</v>
      </c>
      <c r="I407" s="141">
        <f>RawList!J376</f>
        <v>0.5</v>
      </c>
      <c r="J407" s="24">
        <f>VALUE(EquipmentTable[[#This Row],[Units]]*EquipmentTable[[#This Row],[Unit
 Price]])</f>
        <v>0</v>
      </c>
      <c r="K407" s="50" t="str">
        <f>RawList!G376</f>
        <v>https://cdn.sparkfun.com/r/92-92/assets/parts/2/2/0/7/08928-03-L.jpg</v>
      </c>
      <c r="L407" s="50"/>
      <c r="M407" s="50" t="str">
        <f>RawList!F376</f>
        <v>https://www.sparkfun.com/products/8928</v>
      </c>
    </row>
    <row r="408" spans="2:13" x14ac:dyDescent="0.3">
      <c r="B408" s="50" t="str">
        <f>RawList!A377</f>
        <v>Low-Level Electronics</v>
      </c>
      <c r="C408" s="50" t="str">
        <f>RawList!B377</f>
        <v>DIP/TO-#/SMD Components</v>
      </c>
      <c r="D408" s="50" t="str">
        <f>RawList!C377</f>
        <v>SparkFun</v>
      </c>
      <c r="E408" s="50" t="str">
        <f>RawList!H377</f>
        <v>N-Channel MOSFET 60V 30A</v>
      </c>
      <c r="F408" s="50" t="str">
        <f>RawList!D377</f>
        <v>COM-10213</v>
      </c>
      <c r="G408" s="137">
        <f>RawList!E377</f>
        <v>0</v>
      </c>
      <c r="H408" s="50" t="str">
        <f>IF(EquipmentTable[[#This Row],[Units]]&gt;0,"Quantity &gt; 0 Items","Quantity = 0 Items")</f>
        <v>Quantity = 0 Items</v>
      </c>
      <c r="I408" s="141">
        <f>RawList!J377</f>
        <v>0.95</v>
      </c>
      <c r="J408" s="24">
        <f>VALUE(EquipmentTable[[#This Row],[Units]]*EquipmentTable[[#This Row],[Unit
 Price]])</f>
        <v>0</v>
      </c>
      <c r="K408" s="50" t="str">
        <f>RawList!G377</f>
        <v>https://cdn.sparkfun.com/r/92-92/assets/parts/4/5/5/5/10213-01.jpg</v>
      </c>
      <c r="L408" s="50"/>
      <c r="M408" s="50" t="str">
        <f>RawList!F377</f>
        <v>https://www.sparkfun.com/products/10213</v>
      </c>
    </row>
    <row r="409" spans="2:13" x14ac:dyDescent="0.3">
      <c r="B409" s="50" t="str">
        <f>RawList!A378</f>
        <v>Low-Level Electronics</v>
      </c>
      <c r="C409" s="50" t="str">
        <f>RawList!B378</f>
        <v>DIP/TO-#/SMD Components</v>
      </c>
      <c r="D409" s="50" t="str">
        <f>RawList!C378</f>
        <v>SparkFun</v>
      </c>
      <c r="E409" s="50" t="str">
        <f>RawList!H378</f>
        <v>P-Channel MOSFET 60V 27A</v>
      </c>
      <c r="F409" s="50" t="str">
        <f>RawList!D378</f>
        <v>COM-10349</v>
      </c>
      <c r="G409" s="137">
        <f>RawList!E378</f>
        <v>0</v>
      </c>
      <c r="H409" s="50" t="str">
        <f>IF(EquipmentTable[[#This Row],[Units]]&gt;0,"Quantity &gt; 0 Items","Quantity = 0 Items")</f>
        <v>Quantity = 0 Items</v>
      </c>
      <c r="I409" s="141">
        <f>RawList!J378</f>
        <v>0.95</v>
      </c>
      <c r="J409" s="24">
        <f>VALUE(EquipmentTable[[#This Row],[Units]]*EquipmentTable[[#This Row],[Unit
 Price]])</f>
        <v>0</v>
      </c>
      <c r="K409" s="50" t="str">
        <f>RawList!G378</f>
        <v>https://cdn.sparkfun.com/r/92-92/assets/parts/4/7/7/8/10349-01.jpg</v>
      </c>
      <c r="L409" s="50"/>
      <c r="M409" s="50" t="str">
        <f>RawList!F378</f>
        <v>https://www.sparkfun.com/products/10349</v>
      </c>
    </row>
    <row r="410" spans="2:13" x14ac:dyDescent="0.3">
      <c r="B410" s="50" t="str">
        <f>RawList!A379</f>
        <v>Low-Level Electronics</v>
      </c>
      <c r="C410" s="50" t="str">
        <f>RawList!B379</f>
        <v>DIP/TO-#/SMD Components</v>
      </c>
      <c r="D410" s="50" t="str">
        <f>RawList!C379</f>
        <v>SparkFun</v>
      </c>
      <c r="E410" s="50" t="str">
        <f>RawList!H379</f>
        <v>P-Channel MOSFET 20V 24A - low Vgs(th)</v>
      </c>
      <c r="F410" s="50" t="str">
        <f>RawList!D379</f>
        <v>COM-12901</v>
      </c>
      <c r="G410" s="137">
        <f>RawList!E379</f>
        <v>0</v>
      </c>
      <c r="H410" s="50" t="str">
        <f>IF(EquipmentTable[[#This Row],[Units]]&gt;0,"Quantity &gt; 0 Items","Quantity = 0 Items")</f>
        <v>Quantity = 0 Items</v>
      </c>
      <c r="I410" s="141">
        <f>RawList!J379</f>
        <v>1.95</v>
      </c>
      <c r="J410" s="24">
        <f>VALUE(EquipmentTable[[#This Row],[Units]]*EquipmentTable[[#This Row],[Unit
 Price]])</f>
        <v>0</v>
      </c>
      <c r="K410" s="50" t="str">
        <f>RawList!G379</f>
        <v>https://cdn.sparkfun.com/r/92-92/assets/parts/9/8/0/2/12901-01.jpg</v>
      </c>
      <c r="L410" s="50"/>
      <c r="M410" s="50" t="str">
        <f>RawList!F379</f>
        <v>https://www.sparkfun.com/products/12901</v>
      </c>
    </row>
    <row r="411" spans="2:13" x14ac:dyDescent="0.3">
      <c r="B411" s="50" t="str">
        <f>RawList!A380</f>
        <v>Low-Level Electronics</v>
      </c>
      <c r="C411" s="50" t="str">
        <f>RawList!B380</f>
        <v>DIP/TO-#/SMD Components</v>
      </c>
      <c r="D411" s="50" t="str">
        <f>RawList!C380</f>
        <v>SparkFun</v>
      </c>
      <c r="E411" s="50" t="str">
        <f>RawList!H380</f>
        <v>TL431 - Voltage Reference</v>
      </c>
      <c r="F411" s="50" t="str">
        <f>RawList!D380</f>
        <v>COM-11078</v>
      </c>
      <c r="G411" s="137">
        <f>RawList!E380</f>
        <v>6</v>
      </c>
      <c r="H411" s="50" t="str">
        <f>IF(EquipmentTable[[#This Row],[Units]]&gt;0,"Quantity &gt; 0 Items","Quantity = 0 Items")</f>
        <v>Quantity &gt; 0 Items</v>
      </c>
      <c r="I411" s="141">
        <f>RawList!J380</f>
        <v>0.5</v>
      </c>
      <c r="J411" s="24">
        <f>VALUE(EquipmentTable[[#This Row],[Units]]*EquipmentTable[[#This Row],[Unit
 Price]])</f>
        <v>3</v>
      </c>
      <c r="K411" s="50" t="str">
        <f>RawList!G380</f>
        <v>https://cdn.sparkfun.com/r/92-92/assets/parts/6/4/6/8/11078-01.jpg</v>
      </c>
      <c r="L411" s="50"/>
      <c r="M411" s="50" t="str">
        <f>RawList!F380</f>
        <v>https://www.sparkfun.com/products/11078</v>
      </c>
    </row>
    <row r="412" spans="2:13" x14ac:dyDescent="0.3">
      <c r="B412" s="50" t="str">
        <f>RawList!A381</f>
        <v>Low-Level Electronics</v>
      </c>
      <c r="C412" s="50" t="str">
        <f>RawList!B381</f>
        <v>DIP/TO-#/SMD Components</v>
      </c>
      <c r="D412" s="50" t="str">
        <f>RawList!C381</f>
        <v>SparkFun</v>
      </c>
      <c r="E412" s="50" t="str">
        <f>RawList!H381</f>
        <v>Voltage Regulator - 3.3V</v>
      </c>
      <c r="F412" s="50" t="str">
        <f>RawList!D381</f>
        <v>COM-00526</v>
      </c>
      <c r="G412" s="137">
        <f>RawList!E381</f>
        <v>2</v>
      </c>
      <c r="H412" s="50" t="str">
        <f>IF(EquipmentTable[[#This Row],[Units]]&gt;0,"Quantity &gt; 0 Items","Quantity = 0 Items")</f>
        <v>Quantity &gt; 0 Items</v>
      </c>
      <c r="I412" s="141">
        <f>RawList!J381</f>
        <v>1.95</v>
      </c>
      <c r="J412" s="24">
        <f>VALUE(EquipmentTable[[#This Row],[Units]]*EquipmentTable[[#This Row],[Unit
 Price]])</f>
        <v>3.9</v>
      </c>
      <c r="K412" s="50" t="str">
        <f>RawList!G381</f>
        <v>https://cdn.sparkfun.com/r/92-92/assets/parts/3/0/2/00526-03-L.jpg</v>
      </c>
      <c r="L412" s="50"/>
      <c r="M412" s="50" t="str">
        <f>RawList!F381</f>
        <v>https://www.sparkfun.com/products/526</v>
      </c>
    </row>
    <row r="413" spans="2:13" x14ac:dyDescent="0.3">
      <c r="B413" s="50" t="str">
        <f>RawList!A382</f>
        <v>Low-Level Electronics</v>
      </c>
      <c r="C413" s="50" t="str">
        <f>RawList!B382</f>
        <v>DIP/TO-#/SMD Components</v>
      </c>
      <c r="D413" s="50" t="str">
        <f>RawList!C382</f>
        <v>SparkFun</v>
      </c>
      <c r="E413" s="50" t="str">
        <f>RawList!H382</f>
        <v>Voltage Regulator - 5V</v>
      </c>
      <c r="F413" s="50" t="str">
        <f>RawList!D382</f>
        <v>COM-00107</v>
      </c>
      <c r="G413" s="137">
        <f>RawList!E382</f>
        <v>3</v>
      </c>
      <c r="H413" s="50" t="str">
        <f>IF(EquipmentTable[[#This Row],[Units]]&gt;0,"Quantity &gt; 0 Items","Quantity = 0 Items")</f>
        <v>Quantity &gt; 0 Items</v>
      </c>
      <c r="I413" s="141">
        <f>RawList!J382</f>
        <v>0.95</v>
      </c>
      <c r="J413" s="24">
        <f>VALUE(EquipmentTable[[#This Row],[Units]]*EquipmentTable[[#This Row],[Unit
 Price]])</f>
        <v>2.8499999999999996</v>
      </c>
      <c r="K413" s="50" t="str">
        <f>RawList!G382</f>
        <v>https://cdn.sparkfun.com/r/92-92/assets/parts/9/9/00107-1.jpg</v>
      </c>
      <c r="L413" s="50"/>
      <c r="M413" s="50" t="str">
        <f>RawList!F382</f>
        <v>https://www.sparkfun.com/products/107</v>
      </c>
    </row>
    <row r="414" spans="2:13" x14ac:dyDescent="0.3">
      <c r="B414" s="50" t="str">
        <f>RawList!A383</f>
        <v>Low-Level Electronics</v>
      </c>
      <c r="C414" s="50" t="str">
        <f>RawList!B383</f>
        <v>DIP/TO-#/SMD Components</v>
      </c>
      <c r="D414" s="50" t="str">
        <f>RawList!C383</f>
        <v>SparkFun</v>
      </c>
      <c r="E414" s="50" t="str">
        <f>RawList!H383</f>
        <v>Voltage Regulator - 12V</v>
      </c>
      <c r="F414" s="50" t="str">
        <f>RawList!D383</f>
        <v>COM-12766</v>
      </c>
      <c r="G414" s="137">
        <f>RawList!E383</f>
        <v>2</v>
      </c>
      <c r="H414" s="50" t="str">
        <f>IF(EquipmentTable[[#This Row],[Units]]&gt;0,"Quantity &gt; 0 Items","Quantity = 0 Items")</f>
        <v>Quantity &gt; 0 Items</v>
      </c>
      <c r="I414" s="141">
        <f>RawList!J383</f>
        <v>1.5</v>
      </c>
      <c r="J414" s="24">
        <f>VALUE(EquipmentTable[[#This Row],[Units]]*EquipmentTable[[#This Row],[Unit
 Price]])</f>
        <v>3</v>
      </c>
      <c r="K414" s="50" t="str">
        <f>RawList!G383</f>
        <v>https://cdn.sparkfun.com/r/92-92/assets/parts/4/4/2/4/12766-01.jpg</v>
      </c>
      <c r="L414" s="50"/>
      <c r="M414" s="50" t="str">
        <f>RawList!F383</f>
        <v>https://www.sparkfun.com/products/12766</v>
      </c>
    </row>
    <row r="415" spans="2:13" x14ac:dyDescent="0.3">
      <c r="B415" s="50" t="str">
        <f>RawList!A384</f>
        <v>Low-Level Electronics</v>
      </c>
      <c r="C415" s="50" t="str">
        <f>RawList!B384</f>
        <v>DIP/TO-#/SMD Components</v>
      </c>
      <c r="D415" s="50" t="str">
        <f>RawList!C384</f>
        <v>SparkFun</v>
      </c>
      <c r="E415" s="50" t="str">
        <f>RawList!H384</f>
        <v>Voltage Regulator - Adjustable</v>
      </c>
      <c r="F415" s="50" t="str">
        <f>RawList!D384</f>
        <v>COM-00527</v>
      </c>
      <c r="G415" s="137">
        <f>RawList!E384</f>
        <v>1</v>
      </c>
      <c r="H415" s="50" t="str">
        <f>IF(EquipmentTable[[#This Row],[Units]]&gt;0,"Quantity &gt; 0 Items","Quantity = 0 Items")</f>
        <v>Quantity &gt; 0 Items</v>
      </c>
      <c r="I415" s="141">
        <f>RawList!J384</f>
        <v>1.95</v>
      </c>
      <c r="J415" s="24">
        <f>VALUE(EquipmentTable[[#This Row],[Units]]*EquipmentTable[[#This Row],[Unit
 Price]])</f>
        <v>1.95</v>
      </c>
      <c r="K415" s="50" t="str">
        <f>RawList!G384</f>
        <v>https://cdn.sparkfun.com/r/92-92/assets/parts/3/5/8/LM317.jpg</v>
      </c>
      <c r="L415" s="50"/>
      <c r="M415" s="50" t="str">
        <f>RawList!F384</f>
        <v>https://www.sparkfun.com/products/527</v>
      </c>
    </row>
    <row r="416" spans="2:13" x14ac:dyDescent="0.3">
      <c r="B416" s="50" t="str">
        <f>RawList!A385</f>
        <v>Low-Level Electronics</v>
      </c>
      <c r="C416" s="50" t="str">
        <f>RawList!B385</f>
        <v>DIP/TO-#/SMD Components</v>
      </c>
      <c r="D416" s="50" t="str">
        <f>RawList!C385</f>
        <v>SparkFun</v>
      </c>
      <c r="E416" s="50" t="str">
        <f>RawList!H385</f>
        <v>DIP Sockets Solder Tail - 8-Pin</v>
      </c>
      <c r="F416" s="50" t="str">
        <f>RawList!D385</f>
        <v>PRT-07937</v>
      </c>
      <c r="G416" s="137">
        <f>RawList!E385</f>
        <v>1</v>
      </c>
      <c r="H416" s="50" t="str">
        <f>IF(EquipmentTable[[#This Row],[Units]]&gt;0,"Quantity &gt; 0 Items","Quantity = 0 Items")</f>
        <v>Quantity &gt; 0 Items</v>
      </c>
      <c r="I416" s="141">
        <f>RawList!J385</f>
        <v>0.5</v>
      </c>
      <c r="J416" s="24">
        <f>VALUE(EquipmentTable[[#This Row],[Units]]*EquipmentTable[[#This Row],[Unit
 Price]])</f>
        <v>0.5</v>
      </c>
      <c r="K416" s="50" t="str">
        <f>RawList!G385</f>
        <v>https://cdn.sparkfun.com/r/92-92/assets/parts/2/2/4/DIP-8.jpg</v>
      </c>
      <c r="L416" s="50"/>
      <c r="M416" s="50" t="str">
        <f>RawList!F385</f>
        <v>https://www.sparkfun.com/products/7937</v>
      </c>
    </row>
    <row r="417" spans="2:13" x14ac:dyDescent="0.3">
      <c r="B417" s="50" t="str">
        <f>RawList!A386</f>
        <v>Low-Level Electronics</v>
      </c>
      <c r="C417" s="50" t="str">
        <f>RawList!B386</f>
        <v>DIP/TO-#/SMD Components</v>
      </c>
      <c r="D417" s="50" t="str">
        <f>RawList!C386</f>
        <v>Adafruit</v>
      </c>
      <c r="E417" s="50" t="str">
        <f>RawList!H386</f>
        <v>IC Socket - for 8-pin 0.3" Chips - Pack of 3</v>
      </c>
      <c r="F417" s="50" t="str">
        <f>RawList!D386</f>
        <v>2202</v>
      </c>
      <c r="G417" s="137">
        <f>RawList!E386</f>
        <v>0</v>
      </c>
      <c r="H417" s="50" t="str">
        <f>IF(EquipmentTable[[#This Row],[Units]]&gt;0,"Quantity &gt; 0 Items","Quantity = 0 Items")</f>
        <v>Quantity = 0 Items</v>
      </c>
      <c r="I417" s="141">
        <f>RawList!J386</f>
        <v>0.75</v>
      </c>
      <c r="J417" s="24">
        <f>VALUE(EquipmentTable[[#This Row],[Units]]*EquipmentTable[[#This Row],[Unit
 Price]])</f>
        <v>0</v>
      </c>
      <c r="K417" s="50">
        <f>RawList!G386</f>
        <v>0</v>
      </c>
      <c r="L417" s="50"/>
      <c r="M417" s="50">
        <f>RawList!F386</f>
        <v>0</v>
      </c>
    </row>
    <row r="418" spans="2:13" x14ac:dyDescent="0.3">
      <c r="B418" s="50" t="str">
        <f>RawList!A387</f>
        <v>Low-Level Electronics</v>
      </c>
      <c r="C418" s="50" t="str">
        <f>RawList!B387</f>
        <v>DIP/TO-#/SMD Components</v>
      </c>
      <c r="D418" s="50" t="str">
        <f>RawList!C387</f>
        <v>SparkFun</v>
      </c>
      <c r="E418" s="50" t="str">
        <f>RawList!H387</f>
        <v>Op-Amp (Through-Hole) - LM358</v>
      </c>
      <c r="F418" s="50" t="str">
        <f>RawList!D387</f>
        <v>COM-09456</v>
      </c>
      <c r="G418" s="137">
        <f>RawList!E387</f>
        <v>5</v>
      </c>
      <c r="H418" s="50" t="str">
        <f>IF(EquipmentTable[[#This Row],[Units]]&gt;0,"Quantity &gt; 0 Items","Quantity = 0 Items")</f>
        <v>Quantity &gt; 0 Items</v>
      </c>
      <c r="I418" s="141">
        <f>RawList!J387</f>
        <v>0.95</v>
      </c>
      <c r="J418" s="24">
        <f>VALUE(EquipmentTable[[#This Row],[Units]]*EquipmentTable[[#This Row],[Unit
 Price]])</f>
        <v>4.75</v>
      </c>
      <c r="K418" s="50" t="str">
        <f>RawList!G387</f>
        <v>https://cdn.sparkfun.com/r/92-92/assets/parts/2/7/8/8/09456-01.jpg</v>
      </c>
      <c r="L418" s="50"/>
      <c r="M418" s="50" t="str">
        <f>RawList!F387</f>
        <v>https://www.sparkfun.com/products/9456</v>
      </c>
    </row>
    <row r="419" spans="2:13" x14ac:dyDescent="0.3">
      <c r="B419" s="50" t="str">
        <f>RawList!A388</f>
        <v>Low-Level Electronics</v>
      </c>
      <c r="C419" s="50" t="str">
        <f>RawList!B388</f>
        <v>DIP/TO-#/SMD Components</v>
      </c>
      <c r="D419" s="50" t="str">
        <f>RawList!C388</f>
        <v>SparkFun</v>
      </c>
      <c r="E419" s="50" t="str">
        <f>RawList!H388</f>
        <v>Digital Potentiometer - 10K</v>
      </c>
      <c r="F419" s="50" t="str">
        <f>RawList!D388</f>
        <v>COM-10613</v>
      </c>
      <c r="G419" s="137">
        <f>RawList!E388</f>
        <v>1</v>
      </c>
      <c r="H419" s="50" t="str">
        <f>IF(EquipmentTable[[#This Row],[Units]]&gt;0,"Quantity &gt; 0 Items","Quantity = 0 Items")</f>
        <v>Quantity &gt; 0 Items</v>
      </c>
      <c r="I419" s="141">
        <f>RawList!J388</f>
        <v>1.5</v>
      </c>
      <c r="J419" s="24">
        <f>VALUE(EquipmentTable[[#This Row],[Units]]*EquipmentTable[[#This Row],[Unit
 Price]])</f>
        <v>1.5</v>
      </c>
      <c r="K419" s="50" t="str">
        <f>RawList!G388</f>
        <v>https://cdn.sparkfun.com/r/92-92/assets/parts/5/2/6/9/10613-01.jpg</v>
      </c>
      <c r="L419" s="50"/>
      <c r="M419" s="50" t="str">
        <f>RawList!F388</f>
        <v>https://www.sparkfun.com/products/10613</v>
      </c>
    </row>
    <row r="420" spans="2:13" x14ac:dyDescent="0.3">
      <c r="B420" s="50" t="str">
        <f>RawList!A389</f>
        <v>Low-Level Electronics</v>
      </c>
      <c r="C420" s="50" t="str">
        <f>RawList!B389</f>
        <v>DIP/TO-#/SMD Components</v>
      </c>
      <c r="D420" s="50" t="str">
        <f>RawList!C389</f>
        <v>SparkFun</v>
      </c>
      <c r="E420" s="50" t="str">
        <f>RawList!H389</f>
        <v>555 Timer</v>
      </c>
      <c r="F420" s="50" t="str">
        <f>RawList!D389</f>
        <v>COM-09273</v>
      </c>
      <c r="G420" s="137">
        <f>RawList!E389</f>
        <v>2</v>
      </c>
      <c r="H420" s="50" t="str">
        <f>IF(EquipmentTable[[#This Row],[Units]]&gt;0,"Quantity &gt; 0 Items","Quantity = 0 Items")</f>
        <v>Quantity &gt; 0 Items</v>
      </c>
      <c r="I420" s="141">
        <f>RawList!J389</f>
        <v>0.95</v>
      </c>
      <c r="J420" s="24">
        <f>VALUE(EquipmentTable[[#This Row],[Units]]*EquipmentTable[[#This Row],[Unit
 Price]])</f>
        <v>1.9</v>
      </c>
      <c r="K420" s="50" t="str">
        <f>RawList!G389</f>
        <v>https://cdn.sparkfun.com/r/92-92/assets/parts/2/7/9/0/09273-1.jpg</v>
      </c>
      <c r="L420" s="50"/>
      <c r="M420" s="50" t="str">
        <f>RawList!F389</f>
        <v>https://www.sparkfun.com/products/9273</v>
      </c>
    </row>
    <row r="421" spans="2:13" x14ac:dyDescent="0.3">
      <c r="B421" s="50" t="str">
        <f>RawList!A390</f>
        <v>Low-Level Electronics</v>
      </c>
      <c r="C421" s="50" t="str">
        <f>RawList!B390</f>
        <v>DIP/TO-#/SMD Components</v>
      </c>
      <c r="D421" s="50" t="str">
        <f>RawList!C390</f>
        <v>SparkFun</v>
      </c>
      <c r="E421" s="50" t="str">
        <f>RawList!H390</f>
        <v>Analog to Digital Converter - MCP3002</v>
      </c>
      <c r="F421" s="50" t="str">
        <f>RawList!D390</f>
        <v>COM-08636</v>
      </c>
      <c r="G421" s="137">
        <f>RawList!E390</f>
        <v>3</v>
      </c>
      <c r="H421" s="50" t="str">
        <f>IF(EquipmentTable[[#This Row],[Units]]&gt;0,"Quantity &gt; 0 Items","Quantity = 0 Items")</f>
        <v>Quantity &gt; 0 Items</v>
      </c>
      <c r="I421" s="141">
        <f>RawList!J390</f>
        <v>2.2999999999999998</v>
      </c>
      <c r="J421" s="24">
        <f>VALUE(EquipmentTable[[#This Row],[Units]]*EquipmentTable[[#This Row],[Unit
 Price]])</f>
        <v>6.8999999999999995</v>
      </c>
      <c r="K421" s="50" t="str">
        <f>RawList!G390</f>
        <v>https://cdn.sparkfun.com/r/92-92/assets/parts/1/7/7/0/08636-03-L.jpg</v>
      </c>
      <c r="L421" s="50"/>
      <c r="M421" s="50" t="str">
        <f>RawList!F390</f>
        <v>https://www.sparkfun.com/products/8636</v>
      </c>
    </row>
    <row r="422" spans="2:13" x14ac:dyDescent="0.3">
      <c r="B422" s="50" t="str">
        <f>RawList!A391</f>
        <v>Low-Level Electronics</v>
      </c>
      <c r="C422" s="50" t="str">
        <f>RawList!B391</f>
        <v>DIP/TO-#/SMD Components</v>
      </c>
      <c r="D422" s="50" t="str">
        <f>RawList!C391</f>
        <v>SparkFun</v>
      </c>
      <c r="E422" s="50" t="str">
        <f>RawList!H391</f>
        <v>Step Up/Down Inverting Switching Regulator</v>
      </c>
      <c r="F422" s="50" t="str">
        <f>RawList!D391</f>
        <v>COM-00317</v>
      </c>
      <c r="G422" s="137">
        <f>RawList!E391</f>
        <v>1</v>
      </c>
      <c r="H422" s="50" t="str">
        <f>IF(EquipmentTable[[#This Row],[Units]]&gt;0,"Quantity &gt; 0 Items","Quantity = 0 Items")</f>
        <v>Quantity &gt; 0 Items</v>
      </c>
      <c r="I422" s="141">
        <f>RawList!J391</f>
        <v>1.95</v>
      </c>
      <c r="J422" s="24">
        <f>VALUE(EquipmentTable[[#This Row],[Units]]*EquipmentTable[[#This Row],[Unit
 Price]])</f>
        <v>1.95</v>
      </c>
      <c r="K422" s="50" t="str">
        <f>RawList!G391</f>
        <v>https://cdn.sparkfun.com/r/92-92/assets/parts/2/5/3/dc_dc_regulator.jpg</v>
      </c>
      <c r="L422" s="50"/>
      <c r="M422" s="50" t="str">
        <f>RawList!F391</f>
        <v>https://www.sparkfun.com/products/317</v>
      </c>
    </row>
    <row r="423" spans="2:13" x14ac:dyDescent="0.3">
      <c r="B423" s="50" t="str">
        <f>RawList!A392</f>
        <v>Low-Level Electronics</v>
      </c>
      <c r="C423" s="50" t="str">
        <f>RawList!B392</f>
        <v>DIP/TO-#/SMD Components</v>
      </c>
      <c r="D423" s="50" t="str">
        <f>RawList!C392</f>
        <v>Adafruit</v>
      </c>
      <c r="E423" s="50" t="str">
        <f>RawList!H392</f>
        <v xml:space="preserve">74AHCT125 - Quad Level-Shifter (3V to 5V) - 74AHCT125 </v>
      </c>
      <c r="F423" s="50" t="str">
        <f>RawList!D392</f>
        <v>1787</v>
      </c>
      <c r="G423" s="137">
        <f>RawList!E392</f>
        <v>0</v>
      </c>
      <c r="H423" s="50" t="str">
        <f>IF(EquipmentTable[[#This Row],[Units]]&gt;0,"Quantity &gt; 0 Items","Quantity = 0 Items")</f>
        <v>Quantity = 0 Items</v>
      </c>
      <c r="I423" s="141">
        <f>RawList!J392</f>
        <v>1.5</v>
      </c>
      <c r="J423" s="24">
        <f>VALUE(EquipmentTable[[#This Row],[Units]]*EquipmentTable[[#This Row],[Unit
 Price]])</f>
        <v>0</v>
      </c>
      <c r="K423" s="50">
        <f>RawList!G392</f>
        <v>0</v>
      </c>
      <c r="L423" s="50"/>
      <c r="M423" s="50">
        <f>RawList!F392</f>
        <v>0</v>
      </c>
    </row>
    <row r="424" spans="2:13" x14ac:dyDescent="0.3">
      <c r="B424" s="50" t="str">
        <f>RawList!A393</f>
        <v>Low-Level Electronics</v>
      </c>
      <c r="C424" s="50" t="str">
        <f>RawList!B393</f>
        <v>DIP/TO-#/SMD Components</v>
      </c>
      <c r="D424" s="50" t="str">
        <f>RawList!C393</f>
        <v>SparkFun</v>
      </c>
      <c r="E424" s="50" t="str">
        <f>RawList!H393</f>
        <v>I2C EEPROM - 256kbit</v>
      </c>
      <c r="F424" s="50" t="str">
        <f>RawList!D393</f>
        <v>COM-00525</v>
      </c>
      <c r="G424" s="137">
        <f>RawList!E393</f>
        <v>0</v>
      </c>
      <c r="H424" s="50" t="str">
        <f>IF(EquipmentTable[[#This Row],[Units]]&gt;0,"Quantity &gt; 0 Items","Quantity = 0 Items")</f>
        <v>Quantity = 0 Items</v>
      </c>
      <c r="I424" s="141">
        <f>RawList!J393</f>
        <v>1.95</v>
      </c>
      <c r="J424" s="24">
        <f>VALUE(EquipmentTable[[#This Row],[Units]]*EquipmentTable[[#This Row],[Unit
 Price]])</f>
        <v>0</v>
      </c>
      <c r="K424" s="50" t="str">
        <f>RawList!G393</f>
        <v>https://cdn.sparkfun.com/r/92-92/assets/parts/3/0/5/EEPROM.jpg</v>
      </c>
      <c r="L424" s="50"/>
      <c r="M424" s="50" t="str">
        <f>RawList!F393</f>
        <v>https://www.sparkfun.com/products/525</v>
      </c>
    </row>
    <row r="425" spans="2:13" x14ac:dyDescent="0.3">
      <c r="B425" s="50" t="str">
        <f>RawList!A394</f>
        <v>Low-Level Electronics</v>
      </c>
      <c r="C425" s="50" t="str">
        <f>RawList!B394</f>
        <v>DIP/TO-#/SMD Components</v>
      </c>
      <c r="D425" s="50" t="str">
        <f>RawList!C394</f>
        <v>SparkFun</v>
      </c>
      <c r="E425" s="50" t="str">
        <f>RawList!H394</f>
        <v>Shift Register 8-Bit - SN74HC595</v>
      </c>
      <c r="F425" s="50" t="str">
        <f>RawList!D394</f>
        <v>COM-13699</v>
      </c>
      <c r="G425" s="137">
        <f>RawList!E394</f>
        <v>0</v>
      </c>
      <c r="H425" s="50" t="str">
        <f>IF(EquipmentTable[[#This Row],[Units]]&gt;0,"Quantity &gt; 0 Items","Quantity = 0 Items")</f>
        <v>Quantity = 0 Items</v>
      </c>
      <c r="I425" s="141">
        <f>RawList!J394</f>
        <v>0.95</v>
      </c>
      <c r="J425" s="24">
        <f>VALUE(EquipmentTable[[#This Row],[Units]]*EquipmentTable[[#This Row],[Unit
 Price]])</f>
        <v>0</v>
      </c>
      <c r="K425" s="50" t="str">
        <f>RawList!G394</f>
        <v>https://cdn.sparkfun.com/r/92-92/assets/parts/1/1/1/7/5/13699-01.jpg</v>
      </c>
      <c r="L425" s="50"/>
      <c r="M425" s="50" t="str">
        <f>RawList!F394</f>
        <v>https://www.sparkfun.com/products/13699</v>
      </c>
    </row>
    <row r="426" spans="2:13" x14ac:dyDescent="0.3">
      <c r="B426" s="50" t="str">
        <f>RawList!A395</f>
        <v>Low-Level Electronics</v>
      </c>
      <c r="C426" s="50" t="str">
        <f>RawList!B395</f>
        <v>DIP/TO-#/SMD Components</v>
      </c>
      <c r="D426" s="50" t="str">
        <f>RawList!C395</f>
        <v>SparkFun</v>
      </c>
      <c r="E426" s="50" t="str">
        <f>RawList!H395</f>
        <v>SparkFun Shift-In Breakout - SN74HC165</v>
      </c>
      <c r="F426" s="50" t="str">
        <f>RawList!D395</f>
        <v>BOB-11733</v>
      </c>
      <c r="G426" s="137">
        <f>RawList!E395</f>
        <v>0</v>
      </c>
      <c r="H426" s="50" t="str">
        <f>IF(EquipmentTable[[#This Row],[Units]]&gt;0,"Quantity &gt; 0 Items","Quantity = 0 Items")</f>
        <v>Quantity = 0 Items</v>
      </c>
      <c r="I426" s="141">
        <f>RawList!J395</f>
        <v>3.95</v>
      </c>
      <c r="J426" s="24">
        <f>VALUE(EquipmentTable[[#This Row],[Units]]*EquipmentTable[[#This Row],[Unit
 Price]])</f>
        <v>0</v>
      </c>
      <c r="K426" s="50" t="str">
        <f>RawList!G395</f>
        <v>https://cdn.sparkfun.com/r/92-92/assets/parts/7/9/4/5/11733-01a.jpg</v>
      </c>
      <c r="L426" s="50"/>
      <c r="M426" s="50" t="str">
        <f>RawList!F395</f>
        <v>https://www.sparkfun.com/products/11733</v>
      </c>
    </row>
    <row r="427" spans="2:13" x14ac:dyDescent="0.3">
      <c r="B427" s="50" t="str">
        <f>RawList!A396</f>
        <v>Low-Level Electronics</v>
      </c>
      <c r="C427" s="50" t="str">
        <f>RawList!B396</f>
        <v>DIP/TO-#/SMD Components</v>
      </c>
      <c r="D427" s="50" t="str">
        <f>RawList!C396</f>
        <v>SparkFun</v>
      </c>
      <c r="E427" s="50" t="str">
        <f>RawList!H396</f>
        <v>DIP Switch - 8 Position</v>
      </c>
      <c r="F427" s="50" t="str">
        <f>RawList!D396</f>
        <v>COM-08034</v>
      </c>
      <c r="G427" s="137">
        <f>RawList!E396</f>
        <v>5</v>
      </c>
      <c r="H427" s="50" t="str">
        <f>IF(EquipmentTable[[#This Row],[Units]]&gt;0,"Quantity &gt; 0 Items","Quantity = 0 Items")</f>
        <v>Quantity &gt; 0 Items</v>
      </c>
      <c r="I427" s="141">
        <f>RawList!J396</f>
        <v>1.5</v>
      </c>
      <c r="J427" s="24">
        <f>VALUE(EquipmentTable[[#This Row],[Units]]*EquipmentTable[[#This Row],[Unit
 Price]])</f>
        <v>7.5</v>
      </c>
      <c r="K427" s="50" t="str">
        <f>RawList!G396</f>
        <v>https://cdn.sparkfun.com/r/92-92/assets/parts/6/5/0/08034-1.jpg</v>
      </c>
      <c r="L427" s="50"/>
      <c r="M427" s="50" t="str">
        <f>RawList!F396</f>
        <v>https://www.sparkfun.com/products/8034</v>
      </c>
    </row>
    <row r="428" spans="2:13" x14ac:dyDescent="0.3">
      <c r="B428" s="50" t="str">
        <f>RawList!A397</f>
        <v>Low-Level Electronics</v>
      </c>
      <c r="C428" s="50" t="str">
        <f>RawList!B397</f>
        <v>Headers, Stackable</v>
      </c>
      <c r="D428" s="50" t="str">
        <f>RawList!C397</f>
        <v>SparkFun</v>
      </c>
      <c r="E428" s="50" t="str">
        <f>RawList!H397</f>
        <v>Stackable Header - 3 Pin (Female, 0.1\")</v>
      </c>
      <c r="F428" s="50" t="str">
        <f>RawList!D397</f>
        <v>PRT-13875</v>
      </c>
      <c r="G428" s="137">
        <f>RawList!E397</f>
        <v>0</v>
      </c>
      <c r="H428" s="50" t="str">
        <f>IF(EquipmentTable[[#This Row],[Units]]&gt;0,"Quantity &gt; 0 Items","Quantity = 0 Items")</f>
        <v>Quantity = 0 Items</v>
      </c>
      <c r="I428" s="141">
        <f>RawList!J397</f>
        <v>0.5</v>
      </c>
      <c r="J428" s="24">
        <f>VALUE(EquipmentTable[[#This Row],[Units]]*EquipmentTable[[#This Row],[Unit
 Price]])</f>
        <v>0</v>
      </c>
      <c r="K428" s="50" t="str">
        <f>RawList!G397</f>
        <v>https://cdn.sparkfun.com/r/92-92/assets/parts/1/1/3/2/7/13875-02.jpg</v>
      </c>
      <c r="L428" s="50"/>
      <c r="M428" s="50" t="str">
        <f>RawList!F397</f>
        <v>https://www.sparkfun.com/products/13875</v>
      </c>
    </row>
    <row r="429" spans="2:13" x14ac:dyDescent="0.3">
      <c r="B429" s="50" t="str">
        <f>RawList!A398</f>
        <v>Low-Level Electronics</v>
      </c>
      <c r="C429" s="50" t="str">
        <f>RawList!B398</f>
        <v>Headers, Stackable</v>
      </c>
      <c r="D429" s="50" t="str">
        <f>RawList!C398</f>
        <v>SparkFun</v>
      </c>
      <c r="E429" s="50" t="str">
        <f>RawList!H398</f>
        <v>Stackable Header - 2x23 Pin Female</v>
      </c>
      <c r="F429" s="50" t="str">
        <f>RawList!D398</f>
        <v>PRT-12790</v>
      </c>
      <c r="G429" s="137">
        <f>RawList!E398</f>
        <v>1</v>
      </c>
      <c r="H429" s="50" t="str">
        <f>IF(EquipmentTable[[#This Row],[Units]]&gt;0,"Quantity &gt; 0 Items","Quantity = 0 Items")</f>
        <v>Quantity &gt; 0 Items</v>
      </c>
      <c r="I429" s="141">
        <f>RawList!J398</f>
        <v>2.95</v>
      </c>
      <c r="J429" s="24">
        <f>VALUE(EquipmentTable[[#This Row],[Units]]*EquipmentTable[[#This Row],[Unit
 Price]])</f>
        <v>2.95</v>
      </c>
      <c r="K429" s="50" t="str">
        <f>RawList!G398</f>
        <v>https://cdn.sparkfun.com/r/92-92/assets/parts/9/6/0/8/12790-01.jpg</v>
      </c>
      <c r="L429" s="50"/>
      <c r="M429" s="50" t="str">
        <f>RawList!F398</f>
        <v>https://www.sparkfun.com/products/12790</v>
      </c>
    </row>
    <row r="430" spans="2:13" x14ac:dyDescent="0.3">
      <c r="B430" s="50" t="str">
        <f>RawList!A399</f>
        <v>Low-Level Electronics</v>
      </c>
      <c r="C430" s="50" t="str">
        <f>RawList!B399</f>
        <v>Headers, Stackable</v>
      </c>
      <c r="D430" s="50" t="str">
        <f>RawList!C399</f>
        <v>SparkFun</v>
      </c>
      <c r="E430" s="50" t="str">
        <f>RawList!H399</f>
        <v>Arduino Stackable Header Kit</v>
      </c>
      <c r="F430" s="50" t="str">
        <f>RawList!D399</f>
        <v>PRT-10007</v>
      </c>
      <c r="G430" s="137">
        <f>RawList!E399</f>
        <v>0</v>
      </c>
      <c r="H430" s="50" t="str">
        <f>IF(EquipmentTable[[#This Row],[Units]]&gt;0,"Quantity &gt; 0 Items","Quantity = 0 Items")</f>
        <v>Quantity = 0 Items</v>
      </c>
      <c r="I430" s="141">
        <f>RawList!J399</f>
        <v>1.5</v>
      </c>
      <c r="J430" s="24">
        <f>VALUE(EquipmentTable[[#This Row],[Units]]*EquipmentTable[[#This Row],[Unit
 Price]])</f>
        <v>0</v>
      </c>
      <c r="K430" s="50" t="str">
        <f>RawList!G399</f>
        <v>https://cdn.sparkfun.com/r/92-92/assets/parts/4/1/6/6/10007-01.jpg</v>
      </c>
      <c r="L430" s="50"/>
      <c r="M430" s="50" t="str">
        <f>RawList!F399</f>
        <v>https://www.sparkfun.com/products/10007</v>
      </c>
    </row>
    <row r="431" spans="2:13" x14ac:dyDescent="0.3">
      <c r="B431" s="50" t="str">
        <f>RawList!A400</f>
        <v>Low-Level Electronics</v>
      </c>
      <c r="C431" s="50" t="str">
        <f>RawList!B400</f>
        <v>Headers, Stackable</v>
      </c>
      <c r="D431" s="50" t="str">
        <f>RawList!C400</f>
        <v>SparkFun</v>
      </c>
      <c r="E431" s="50" t="str">
        <f>RawList!H400</f>
        <v>Arduino Stackable Header - 10 Pin</v>
      </c>
      <c r="F431" s="50" t="str">
        <f>RawList!D400</f>
        <v>PRT-11376</v>
      </c>
      <c r="G431" s="137">
        <f>RawList!E400</f>
        <v>0</v>
      </c>
      <c r="H431" s="50" t="str">
        <f>IF(EquipmentTable[[#This Row],[Units]]&gt;0,"Quantity &gt; 0 Items","Quantity = 0 Items")</f>
        <v>Quantity = 0 Items</v>
      </c>
      <c r="I431" s="141">
        <f>RawList!J400</f>
        <v>0.5</v>
      </c>
      <c r="J431" s="24">
        <f>VALUE(EquipmentTable[[#This Row],[Units]]*EquipmentTable[[#This Row],[Unit
 Price]])</f>
        <v>0</v>
      </c>
      <c r="K431" s="50" t="str">
        <f>RawList!G400</f>
        <v>https://cdn.sparkfun.com/r/92-92/assets/parts/7/1/2/2/11376-01a.jpg</v>
      </c>
      <c r="L431" s="50"/>
      <c r="M431" s="50" t="str">
        <f>RawList!F400</f>
        <v>https://www.sparkfun.com/products/11376</v>
      </c>
    </row>
    <row r="432" spans="2:13" x14ac:dyDescent="0.3">
      <c r="B432" s="50" t="str">
        <f>RawList!A401</f>
        <v>Low-Level Electronics</v>
      </c>
      <c r="C432" s="50" t="str">
        <f>RawList!B401</f>
        <v>Headers, Stackable</v>
      </c>
      <c r="D432" s="50" t="str">
        <f>RawList!C401</f>
        <v>SparkFun</v>
      </c>
      <c r="E432" s="50" t="str">
        <f>RawList!H401</f>
        <v>ESP32 Thing Stackable Header Set</v>
      </c>
      <c r="F432" s="50" t="str">
        <f>RawList!D401</f>
        <v>PRT-14311</v>
      </c>
      <c r="G432" s="137">
        <f>RawList!E401</f>
        <v>0</v>
      </c>
      <c r="H432" s="50" t="str">
        <f>IF(EquipmentTable[[#This Row],[Units]]&gt;0,"Quantity &gt; 0 Items","Quantity = 0 Items")</f>
        <v>Quantity = 0 Items</v>
      </c>
      <c r="I432" s="141">
        <f>RawList!J401</f>
        <v>1.5</v>
      </c>
      <c r="J432" s="24">
        <f>VALUE(EquipmentTable[[#This Row],[Units]]*EquipmentTable[[#This Row],[Unit
 Price]])</f>
        <v>0</v>
      </c>
      <c r="K432" s="50" t="str">
        <f>RawList!G401</f>
        <v>https://cdn.sparkfun.com/r/92-92/assets/parts/1/2/2/7/9/14311-01.jpg</v>
      </c>
      <c r="L432" s="50"/>
      <c r="M432" s="50" t="str">
        <f>RawList!F401</f>
        <v>https://www.sparkfun.com/products/14311</v>
      </c>
    </row>
    <row r="433" spans="2:13" x14ac:dyDescent="0.3">
      <c r="B433" s="50" t="str">
        <f>RawList!A402</f>
        <v>Low-Level Electronics</v>
      </c>
      <c r="C433" s="50" t="str">
        <f>RawList!B402</f>
        <v>Headers, Stackable</v>
      </c>
      <c r="D433" s="50" t="str">
        <f>RawList!C402</f>
        <v>SparkFun</v>
      </c>
      <c r="E433" s="50" t="str">
        <f>RawList!H402</f>
        <v>Photon Stackable Header - 12 Pin</v>
      </c>
      <c r="F433" s="50" t="str">
        <f>RawList!D402</f>
        <v>PRT-14322</v>
      </c>
      <c r="G433" s="137">
        <f>RawList!E402</f>
        <v>0</v>
      </c>
      <c r="H433" s="50" t="str">
        <f>IF(EquipmentTable[[#This Row],[Units]]&gt;0,"Quantity &gt; 0 Items","Quantity = 0 Items")</f>
        <v>Quantity = 0 Items</v>
      </c>
      <c r="I433" s="141">
        <f>RawList!J402</f>
        <v>0.5</v>
      </c>
      <c r="J433" s="24">
        <f>VALUE(EquipmentTable[[#This Row],[Units]]*EquipmentTable[[#This Row],[Unit
 Price]])</f>
        <v>0</v>
      </c>
      <c r="K433" s="50" t="str">
        <f>RawList!G402</f>
        <v>https://cdn.sparkfun.com/r/92-92/assets/parts/1/0/6/5/6/14322-02.jpg</v>
      </c>
      <c r="L433" s="50"/>
      <c r="M433" s="50" t="str">
        <f>RawList!F402</f>
        <v>https://www.sparkfun.com/products/14322</v>
      </c>
    </row>
    <row r="434" spans="2:13" x14ac:dyDescent="0.3">
      <c r="B434" s="50" t="str">
        <f>RawList!A403</f>
        <v>Low-Level Electronics</v>
      </c>
      <c r="C434" s="50" t="str">
        <f>RawList!B403</f>
        <v>Headers, Stackable</v>
      </c>
      <c r="D434" s="50" t="str">
        <f>RawList!C403</f>
        <v>SparkFun</v>
      </c>
      <c r="E434" s="50" t="str">
        <f>RawList!H403</f>
        <v>Teensy Header Kit</v>
      </c>
      <c r="F434" s="50" t="str">
        <f>RawList!D403</f>
        <v>PRT-13925</v>
      </c>
      <c r="G434" s="137">
        <f>RawList!E403</f>
        <v>0</v>
      </c>
      <c r="H434" s="50" t="str">
        <f>IF(EquipmentTable[[#This Row],[Units]]&gt;0,"Quantity &gt; 0 Items","Quantity = 0 Items")</f>
        <v>Quantity = 0 Items</v>
      </c>
      <c r="I434" s="141">
        <f>RawList!J403</f>
        <v>1.5</v>
      </c>
      <c r="J434" s="24">
        <f>VALUE(EquipmentTable[[#This Row],[Units]]*EquipmentTable[[#This Row],[Unit
 Price]])</f>
        <v>0</v>
      </c>
      <c r="K434" s="50" t="str">
        <f>RawList!G403</f>
        <v>https://cdn.sparkfun.com/r/92-92/assets/parts/1/1/5/9/7/13925-01.jpg</v>
      </c>
      <c r="L434" s="50"/>
      <c r="M434" s="50" t="str">
        <f>RawList!F403</f>
        <v>https://www.sparkfun.com/products/13925</v>
      </c>
    </row>
    <row r="435" spans="2:13" x14ac:dyDescent="0.3">
      <c r="B435" s="50" t="str">
        <f>RawList!A404</f>
        <v>Low-Level Electronics</v>
      </c>
      <c r="C435" s="50" t="str">
        <f>RawList!B404</f>
        <v>Headers, Stackable</v>
      </c>
      <c r="D435" s="50" t="str">
        <f>RawList!C404</f>
        <v>Adafruit</v>
      </c>
      <c r="E435" s="50" t="str">
        <f>RawList!H404</f>
        <v>Shield stacking headers for Arduino (R3 Compatible)</v>
      </c>
      <c r="F435" s="50" t="str">
        <f>RawList!D404</f>
        <v>85</v>
      </c>
      <c r="G435" s="137">
        <f>RawList!E404</f>
        <v>5</v>
      </c>
      <c r="H435" s="50" t="str">
        <f>IF(EquipmentTable[[#This Row],[Units]]&gt;0,"Quantity &gt; 0 Items","Quantity = 0 Items")</f>
        <v>Quantity &gt; 0 Items</v>
      </c>
      <c r="I435" s="141">
        <f>RawList!J404</f>
        <v>1.95</v>
      </c>
      <c r="J435" s="24">
        <f>VALUE(EquipmentTable[[#This Row],[Units]]*EquipmentTable[[#This Row],[Unit
 Price]])</f>
        <v>9.75</v>
      </c>
      <c r="K435" s="50">
        <f>RawList!G404</f>
        <v>0</v>
      </c>
      <c r="L435" s="50"/>
      <c r="M435" s="50">
        <f>RawList!F404</f>
        <v>0</v>
      </c>
    </row>
    <row r="436" spans="2:13" x14ac:dyDescent="0.3">
      <c r="B436" s="50" t="str">
        <f>RawList!A405</f>
        <v>Low-Level Electronics</v>
      </c>
      <c r="C436" s="50" t="str">
        <f>RawList!B405</f>
        <v>Headers, Stackable</v>
      </c>
      <c r="D436" s="50" t="str">
        <f>RawList!C405</f>
        <v>Adafruit</v>
      </c>
      <c r="E436" s="50" t="str">
        <f>RawList!H405</f>
        <v>36-pin Stacking header - pack of 5!</v>
      </c>
      <c r="F436" s="50" t="str">
        <f>RawList!D405</f>
        <v>3366</v>
      </c>
      <c r="G436" s="137">
        <f>RawList!E405</f>
        <v>1</v>
      </c>
      <c r="H436" s="50" t="str">
        <f>IF(EquipmentTable[[#This Row],[Units]]&gt;0,"Quantity &gt; 0 Items","Quantity = 0 Items")</f>
        <v>Quantity &gt; 0 Items</v>
      </c>
      <c r="I436" s="141">
        <f>RawList!J405</f>
        <v>2.95</v>
      </c>
      <c r="J436" s="24">
        <f>VALUE(EquipmentTable[[#This Row],[Units]]*EquipmentTable[[#This Row],[Unit
 Price]])</f>
        <v>2.95</v>
      </c>
      <c r="K436" s="50">
        <f>RawList!G405</f>
        <v>0</v>
      </c>
      <c r="L436" s="50"/>
      <c r="M436" s="50">
        <f>RawList!F405</f>
        <v>0</v>
      </c>
    </row>
    <row r="437" spans="2:13" x14ac:dyDescent="0.3">
      <c r="B437" s="50" t="str">
        <f>RawList!A406</f>
        <v>Low-Level Electronics</v>
      </c>
      <c r="C437" s="50" t="str">
        <f>RawList!B406</f>
        <v>Headers, Male</v>
      </c>
      <c r="D437" s="50" t="str">
        <f>RawList!C406</f>
        <v>SparkFun</v>
      </c>
      <c r="E437" s="50" t="str">
        <f>RawList!H406</f>
        <v>Header - 2x3 (Male, 0.1\")</v>
      </c>
      <c r="F437" s="50" t="str">
        <f>RawList!D406</f>
        <v>PRT-12807</v>
      </c>
      <c r="G437" s="137">
        <f>RawList!E406</f>
        <v>0</v>
      </c>
      <c r="H437" s="50" t="str">
        <f>IF(EquipmentTable[[#This Row],[Units]]&gt;0,"Quantity &gt; 0 Items","Quantity = 0 Items")</f>
        <v>Quantity = 0 Items</v>
      </c>
      <c r="I437" s="141">
        <f>RawList!J406</f>
        <v>0.5</v>
      </c>
      <c r="J437" s="24">
        <f>VALUE(EquipmentTable[[#This Row],[Units]]*EquipmentTable[[#This Row],[Unit
 Price]])</f>
        <v>0</v>
      </c>
      <c r="K437" s="50" t="str">
        <f>RawList!G406</f>
        <v>https://cdn.sparkfun.com/r/92-92/assets/parts/3/8/1/2/12807-02.jpg</v>
      </c>
      <c r="L437" s="50"/>
      <c r="M437" s="50" t="str">
        <f>RawList!F406</f>
        <v>https://www.sparkfun.com/products/12807</v>
      </c>
    </row>
    <row r="438" spans="2:13" x14ac:dyDescent="0.3">
      <c r="B438" s="50" t="str">
        <f>RawList!A407</f>
        <v>Low-Level Electronics</v>
      </c>
      <c r="C438" s="50" t="str">
        <f>RawList!B407</f>
        <v>Headers, Male</v>
      </c>
      <c r="D438" s="50" t="str">
        <f>RawList!C407</f>
        <v>SparkFun</v>
      </c>
      <c r="E438" s="50" t="str">
        <f>RawList!H407</f>
        <v xml:space="preserve">Header - 2x8 (Male, 0.1\") </v>
      </c>
      <c r="F438" s="50" t="str">
        <f>RawList!D407</f>
        <v>PRT-13156</v>
      </c>
      <c r="G438" s="137">
        <f>RawList!E407</f>
        <v>0</v>
      </c>
      <c r="H438" s="50" t="str">
        <f>IF(EquipmentTable[[#This Row],[Units]]&gt;0,"Quantity &gt; 0 Items","Quantity = 0 Items")</f>
        <v>Quantity = 0 Items</v>
      </c>
      <c r="I438" s="141">
        <f>RawList!J407</f>
        <v>0.95</v>
      </c>
      <c r="J438" s="24">
        <f>VALUE(EquipmentTable[[#This Row],[Units]]*EquipmentTable[[#This Row],[Unit
 Price]])</f>
        <v>0</v>
      </c>
      <c r="K438" s="50" t="str">
        <f>RawList!G407</f>
        <v>https://cdn.sparkfun.com/r/92-92/assets/parts/5/6/1/7/13156-01.jpg</v>
      </c>
      <c r="L438" s="50"/>
      <c r="M438" s="50" t="str">
        <f>RawList!F407</f>
        <v>https://www.sparkfun.com/products/13156</v>
      </c>
    </row>
    <row r="439" spans="2:13" x14ac:dyDescent="0.3">
      <c r="B439" s="50" t="str">
        <f>RawList!A408</f>
        <v>Low-Level Electronics</v>
      </c>
      <c r="C439" s="50" t="str">
        <f>RawList!B408</f>
        <v>Headers, Male</v>
      </c>
      <c r="D439" s="50" t="str">
        <f>RawList!C408</f>
        <v>SparkFun</v>
      </c>
      <c r="E439" s="50" t="str">
        <f>RawList!H408</f>
        <v>Header - 2x23-pin Male (PTH, 0.1\")</v>
      </c>
      <c r="F439" s="50" t="str">
        <f>RawList!D408</f>
        <v>PRT-12791</v>
      </c>
      <c r="G439" s="137">
        <f>RawList!E408</f>
        <v>1</v>
      </c>
      <c r="H439" s="50" t="str">
        <f>IF(EquipmentTable[[#This Row],[Units]]&gt;0,"Quantity &gt; 0 Items","Quantity = 0 Items")</f>
        <v>Quantity &gt; 0 Items</v>
      </c>
      <c r="I439" s="141">
        <f>RawList!J408</f>
        <v>0.95</v>
      </c>
      <c r="J439" s="24">
        <f>VALUE(EquipmentTable[[#This Row],[Units]]*EquipmentTable[[#This Row],[Unit
 Price]])</f>
        <v>0.95</v>
      </c>
      <c r="K439" s="50" t="str">
        <f>RawList!G408</f>
        <v>https://cdn.sparkfun.com/r/92-92/assets/parts/9/6/0/9/12791-01.jpg</v>
      </c>
      <c r="L439" s="50"/>
      <c r="M439" s="50" t="str">
        <f>RawList!F408</f>
        <v>https://www.sparkfun.com/products/12791</v>
      </c>
    </row>
    <row r="440" spans="2:13" x14ac:dyDescent="0.3">
      <c r="B440" s="50" t="str">
        <f>RawList!A409</f>
        <v>Low-Level Electronics</v>
      </c>
      <c r="C440" s="50" t="str">
        <f>RawList!B409</f>
        <v>Headers, Male</v>
      </c>
      <c r="D440" s="50" t="str">
        <f>RawList!C409</f>
        <v>SparkFun</v>
      </c>
      <c r="E440" s="50" t="str">
        <f>RawList!H409</f>
        <v>Break Away Headers - Straight</v>
      </c>
      <c r="F440" s="50" t="str">
        <f>RawList!D409</f>
        <v>PRT-00116</v>
      </c>
      <c r="G440" s="137">
        <f>RawList!E409</f>
        <v>0</v>
      </c>
      <c r="H440" s="50" t="str">
        <f>IF(EquipmentTable[[#This Row],[Units]]&gt;0,"Quantity &gt; 0 Items","Quantity = 0 Items")</f>
        <v>Quantity = 0 Items</v>
      </c>
      <c r="I440" s="141">
        <f>RawList!J409</f>
        <v>1.5</v>
      </c>
      <c r="J440" s="24">
        <f>VALUE(EquipmentTable[[#This Row],[Units]]*EquipmentTable[[#This Row],[Unit
 Price]])</f>
        <v>0</v>
      </c>
      <c r="K440" s="50" t="str">
        <f>RawList!G409</f>
        <v>https://cdn.sparkfun.com/r/92-92/assets/parts/1/0/6/00116-02-L.jpg</v>
      </c>
      <c r="L440" s="50"/>
      <c r="M440" s="50" t="str">
        <f>RawList!F409</f>
        <v>https://www.sparkfun.com/products/116</v>
      </c>
    </row>
    <row r="441" spans="2:13" x14ac:dyDescent="0.3">
      <c r="B441" s="50" t="str">
        <f>RawList!A410</f>
        <v>Low-Level Electronics</v>
      </c>
      <c r="C441" s="50" t="str">
        <f>RawList!B410</f>
        <v>Headers, Male</v>
      </c>
      <c r="D441" s="50" t="str">
        <f>RawList!C410</f>
        <v>Adafruit</v>
      </c>
      <c r="E441" s="50" t="str">
        <f>RawList!H410</f>
        <v>Break-away 0.1" 36-pin strip male header (10 pieces)</v>
      </c>
      <c r="F441" s="50" t="str">
        <f>RawList!D410</f>
        <v>392</v>
      </c>
      <c r="G441" s="137">
        <f>RawList!E410</f>
        <v>1</v>
      </c>
      <c r="H441" s="50" t="str">
        <f>IF(EquipmentTable[[#This Row],[Units]]&gt;0,"Quantity &gt; 0 Items","Quantity = 0 Items")</f>
        <v>Quantity &gt; 0 Items</v>
      </c>
      <c r="I441" s="141">
        <f>RawList!J410</f>
        <v>4.95</v>
      </c>
      <c r="J441" s="24">
        <f>VALUE(EquipmentTable[[#This Row],[Units]]*EquipmentTable[[#This Row],[Unit
 Price]])</f>
        <v>4.95</v>
      </c>
      <c r="K441" s="50">
        <f>RawList!G410</f>
        <v>0</v>
      </c>
      <c r="L441" s="50"/>
      <c r="M441" s="50">
        <f>RawList!F410</f>
        <v>0</v>
      </c>
    </row>
    <row r="442" spans="2:13" x14ac:dyDescent="0.3">
      <c r="B442" s="50" t="str">
        <f>RawList!A411</f>
        <v>Low-Level Electronics</v>
      </c>
      <c r="C442" s="50" t="str">
        <f>RawList!B411</f>
        <v>Headers, Male</v>
      </c>
      <c r="D442" s="50" t="str">
        <f>RawList!C411</f>
        <v>Adafruit</v>
      </c>
      <c r="E442" s="50" t="str">
        <f>RawList!H411</f>
        <v xml:space="preserve">36-pin 0.1" Short Break-away Male Header - Pack of 10 </v>
      </c>
      <c r="F442" s="50" t="str">
        <f>RawList!D411</f>
        <v>3009</v>
      </c>
      <c r="G442" s="137">
        <f>RawList!E411</f>
        <v>1</v>
      </c>
      <c r="H442" s="50" t="str">
        <f>IF(EquipmentTable[[#This Row],[Units]]&gt;0,"Quantity &gt; 0 Items","Quantity = 0 Items")</f>
        <v>Quantity &gt; 0 Items</v>
      </c>
      <c r="I442" s="141">
        <f>RawList!J411</f>
        <v>4.95</v>
      </c>
      <c r="J442" s="24">
        <f>VALUE(EquipmentTable[[#This Row],[Units]]*EquipmentTable[[#This Row],[Unit
 Price]])</f>
        <v>4.95</v>
      </c>
      <c r="K442" s="50">
        <f>RawList!G411</f>
        <v>0</v>
      </c>
      <c r="L442" s="50"/>
      <c r="M442" s="50">
        <f>RawList!F411</f>
        <v>0</v>
      </c>
    </row>
    <row r="443" spans="2:13" x14ac:dyDescent="0.3">
      <c r="B443" s="50" t="str">
        <f>RawList!A412</f>
        <v>Low-Level Electronics</v>
      </c>
      <c r="C443" s="50" t="str">
        <f>RawList!B412</f>
        <v>Headers, Male</v>
      </c>
      <c r="D443" s="50" t="str">
        <f>RawList!C412</f>
        <v>SparkFun</v>
      </c>
      <c r="E443" s="50" t="str">
        <f>RawList!H412</f>
        <v>Break Away Headers - Long</v>
      </c>
      <c r="F443" s="50" t="str">
        <f>RawList!D412</f>
        <v>PRT-10158</v>
      </c>
      <c r="G443" s="137">
        <f>RawList!E412</f>
        <v>5</v>
      </c>
      <c r="H443" s="50" t="str">
        <f>IF(EquipmentTable[[#This Row],[Units]]&gt;0,"Quantity &gt; 0 Items","Quantity = 0 Items")</f>
        <v>Quantity &gt; 0 Items</v>
      </c>
      <c r="I443" s="141">
        <f>RawList!J412</f>
        <v>2.95</v>
      </c>
      <c r="J443" s="24">
        <f>VALUE(EquipmentTable[[#This Row],[Units]]*EquipmentTable[[#This Row],[Unit
 Price]])</f>
        <v>14.75</v>
      </c>
      <c r="K443" s="50" t="str">
        <f>RawList!G412</f>
        <v>https://cdn.sparkfun.com/r/92-92/assets/parts/4/4/5/2/10158-01.jpg</v>
      </c>
      <c r="L443" s="50"/>
      <c r="M443" s="50" t="str">
        <f>RawList!F412</f>
        <v>https://www.sparkfun.com/products/10158</v>
      </c>
    </row>
    <row r="444" spans="2:13" x14ac:dyDescent="0.3">
      <c r="B444" s="50" t="str">
        <f>RawList!A413</f>
        <v>Low-Level Electronics</v>
      </c>
      <c r="C444" s="50" t="str">
        <f>RawList!B413</f>
        <v>Headers, Male</v>
      </c>
      <c r="D444" s="50" t="str">
        <f>RawList!C413</f>
        <v>SparkFun</v>
      </c>
      <c r="E444" s="50" t="str">
        <f>RawList!H413</f>
        <v>Break Away Headers - 40-pin Male (Long Centered, PTH, 0.1\")</v>
      </c>
      <c r="F444" s="50" t="str">
        <f>RawList!D413</f>
        <v>PRT-12693</v>
      </c>
      <c r="G444" s="137">
        <f>RawList!E413</f>
        <v>5</v>
      </c>
      <c r="H444" s="50" t="str">
        <f>IF(EquipmentTable[[#This Row],[Units]]&gt;0,"Quantity &gt; 0 Items","Quantity = 0 Items")</f>
        <v>Quantity &gt; 0 Items</v>
      </c>
      <c r="I444" s="141">
        <f>RawList!J413</f>
        <v>0.75</v>
      </c>
      <c r="J444" s="24">
        <f>VALUE(EquipmentTable[[#This Row],[Units]]*EquipmentTable[[#This Row],[Unit
 Price]])</f>
        <v>3.75</v>
      </c>
      <c r="K444" s="50" t="str">
        <f>RawList!G413</f>
        <v>https://cdn.sparkfun.com/r/92-92/assets/parts/9/4/2/7/12693-02.jpg</v>
      </c>
      <c r="L444" s="50"/>
      <c r="M444" s="50" t="str">
        <f>RawList!F413</f>
        <v>https://www.sparkfun.com/products/12693</v>
      </c>
    </row>
    <row r="445" spans="2:13" x14ac:dyDescent="0.3">
      <c r="B445" s="50" t="str">
        <f>RawList!A414</f>
        <v>Low-Level Electronics</v>
      </c>
      <c r="C445" s="50" t="str">
        <f>RawList!B414</f>
        <v>Headers, Male</v>
      </c>
      <c r="D445" s="50" t="str">
        <f>RawList!C414</f>
        <v>Adafruit</v>
      </c>
      <c r="E445" s="50" t="str">
        <f>RawList!H414</f>
        <v>Extra-long break-away 0.1" 16-pin strip male header (5 pieces)</v>
      </c>
      <c r="F445" s="50" t="str">
        <f>RawList!D414</f>
        <v>400</v>
      </c>
      <c r="G445" s="137">
        <f>RawList!E414</f>
        <v>0</v>
      </c>
      <c r="H445" s="50" t="str">
        <f>IF(EquipmentTable[[#This Row],[Units]]&gt;0,"Quantity &gt; 0 Items","Quantity = 0 Items")</f>
        <v>Quantity = 0 Items</v>
      </c>
      <c r="I445" s="141">
        <f>RawList!J414</f>
        <v>3</v>
      </c>
      <c r="J445" s="24">
        <f>VALUE(EquipmentTable[[#This Row],[Units]]*EquipmentTable[[#This Row],[Unit
 Price]])</f>
        <v>0</v>
      </c>
      <c r="K445" s="50">
        <f>RawList!G414</f>
        <v>0</v>
      </c>
      <c r="L445" s="50"/>
      <c r="M445" s="50">
        <f>RawList!F414</f>
        <v>0</v>
      </c>
    </row>
    <row r="446" spans="2:13" x14ac:dyDescent="0.3">
      <c r="B446" s="50" t="str">
        <f>RawList!A415</f>
        <v>Low-Level Electronics</v>
      </c>
      <c r="C446" s="50" t="str">
        <f>RawList!B415</f>
        <v>Headers, Male</v>
      </c>
      <c r="D446" s="50" t="str">
        <f>RawList!C415</f>
        <v>SparkFun</v>
      </c>
      <c r="E446" s="50" t="str">
        <f>RawList!H415</f>
        <v>Break Away Male Headers - Right Angle</v>
      </c>
      <c r="F446" s="50" t="str">
        <f>RawList!D415</f>
        <v>PRT-00553</v>
      </c>
      <c r="G446" s="137">
        <f>RawList!E415</f>
        <v>0</v>
      </c>
      <c r="H446" s="50" t="str">
        <f>IF(EquipmentTable[[#This Row],[Units]]&gt;0,"Quantity &gt; 0 Items","Quantity = 0 Items")</f>
        <v>Quantity = 0 Items</v>
      </c>
      <c r="I446" s="141">
        <f>RawList!J415</f>
        <v>1.95</v>
      </c>
      <c r="J446" s="24">
        <f>VALUE(EquipmentTable[[#This Row],[Units]]*EquipmentTable[[#This Row],[Unit
 Price]])</f>
        <v>0</v>
      </c>
      <c r="K446" s="50" t="str">
        <f>RawList!G415</f>
        <v>https://cdn.sparkfun.com/r/92-92/assets/parts/3/7/8/00553-03-L.jpg</v>
      </c>
      <c r="L446" s="50"/>
      <c r="M446" s="50" t="str">
        <f>RawList!F415</f>
        <v>https://www.sparkfun.com/products/553</v>
      </c>
    </row>
    <row r="447" spans="2:13" x14ac:dyDescent="0.3">
      <c r="B447" s="50" t="str">
        <f>RawList!A416</f>
        <v>Low-Level Electronics</v>
      </c>
      <c r="C447" s="50" t="str">
        <f>RawList!B416</f>
        <v>Headers, Male</v>
      </c>
      <c r="D447" s="50" t="str">
        <f>RawList!C416</f>
        <v>Adafruit</v>
      </c>
      <c r="E447" s="50" t="str">
        <f>RawList!H416</f>
        <v xml:space="preserve">Break-away 0.1" 36-pin strip right-angle male header (10 pack) </v>
      </c>
      <c r="F447" s="50" t="str">
        <f>RawList!D416</f>
        <v>1540</v>
      </c>
      <c r="G447" s="137">
        <f>RawList!E416</f>
        <v>0</v>
      </c>
      <c r="H447" s="50" t="str">
        <f>IF(EquipmentTable[[#This Row],[Units]]&gt;0,"Quantity &gt; 0 Items","Quantity = 0 Items")</f>
        <v>Quantity = 0 Items</v>
      </c>
      <c r="I447" s="141">
        <f>RawList!J416</f>
        <v>5.95</v>
      </c>
      <c r="J447" s="24">
        <f>VALUE(EquipmentTable[[#This Row],[Units]]*EquipmentTable[[#This Row],[Unit
 Price]])</f>
        <v>0</v>
      </c>
      <c r="K447" s="50">
        <f>RawList!G416</f>
        <v>0</v>
      </c>
      <c r="L447" s="50"/>
      <c r="M447" s="50">
        <f>RawList!F416</f>
        <v>0</v>
      </c>
    </row>
    <row r="448" spans="2:13" x14ac:dyDescent="0.3">
      <c r="B448" s="50" t="str">
        <f>RawList!A417</f>
        <v>Low-Level Electronics</v>
      </c>
      <c r="C448" s="50" t="str">
        <f>RawList!B417</f>
        <v>Headers, Male</v>
      </c>
      <c r="D448" s="50" t="str">
        <f>RawList!C417</f>
        <v>Adafruit</v>
      </c>
      <c r="E448" s="50" t="str">
        <f>RawList!H417</f>
        <v>Break-away 0.1" 2x20-pin Strip Dual Male Header</v>
      </c>
      <c r="F448" s="50" t="str">
        <f>RawList!D417</f>
        <v>2822</v>
      </c>
      <c r="G448" s="137">
        <f>RawList!E417</f>
        <v>0</v>
      </c>
      <c r="H448" s="50" t="str">
        <f>IF(EquipmentTable[[#This Row],[Units]]&gt;0,"Quantity &gt; 0 Items","Quantity = 0 Items")</f>
        <v>Quantity = 0 Items</v>
      </c>
      <c r="I448" s="141">
        <f>RawList!J417</f>
        <v>0.95</v>
      </c>
      <c r="J448" s="24">
        <f>VALUE(EquipmentTable[[#This Row],[Units]]*EquipmentTable[[#This Row],[Unit
 Price]])</f>
        <v>0</v>
      </c>
      <c r="K448" s="50">
        <f>RawList!G417</f>
        <v>0</v>
      </c>
      <c r="L448" s="50"/>
      <c r="M448" s="50">
        <f>RawList!F417</f>
        <v>0</v>
      </c>
    </row>
    <row r="449" spans="2:13" x14ac:dyDescent="0.3">
      <c r="B449" s="50" t="str">
        <f>RawList!A418</f>
        <v>Low-Level Electronics</v>
      </c>
      <c r="C449" s="50" t="str">
        <f>RawList!B418</f>
        <v>Headers, Male</v>
      </c>
      <c r="D449" s="50" t="str">
        <f>RawList!C418</f>
        <v>Adafruit</v>
      </c>
      <c r="E449" s="50" t="str">
        <f>RawList!H418</f>
        <v>Break-away 0.1" 2x36-pin strip dual male header (10 pieces)</v>
      </c>
      <c r="F449" s="50" t="str">
        <f>RawList!D418</f>
        <v>1539</v>
      </c>
      <c r="G449" s="137">
        <f>RawList!E418</f>
        <v>1</v>
      </c>
      <c r="H449" s="50" t="str">
        <f>IF(EquipmentTable[[#This Row],[Units]]&gt;0,"Quantity &gt; 0 Items","Quantity = 0 Items")</f>
        <v>Quantity &gt; 0 Items</v>
      </c>
      <c r="I449" s="141">
        <f>RawList!J418</f>
        <v>7.5</v>
      </c>
      <c r="J449" s="24">
        <f>VALUE(EquipmentTable[[#This Row],[Units]]*EquipmentTable[[#This Row],[Unit
 Price]])</f>
        <v>7.5</v>
      </c>
      <c r="K449" s="50">
        <f>RawList!G418</f>
        <v>0</v>
      </c>
      <c r="L449" s="50"/>
      <c r="M449" s="50">
        <f>RawList!F418</f>
        <v>0</v>
      </c>
    </row>
    <row r="450" spans="2:13" x14ac:dyDescent="0.3">
      <c r="B450" s="50" t="str">
        <f>RawList!A419</f>
        <v>Low-Level Electronics</v>
      </c>
      <c r="C450" s="50" t="str">
        <f>RawList!B419</f>
        <v>Headers, Male</v>
      </c>
      <c r="D450" s="50" t="str">
        <f>RawList!C419</f>
        <v>Adafruit</v>
      </c>
      <c r="E450" s="50" t="str">
        <f>RawList!H419</f>
        <v xml:space="preserve">Break-away 0.1" 2x36-pin strip right-angle male header (5 pack) </v>
      </c>
      <c r="F450" s="50" t="str">
        <f>RawList!D419</f>
        <v>1541</v>
      </c>
      <c r="G450" s="137">
        <f>RawList!E419</f>
        <v>1</v>
      </c>
      <c r="H450" s="50" t="str">
        <f>IF(EquipmentTable[[#This Row],[Units]]&gt;0,"Quantity &gt; 0 Items","Quantity = 0 Items")</f>
        <v>Quantity &gt; 0 Items</v>
      </c>
      <c r="I450" s="141">
        <f>RawList!J419</f>
        <v>5.95</v>
      </c>
      <c r="J450" s="24">
        <f>VALUE(EquipmentTable[[#This Row],[Units]]*EquipmentTable[[#This Row],[Unit
 Price]])</f>
        <v>5.95</v>
      </c>
      <c r="K450" s="50">
        <f>RawList!G419</f>
        <v>0</v>
      </c>
      <c r="L450" s="50"/>
      <c r="M450" s="50">
        <f>RawList!F419</f>
        <v>0</v>
      </c>
    </row>
    <row r="451" spans="2:13" x14ac:dyDescent="0.3">
      <c r="B451" s="50" t="str">
        <f>RawList!A420</f>
        <v>Low-Level Electronics</v>
      </c>
      <c r="C451" s="50" t="str">
        <f>RawList!B420</f>
        <v>Headers, Male</v>
      </c>
      <c r="D451" s="50" t="str">
        <f>RawList!C420</f>
        <v>SparkFun</v>
      </c>
      <c r="E451" s="50" t="str">
        <f>RawList!H420</f>
        <v>Break Away Headers - Right Angle 2x40</v>
      </c>
      <c r="F451" s="50" t="str">
        <f>RawList!D420</f>
        <v>COM-12792</v>
      </c>
      <c r="G451" s="137">
        <f>RawList!E420</f>
        <v>0</v>
      </c>
      <c r="H451" s="50" t="str">
        <f>IF(EquipmentTable[[#This Row],[Units]]&gt;0,"Quantity &gt; 0 Items","Quantity = 0 Items")</f>
        <v>Quantity = 0 Items</v>
      </c>
      <c r="I451" s="141">
        <f>RawList!J420</f>
        <v>1.95</v>
      </c>
      <c r="J451" s="24">
        <f>VALUE(EquipmentTable[[#This Row],[Units]]*EquipmentTable[[#This Row],[Unit
 Price]])</f>
        <v>0</v>
      </c>
      <c r="K451" s="50" t="str">
        <f>RawList!G420</f>
        <v>https://cdn.sparkfun.com/r/92-92/assets/parts/9/6/1/0/12792-01.jpg</v>
      </c>
      <c r="L451" s="50"/>
      <c r="M451" s="50" t="str">
        <f>RawList!F420</f>
        <v>https://www.sparkfun.com/products/12792</v>
      </c>
    </row>
    <row r="452" spans="2:13" x14ac:dyDescent="0.3">
      <c r="B452" s="50" t="str">
        <f>RawList!A421</f>
        <v>Low-Level Electronics</v>
      </c>
      <c r="C452" s="50" t="str">
        <f>RawList!B421</f>
        <v>Headers, Male</v>
      </c>
      <c r="D452" s="50" t="str">
        <f>RawList!C421</f>
        <v>SparkFun</v>
      </c>
      <c r="E452" s="50" t="str">
        <f>RawList!H421</f>
        <v>Break Away Headers - Right Angle 3x40</v>
      </c>
      <c r="F452" s="50" t="str">
        <f>RawList!D421</f>
        <v>COM-10095</v>
      </c>
      <c r="G452" s="137">
        <f>RawList!E421</f>
        <v>0</v>
      </c>
      <c r="H452" s="50" t="str">
        <f>IF(EquipmentTable[[#This Row],[Units]]&gt;0,"Quantity &gt; 0 Items","Quantity = 0 Items")</f>
        <v>Quantity = 0 Items</v>
      </c>
      <c r="I452" s="141">
        <f>RawList!J421</f>
        <v>4.95</v>
      </c>
      <c r="J452" s="24">
        <f>VALUE(EquipmentTable[[#This Row],[Units]]*EquipmentTable[[#This Row],[Unit
 Price]])</f>
        <v>0</v>
      </c>
      <c r="K452" s="50" t="str">
        <f>RawList!G421</f>
        <v>https://cdn.sparkfun.com/r/92-92/assets/parts/4/3/1/9/10095-01.jpg</v>
      </c>
      <c r="L452" s="50"/>
      <c r="M452" s="50" t="str">
        <f>RawList!F421</f>
        <v>https://www.sparkfun.com/products/10095</v>
      </c>
    </row>
    <row r="453" spans="2:13" x14ac:dyDescent="0.3">
      <c r="B453" s="50" t="str">
        <f>RawList!A422</f>
        <v>Low-Level Electronics</v>
      </c>
      <c r="C453" s="50" t="str">
        <f>RawList!B422</f>
        <v>Headers, Male</v>
      </c>
      <c r="D453" s="50" t="str">
        <f>RawList!C422</f>
        <v>SparkFun</v>
      </c>
      <c r="E453" s="50" t="str">
        <f>RawList!H422</f>
        <v>2mm 10pin XBee Header</v>
      </c>
      <c r="F453" s="50" t="str">
        <f>RawList!D422</f>
        <v>PRT-10112</v>
      </c>
      <c r="G453" s="137">
        <f>RawList!E422</f>
        <v>0</v>
      </c>
      <c r="H453" s="50" t="str">
        <f>IF(EquipmentTable[[#This Row],[Units]]&gt;0,"Quantity &gt; 0 Items","Quantity = 0 Items")</f>
        <v>Quantity = 0 Items</v>
      </c>
      <c r="I453" s="141">
        <f>RawList!J422</f>
        <v>0.95</v>
      </c>
      <c r="J453" s="24">
        <f>VALUE(EquipmentTable[[#This Row],[Units]]*EquipmentTable[[#This Row],[Unit
 Price]])</f>
        <v>0</v>
      </c>
      <c r="K453" s="50" t="str">
        <f>RawList!G422</f>
        <v>https://cdn.sparkfun.com/r/92-92/assets/parts/4/3/6/0/10112-01.jpg</v>
      </c>
      <c r="L453" s="50"/>
      <c r="M453" s="50" t="str">
        <f>RawList!F422</f>
        <v>https://www.sparkfun.com/products/10112</v>
      </c>
    </row>
    <row r="454" spans="2:13" x14ac:dyDescent="0.3">
      <c r="B454" s="50" t="str">
        <f>RawList!A423</f>
        <v>Low-Level Electronics</v>
      </c>
      <c r="C454" s="50" t="str">
        <f>RawList!B423</f>
        <v>Headers, Male</v>
      </c>
      <c r="D454" s="50" t="str">
        <f>RawList!C423</f>
        <v>Adafruit</v>
      </c>
      <c r="E454" s="50" t="str">
        <f>RawList!H423</f>
        <v>2mm Pitch 40-Pin Break-apart Male Headers - Pack of 5</v>
      </c>
      <c r="F454" s="50" t="str">
        <f>RawList!D423</f>
        <v>2671</v>
      </c>
      <c r="G454" s="137">
        <f>RawList!E423</f>
        <v>1</v>
      </c>
      <c r="H454" s="50" t="str">
        <f>IF(EquipmentTable[[#This Row],[Units]]&gt;0,"Quantity &gt; 0 Items","Quantity = 0 Items")</f>
        <v>Quantity &gt; 0 Items</v>
      </c>
      <c r="I454" s="141">
        <f>RawList!J423</f>
        <v>2.95</v>
      </c>
      <c r="J454" s="24">
        <f>VALUE(EquipmentTable[[#This Row],[Units]]*EquipmentTable[[#This Row],[Unit
 Price]])</f>
        <v>2.95</v>
      </c>
      <c r="K454" s="50">
        <f>RawList!G423</f>
        <v>0</v>
      </c>
      <c r="L454" s="50"/>
      <c r="M454" s="50">
        <f>RawList!F423</f>
        <v>0</v>
      </c>
    </row>
    <row r="455" spans="2:13" x14ac:dyDescent="0.3">
      <c r="B455" s="50" t="str">
        <f>RawList!A424</f>
        <v>Low-Level Electronics</v>
      </c>
      <c r="C455" s="50" t="str">
        <f>RawList!B424</f>
        <v>Headers, Female</v>
      </c>
      <c r="D455" s="50" t="str">
        <f>RawList!C424</f>
        <v>Adafruit</v>
      </c>
      <c r="E455" s="50" t="str">
        <f>RawList!H424</f>
        <v xml:space="preserve">Feather Header Kit - 12-pin and 16-pin Female Header Set </v>
      </c>
      <c r="F455" s="50" t="str">
        <f>RawList!D424</f>
        <v>2886</v>
      </c>
      <c r="G455" s="137">
        <f>RawList!E424</f>
        <v>0</v>
      </c>
      <c r="H455" s="50" t="str">
        <f>IF(EquipmentTable[[#This Row],[Units]]&gt;0,"Quantity &gt; 0 Items","Quantity = 0 Items")</f>
        <v>Quantity = 0 Items</v>
      </c>
      <c r="I455" s="141">
        <f>RawList!J424</f>
        <v>0.95</v>
      </c>
      <c r="J455" s="24">
        <f>VALUE(EquipmentTable[[#This Row],[Units]]*EquipmentTable[[#This Row],[Unit
 Price]])</f>
        <v>0</v>
      </c>
      <c r="K455" s="50">
        <f>RawList!G424</f>
        <v>0</v>
      </c>
      <c r="L455" s="50"/>
      <c r="M455" s="50">
        <f>RawList!F424</f>
        <v>0</v>
      </c>
    </row>
    <row r="456" spans="2:13" x14ac:dyDescent="0.3">
      <c r="B456" s="50" t="str">
        <f>RawList!A425</f>
        <v>Low-Level Electronics</v>
      </c>
      <c r="C456" s="50" t="str">
        <f>RawList!B425</f>
        <v>Headers, Female</v>
      </c>
      <c r="D456" s="50" t="str">
        <f>RawList!C425</f>
        <v>Adafruit</v>
      </c>
      <c r="E456" s="50" t="str">
        <f>RawList!H425</f>
        <v>36-pin 0.1" Female header - pack of 5!</v>
      </c>
      <c r="F456" s="50" t="str">
        <f>RawList!D425</f>
        <v>598</v>
      </c>
      <c r="G456" s="137">
        <f>RawList!E425</f>
        <v>1</v>
      </c>
      <c r="H456" s="50" t="str">
        <f>IF(EquipmentTable[[#This Row],[Units]]&gt;0,"Quantity &gt; 0 Items","Quantity = 0 Items")</f>
        <v>Quantity &gt; 0 Items</v>
      </c>
      <c r="I456" s="141">
        <f>RawList!J425</f>
        <v>2.95</v>
      </c>
      <c r="J456" s="24">
        <f>VALUE(EquipmentTable[[#This Row],[Units]]*EquipmentTable[[#This Row],[Unit
 Price]])</f>
        <v>2.95</v>
      </c>
      <c r="K456" s="50">
        <f>RawList!G425</f>
        <v>0</v>
      </c>
      <c r="L456" s="50"/>
      <c r="M456" s="50">
        <f>RawList!F425</f>
        <v>0</v>
      </c>
    </row>
    <row r="457" spans="2:13" x14ac:dyDescent="0.3">
      <c r="B457" s="50" t="str">
        <f>RawList!A426</f>
        <v>Low-Level Electronics</v>
      </c>
      <c r="C457" s="50" t="str">
        <f>RawList!B426</f>
        <v>Headers, Female</v>
      </c>
      <c r="D457" s="50" t="str">
        <f>RawList!C426</f>
        <v>Adafruit</v>
      </c>
      <c r="E457" s="50" t="str">
        <f>RawList!H426</f>
        <v xml:space="preserve">36-pin 0.1" Short Female Header - Pack of 5 </v>
      </c>
      <c r="F457" s="50" t="str">
        <f>RawList!D426</f>
        <v>3008</v>
      </c>
      <c r="G457" s="137">
        <f>RawList!E426</f>
        <v>1</v>
      </c>
      <c r="H457" s="50" t="str">
        <f>IF(EquipmentTable[[#This Row],[Units]]&gt;0,"Quantity &gt; 0 Items","Quantity = 0 Items")</f>
        <v>Quantity &gt; 0 Items</v>
      </c>
      <c r="I457" s="141">
        <f>RawList!J426</f>
        <v>7.95</v>
      </c>
      <c r="J457" s="24">
        <f>VALUE(EquipmentTable[[#This Row],[Units]]*EquipmentTable[[#This Row],[Unit
 Price]])</f>
        <v>7.95</v>
      </c>
      <c r="K457" s="50">
        <f>RawList!G426</f>
        <v>0</v>
      </c>
      <c r="L457" s="50"/>
      <c r="M457" s="50">
        <f>RawList!F426</f>
        <v>0</v>
      </c>
    </row>
    <row r="458" spans="2:13" x14ac:dyDescent="0.3">
      <c r="B458" s="50" t="str">
        <f>RawList!A427</f>
        <v>Low-Level Electronics</v>
      </c>
      <c r="C458" s="50" t="str">
        <f>RawList!B427</f>
        <v>Headers, Female</v>
      </c>
      <c r="D458" s="50" t="str">
        <f>RawList!C427</f>
        <v>Adafruit</v>
      </c>
      <c r="E458" s="50" t="str">
        <f>RawList!H427</f>
        <v>0.1" 36-pin Strip Right-Angle Female/Socket Header (5 pack)</v>
      </c>
      <c r="F458" s="50" t="str">
        <f>RawList!D427</f>
        <v>1542</v>
      </c>
      <c r="G458" s="137">
        <f>RawList!E427</f>
        <v>1</v>
      </c>
      <c r="H458" s="50" t="str">
        <f>IF(EquipmentTable[[#This Row],[Units]]&gt;0,"Quantity &gt; 0 Items","Quantity = 0 Items")</f>
        <v>Quantity &gt; 0 Items</v>
      </c>
      <c r="I458" s="141">
        <f>RawList!J427</f>
        <v>4.95</v>
      </c>
      <c r="J458" s="24">
        <f>VALUE(EquipmentTable[[#This Row],[Units]]*EquipmentTable[[#This Row],[Unit
 Price]])</f>
        <v>4.95</v>
      </c>
      <c r="K458" s="50">
        <f>RawList!G427</f>
        <v>0</v>
      </c>
      <c r="L458" s="50"/>
      <c r="M458" s="50">
        <f>RawList!F427</f>
        <v>0</v>
      </c>
    </row>
    <row r="459" spans="2:13" x14ac:dyDescent="0.3">
      <c r="B459" s="50" t="str">
        <f>RawList!A428</f>
        <v>Low-Level Electronics</v>
      </c>
      <c r="C459" s="50" t="str">
        <f>RawList!B428</f>
        <v>Headers, Female</v>
      </c>
      <c r="D459" s="50" t="str">
        <f>RawList!C428</f>
        <v>Adafruit</v>
      </c>
      <c r="E459" s="50" t="str">
        <f>RawList!H428</f>
        <v>0.1" 2x36-pin Strip Straight Socket (Female) Header (5 pack)</v>
      </c>
      <c r="F459" s="50" t="str">
        <f>RawList!D428</f>
        <v>1544</v>
      </c>
      <c r="G459" s="137">
        <f>RawList!E428</f>
        <v>1</v>
      </c>
      <c r="H459" s="50" t="str">
        <f>IF(EquipmentTable[[#This Row],[Units]]&gt;0,"Quantity &gt; 0 Items","Quantity = 0 Items")</f>
        <v>Quantity &gt; 0 Items</v>
      </c>
      <c r="I459" s="141">
        <f>RawList!J428</f>
        <v>5.95</v>
      </c>
      <c r="J459" s="24">
        <f>VALUE(EquipmentTable[[#This Row],[Units]]*EquipmentTable[[#This Row],[Unit
 Price]])</f>
        <v>5.95</v>
      </c>
      <c r="K459" s="50">
        <f>RawList!G428</f>
        <v>0</v>
      </c>
      <c r="L459" s="50"/>
      <c r="M459" s="50">
        <f>RawList!F428</f>
        <v>0</v>
      </c>
    </row>
    <row r="460" spans="2:13" x14ac:dyDescent="0.3">
      <c r="B460" s="50" t="str">
        <f>RawList!A429</f>
        <v>Low-Level Electronics</v>
      </c>
      <c r="C460" s="50" t="str">
        <f>RawList!B429</f>
        <v>Headers, Female</v>
      </c>
      <c r="D460" s="50" t="str">
        <f>RawList!C429</f>
        <v>Adafruit</v>
      </c>
      <c r="E460" s="50" t="str">
        <f>RawList!H429</f>
        <v xml:space="preserve">0.1" 2x20-pin Strip Right Angle Female Header </v>
      </c>
      <c r="F460" s="50" t="str">
        <f>RawList!D429</f>
        <v>2823</v>
      </c>
      <c r="G460" s="137">
        <f>RawList!E429</f>
        <v>0</v>
      </c>
      <c r="H460" s="50" t="str">
        <f>IF(EquipmentTable[[#This Row],[Units]]&gt;0,"Quantity &gt; 0 Items","Quantity = 0 Items")</f>
        <v>Quantity = 0 Items</v>
      </c>
      <c r="I460" s="141">
        <f>RawList!J429</f>
        <v>1.5</v>
      </c>
      <c r="J460" s="24">
        <f>VALUE(EquipmentTable[[#This Row],[Units]]*EquipmentTable[[#This Row],[Unit
 Price]])</f>
        <v>0</v>
      </c>
      <c r="K460" s="50">
        <f>RawList!G429</f>
        <v>0</v>
      </c>
      <c r="L460" s="50"/>
      <c r="M460" s="50">
        <f>RawList!F429</f>
        <v>0</v>
      </c>
    </row>
    <row r="461" spans="2:13" x14ac:dyDescent="0.3">
      <c r="B461" s="50" t="str">
        <f>RawList!A430</f>
        <v>Low-Level Electronics</v>
      </c>
      <c r="C461" s="50" t="str">
        <f>RawList!B430</f>
        <v>Headers, Female</v>
      </c>
      <c r="D461" s="50" t="str">
        <f>RawList!C430</f>
        <v>Adafruit</v>
      </c>
      <c r="E461" s="50" t="str">
        <f>RawList!H430</f>
        <v>0.1" 2x36-pin Strip Right-Angle Socket (Female) Header (5 pack)</v>
      </c>
      <c r="F461" s="50" t="str">
        <f>RawList!D430</f>
        <v>1543</v>
      </c>
      <c r="G461" s="137">
        <f>RawList!E430</f>
        <v>1</v>
      </c>
      <c r="H461" s="50" t="str">
        <f>IF(EquipmentTable[[#This Row],[Units]]&gt;0,"Quantity &gt; 0 Items","Quantity = 0 Items")</f>
        <v>Quantity &gt; 0 Items</v>
      </c>
      <c r="I461" s="141">
        <f>RawList!J430</f>
        <v>7.95</v>
      </c>
      <c r="J461" s="24">
        <f>VALUE(EquipmentTable[[#This Row],[Units]]*EquipmentTable[[#This Row],[Unit
 Price]])</f>
        <v>7.95</v>
      </c>
      <c r="K461" s="50">
        <f>RawList!G430</f>
        <v>0</v>
      </c>
      <c r="L461" s="50"/>
      <c r="M461" s="50">
        <f>RawList!F430</f>
        <v>0</v>
      </c>
    </row>
    <row r="462" spans="2:13" x14ac:dyDescent="0.3">
      <c r="B462" s="50" t="str">
        <f>RawList!A431</f>
        <v>Low-Level Electronics</v>
      </c>
      <c r="C462" s="50" t="str">
        <f>RawList!B431</f>
        <v>Headers, Female</v>
      </c>
      <c r="D462" s="50" t="str">
        <f>RawList!C431</f>
        <v>Adafruit</v>
      </c>
      <c r="E462" s="50" t="str">
        <f>RawList!H431</f>
        <v xml:space="preserve">2x40 Right Angle Edge Connector for micro:bit </v>
      </c>
      <c r="F462" s="50" t="str">
        <f>RawList!D431</f>
        <v>3342</v>
      </c>
      <c r="G462" s="137">
        <f>RawList!E431</f>
        <v>0</v>
      </c>
      <c r="H462" s="50" t="str">
        <f>IF(EquipmentTable[[#This Row],[Units]]&gt;0,"Quantity &gt; 0 Items","Quantity = 0 Items")</f>
        <v>Quantity = 0 Items</v>
      </c>
      <c r="I462" s="141">
        <f>RawList!J431</f>
        <v>0</v>
      </c>
      <c r="J462" s="24">
        <f>VALUE(EquipmentTable[[#This Row],[Units]]*EquipmentTable[[#This Row],[Unit
 Price]])</f>
        <v>0</v>
      </c>
      <c r="K462" s="50">
        <f>RawList!G431</f>
        <v>0</v>
      </c>
      <c r="L462" s="50"/>
      <c r="M462" s="50">
        <f>RawList!F431</f>
        <v>0</v>
      </c>
    </row>
    <row r="463" spans="2:13" x14ac:dyDescent="0.3">
      <c r="B463" s="50" t="str">
        <f>RawList!A432</f>
        <v>Low-Level Electronics</v>
      </c>
      <c r="C463" s="50" t="str">
        <f>RawList!B432</f>
        <v>Headers, Female</v>
      </c>
      <c r="D463" s="50" t="str">
        <f>RawList!C432</f>
        <v>SparkFun</v>
      </c>
      <c r="E463" s="50" t="str">
        <f>RawList!H432</f>
        <v>Header - 2x3 (Female, 0.1\")</v>
      </c>
      <c r="F463" s="50" t="str">
        <f>RawList!D432</f>
        <v>PRT-13010</v>
      </c>
      <c r="G463" s="137">
        <f>RawList!E432</f>
        <v>0</v>
      </c>
      <c r="H463" s="50" t="str">
        <f>IF(EquipmentTable[[#This Row],[Units]]&gt;0,"Quantity &gt; 0 Items","Quantity = 0 Items")</f>
        <v>Quantity = 0 Items</v>
      </c>
      <c r="I463" s="141">
        <f>RawList!J432</f>
        <v>0.5</v>
      </c>
      <c r="J463" s="24">
        <f>VALUE(EquipmentTable[[#This Row],[Units]]*EquipmentTable[[#This Row],[Unit
 Price]])</f>
        <v>0</v>
      </c>
      <c r="K463" s="50" t="str">
        <f>RawList!G432</f>
        <v>https://cdn.sparkfun.com/r/92-92/assets/parts/8/1/2/1/13010-01a.jpg</v>
      </c>
      <c r="L463" s="50"/>
      <c r="M463" s="50" t="str">
        <f>RawList!F432</f>
        <v>https://www.sparkfun.com/products/13010</v>
      </c>
    </row>
    <row r="464" spans="2:13" x14ac:dyDescent="0.3">
      <c r="B464" s="50" t="str">
        <f>RawList!A433</f>
        <v>Low-Level Electronics</v>
      </c>
      <c r="C464" s="50" t="str">
        <f>RawList!B433</f>
        <v>Headers, Female</v>
      </c>
      <c r="D464" s="50" t="str">
        <f>RawList!C433</f>
        <v>SparkFun</v>
      </c>
      <c r="E464" s="50" t="str">
        <f>RawList!H433</f>
        <v>2x3 Pin Shrouded Header</v>
      </c>
      <c r="F464" s="50" t="str">
        <f>RawList!D433</f>
        <v>PRT-10877</v>
      </c>
      <c r="G464" s="137">
        <f>RawList!E433</f>
        <v>5</v>
      </c>
      <c r="H464" s="50" t="str">
        <f>IF(EquipmentTable[[#This Row],[Units]]&gt;0,"Quantity &gt; 0 Items","Quantity = 0 Items")</f>
        <v>Quantity &gt; 0 Items</v>
      </c>
      <c r="I464" s="141">
        <f>RawList!J433</f>
        <v>1.5</v>
      </c>
      <c r="J464" s="24">
        <f>VALUE(EquipmentTable[[#This Row],[Units]]*EquipmentTable[[#This Row],[Unit
 Price]])</f>
        <v>7.5</v>
      </c>
      <c r="K464" s="50" t="str">
        <f>RawList!G433</f>
        <v>https://cdn.sparkfun.com/r/92-92/assets/parts/5/9/3/3/10877-01b.jpg</v>
      </c>
      <c r="L464" s="50"/>
      <c r="M464" s="50" t="str">
        <f>RawList!F433</f>
        <v>https://www.sparkfun.com/products/10877</v>
      </c>
    </row>
    <row r="465" spans="2:13" x14ac:dyDescent="0.3">
      <c r="B465" s="50" t="str">
        <f>RawList!A434</f>
        <v>Low-Level Electronics</v>
      </c>
      <c r="C465" s="50" t="str">
        <f>RawList!B434</f>
        <v>Headers, Female</v>
      </c>
      <c r="D465" s="50" t="str">
        <f>RawList!C434</f>
        <v>SparkFun</v>
      </c>
      <c r="E465" s="50" t="str">
        <f>RawList!H434</f>
        <v>2x5 Pin Shrouded Header</v>
      </c>
      <c r="F465" s="50" t="str">
        <f>RawList!D434</f>
        <v>PRT-08506</v>
      </c>
      <c r="G465" s="137">
        <f>RawList!E434</f>
        <v>5</v>
      </c>
      <c r="H465" s="50" t="str">
        <f>IF(EquipmentTable[[#This Row],[Units]]&gt;0,"Quantity &gt; 0 Items","Quantity = 0 Items")</f>
        <v>Quantity &gt; 0 Items</v>
      </c>
      <c r="I465" s="141">
        <f>RawList!J434</f>
        <v>1.5</v>
      </c>
      <c r="J465" s="24">
        <f>VALUE(EquipmentTable[[#This Row],[Units]]*EquipmentTable[[#This Row],[Unit
 Price]])</f>
        <v>7.5</v>
      </c>
      <c r="K465" s="50" t="str">
        <f>RawList!G434</f>
        <v>https://cdn.sparkfun.com/r/92-92/assets/parts/1/1/7/4/08506-02.jpg</v>
      </c>
      <c r="L465" s="50"/>
      <c r="M465" s="50" t="str">
        <f>RawList!F434</f>
        <v>https://www.sparkfun.com/products/8506</v>
      </c>
    </row>
    <row r="466" spans="2:13" x14ac:dyDescent="0.3">
      <c r="B466" s="50" t="str">
        <f>RawList!A435</f>
        <v>Low-Level Electronics</v>
      </c>
      <c r="C466" s="50" t="str">
        <f>RawList!B435</f>
        <v>Headers, Female</v>
      </c>
      <c r="D466" s="50" t="str">
        <f>RawList!C435</f>
        <v>Adafruit</v>
      </c>
      <c r="E466" s="50" t="str">
        <f>RawList!H435</f>
        <v>Adafruit 6-pin AVR ISP Breadboard Adapter Mini Kit</v>
      </c>
      <c r="F466" s="50" t="str">
        <f>RawList!D435</f>
        <v>1465</v>
      </c>
      <c r="G466" s="137">
        <f>RawList!E435</f>
        <v>0</v>
      </c>
      <c r="H466" s="50" t="str">
        <f>IF(EquipmentTable[[#This Row],[Units]]&gt;0,"Quantity &gt; 0 Items","Quantity = 0 Items")</f>
        <v>Quantity = 0 Items</v>
      </c>
      <c r="I466" s="141">
        <f>RawList!J435</f>
        <v>0.95</v>
      </c>
      <c r="J466" s="24">
        <f>VALUE(EquipmentTable[[#This Row],[Units]]*EquipmentTable[[#This Row],[Unit
 Price]])</f>
        <v>0</v>
      </c>
      <c r="K466" s="50">
        <f>RawList!G435</f>
        <v>0</v>
      </c>
      <c r="L466" s="50"/>
      <c r="M466" s="50">
        <f>RawList!F435</f>
        <v>0</v>
      </c>
    </row>
    <row r="467" spans="2:13" x14ac:dyDescent="0.3">
      <c r="B467" s="50" t="str">
        <f>RawList!A436</f>
        <v>Low-Level Electronics</v>
      </c>
      <c r="C467" s="50" t="str">
        <f>RawList!B436</f>
        <v>Headers, Female</v>
      </c>
      <c r="D467" s="50" t="str">
        <f>RawList!C436</f>
        <v>SparkFun</v>
      </c>
      <c r="E467" s="50" t="str">
        <f>RawList!H436</f>
        <v>2mm 10pin XBee Socket</v>
      </c>
      <c r="F467" s="50" t="str">
        <f>RawList!D436</f>
        <v>PRT-08272</v>
      </c>
      <c r="G467" s="137">
        <f>RawList!E436</f>
        <v>0</v>
      </c>
      <c r="H467" s="50" t="str">
        <f>IF(EquipmentTable[[#This Row],[Units]]&gt;0,"Quantity &gt; 0 Items","Quantity = 0 Items")</f>
        <v>Quantity = 0 Items</v>
      </c>
      <c r="I467" s="141">
        <f>RawList!J436</f>
        <v>1</v>
      </c>
      <c r="J467" s="24">
        <f>VALUE(EquipmentTable[[#This Row],[Units]]*EquipmentTable[[#This Row],[Unit
 Price]])</f>
        <v>0</v>
      </c>
      <c r="K467" s="50" t="str">
        <f>RawList!G436</f>
        <v>https://cdn.sparkfun.com/r/92-92/assets/parts/1/8/8/1/2mmSocket-01-L.jpg</v>
      </c>
      <c r="L467" s="50"/>
      <c r="M467" s="50" t="str">
        <f>RawList!F436</f>
        <v>https://www.sparkfun.com/products/8272</v>
      </c>
    </row>
    <row r="468" spans="2:13" x14ac:dyDescent="0.3">
      <c r="B468" s="50" t="str">
        <f>RawList!A437</f>
        <v>Low-Level Electronics</v>
      </c>
      <c r="C468" s="50" t="str">
        <f>RawList!B437</f>
        <v>Headers, Female</v>
      </c>
      <c r="D468" s="50" t="str">
        <f>RawList!C437</f>
        <v>Adafruit</v>
      </c>
      <c r="E468" s="50" t="str">
        <f>RawList!H437</f>
        <v>2mm 10 pin Socket Headers (for XBee) - Pack of 2</v>
      </c>
      <c r="F468" s="50" t="str">
        <f>RawList!D437</f>
        <v>366</v>
      </c>
      <c r="G468" s="137">
        <f>RawList!E437</f>
        <v>2</v>
      </c>
      <c r="H468" s="50" t="str">
        <f>IF(EquipmentTable[[#This Row],[Units]]&gt;0,"Quantity &gt; 0 Items","Quantity = 0 Items")</f>
        <v>Quantity &gt; 0 Items</v>
      </c>
      <c r="I468" s="141">
        <f>RawList!J437</f>
        <v>0.95</v>
      </c>
      <c r="J468" s="24">
        <f>VALUE(EquipmentTable[[#This Row],[Units]]*EquipmentTable[[#This Row],[Unit
 Price]])</f>
        <v>1.9</v>
      </c>
      <c r="K468" s="50">
        <f>RawList!G437</f>
        <v>0</v>
      </c>
      <c r="L468" s="50"/>
      <c r="M468" s="50">
        <f>RawList!F437</f>
        <v>0</v>
      </c>
    </row>
    <row r="469" spans="2:13" x14ac:dyDescent="0.3">
      <c r="B469" s="50" t="str">
        <f>RawList!A438</f>
        <v>Low-Level Electronics</v>
      </c>
      <c r="C469" s="50" t="str">
        <f>RawList!B438</f>
        <v>Headers, Female</v>
      </c>
      <c r="D469" s="50" t="str">
        <f>RawList!C438</f>
        <v>Adafruit</v>
      </c>
      <c r="E469" s="50" t="str">
        <f>RawList!H438</f>
        <v>2mm Pitch 25-Pin Female Socket Headers - Pack of 5</v>
      </c>
      <c r="F469" s="50" t="str">
        <f>RawList!D438</f>
        <v>2672</v>
      </c>
      <c r="G469" s="137">
        <f>RawList!E438</f>
        <v>1</v>
      </c>
      <c r="H469" s="50" t="str">
        <f>IF(EquipmentTable[[#This Row],[Units]]&gt;0,"Quantity &gt; 0 Items","Quantity = 0 Items")</f>
        <v>Quantity &gt; 0 Items</v>
      </c>
      <c r="I469" s="141">
        <f>RawList!J438</f>
        <v>3.95</v>
      </c>
      <c r="J469" s="24">
        <f>VALUE(EquipmentTable[[#This Row],[Units]]*EquipmentTable[[#This Row],[Unit
 Price]])</f>
        <v>3.95</v>
      </c>
      <c r="K469" s="50">
        <f>RawList!G438</f>
        <v>0</v>
      </c>
      <c r="L469" s="50"/>
      <c r="M469" s="50">
        <f>RawList!F438</f>
        <v>0</v>
      </c>
    </row>
    <row r="470" spans="2:13" x14ac:dyDescent="0.3">
      <c r="B470" s="50" t="str">
        <f>RawList!A439</f>
        <v>Low-Level Electronics</v>
      </c>
      <c r="C470" s="50" t="str">
        <f>RawList!B439</f>
        <v>Flip-Pins</v>
      </c>
      <c r="D470" s="50" t="str">
        <f>RawList!C439</f>
        <v>SparkFun</v>
      </c>
      <c r="E470" s="50" t="str">
        <f>RawList!H439</f>
        <v>Flip-Pin (20-pins)</v>
      </c>
      <c r="F470" s="50" t="str">
        <f>RawList!D439</f>
        <v>COM-14087</v>
      </c>
      <c r="G470" s="137">
        <f>RawList!E439</f>
        <v>15</v>
      </c>
      <c r="H470" s="50" t="str">
        <f>IF(EquipmentTable[[#This Row],[Units]]&gt;0,"Quantity &gt; 0 Items","Quantity = 0 Items")</f>
        <v>Quantity &gt; 0 Items</v>
      </c>
      <c r="I470" s="141">
        <f>RawList!J439</f>
        <v>1.95</v>
      </c>
      <c r="J470" s="24">
        <f>VALUE(EquipmentTable[[#This Row],[Units]]*EquipmentTable[[#This Row],[Unit
 Price]])</f>
        <v>29.25</v>
      </c>
      <c r="K470" s="50" t="str">
        <f>RawList!G439</f>
        <v>https://cdn.sparkfun.com/r/92-92/assets/parts/1/1/9/5/2/14087-03.jpg</v>
      </c>
      <c r="L470" s="50"/>
      <c r="M470" s="50" t="str">
        <f>RawList!F439</f>
        <v>https://www.sparkfun.com/products/14087</v>
      </c>
    </row>
    <row r="471" spans="2:13" x14ac:dyDescent="0.3">
      <c r="B471" s="50" t="str">
        <f>RawList!A440</f>
        <v>Low-Level Electronics</v>
      </c>
      <c r="C471" s="50" t="str">
        <f>RawList!B440</f>
        <v>Flip-Pins</v>
      </c>
      <c r="D471" s="50" t="str">
        <f>RawList!C440</f>
        <v>SparkFun</v>
      </c>
      <c r="E471" s="50" t="str">
        <f>RawList!H440</f>
        <v>Flip-Pin (8-pins)</v>
      </c>
      <c r="F471" s="50" t="str">
        <f>RawList!D440</f>
        <v>COM-14085</v>
      </c>
      <c r="G471" s="137">
        <f>RawList!E440</f>
        <v>0</v>
      </c>
      <c r="H471" s="50" t="str">
        <f>IF(EquipmentTable[[#This Row],[Units]]&gt;0,"Quantity &gt; 0 Items","Quantity = 0 Items")</f>
        <v>Quantity = 0 Items</v>
      </c>
      <c r="I471" s="141">
        <f>RawList!J440</f>
        <v>0.95</v>
      </c>
      <c r="J471" s="24">
        <f>VALUE(EquipmentTable[[#This Row],[Units]]*EquipmentTable[[#This Row],[Unit
 Price]])</f>
        <v>0</v>
      </c>
      <c r="K471" s="50" t="str">
        <f>RawList!G440</f>
        <v>https://cdn.sparkfun.com/r/92-92/assets/parts/1/1/9/5/0/14085-03.jpg</v>
      </c>
      <c r="L471" s="50"/>
      <c r="M471" s="50" t="str">
        <f>RawList!F440</f>
        <v>https://www.sparkfun.com/products/14085</v>
      </c>
    </row>
    <row r="472" spans="2:13" x14ac:dyDescent="0.3">
      <c r="B472" s="50" t="str">
        <f>RawList!A441</f>
        <v>Low-Level Electronics</v>
      </c>
      <c r="C472" s="50" t="str">
        <f>RawList!B441</f>
        <v>Jumper Wires, DIY</v>
      </c>
      <c r="D472" s="50" t="str">
        <f>RawList!C441</f>
        <v>Adafruit</v>
      </c>
      <c r="E472" s="50" t="str">
        <f>RawList!H441</f>
        <v>Small Single Row Wire Housing Pack for DIY Jumper Cables</v>
      </c>
      <c r="F472" s="50" t="str">
        <f>RawList!D441</f>
        <v>3145</v>
      </c>
      <c r="G472" s="137">
        <f>RawList!E441</f>
        <v>3</v>
      </c>
      <c r="H472" s="50" t="str">
        <f>IF(EquipmentTable[[#This Row],[Units]]&gt;0,"Quantity &gt; 0 Items","Quantity = 0 Items")</f>
        <v>Quantity &gt; 0 Items</v>
      </c>
      <c r="I472" s="141">
        <f>RawList!J441</f>
        <v>1.95</v>
      </c>
      <c r="J472" s="24">
        <f>VALUE(EquipmentTable[[#This Row],[Units]]*EquipmentTable[[#This Row],[Unit
 Price]])</f>
        <v>5.85</v>
      </c>
      <c r="K472" s="50">
        <f>RawList!G441</f>
        <v>0</v>
      </c>
      <c r="L472" s="50"/>
      <c r="M472" s="50">
        <f>RawList!F441</f>
        <v>0</v>
      </c>
    </row>
    <row r="473" spans="2:13" x14ac:dyDescent="0.3">
      <c r="B473" s="50" t="str">
        <f>RawList!A442</f>
        <v>Low-Level Electronics</v>
      </c>
      <c r="C473" s="50" t="str">
        <f>RawList!B442</f>
        <v>Jumper Wires, DIY</v>
      </c>
      <c r="D473" s="50" t="str">
        <f>RawList!C442</f>
        <v>Adafruit</v>
      </c>
      <c r="E473" s="50" t="str">
        <f>RawList!H442</f>
        <v>Large Dual Row Wire Housing Pack for DIY Jumper Cables</v>
      </c>
      <c r="F473" s="50" t="str">
        <f>RawList!D442</f>
        <v>3144</v>
      </c>
      <c r="G473" s="137">
        <f>RawList!E442</f>
        <v>1</v>
      </c>
      <c r="H473" s="50" t="str">
        <f>IF(EquipmentTable[[#This Row],[Units]]&gt;0,"Quantity &gt; 0 Items","Quantity = 0 Items")</f>
        <v>Quantity &gt; 0 Items</v>
      </c>
      <c r="I473" s="141">
        <f>RawList!J442</f>
        <v>3.95</v>
      </c>
      <c r="J473" s="24">
        <f>VALUE(EquipmentTable[[#This Row],[Units]]*EquipmentTable[[#This Row],[Unit
 Price]])</f>
        <v>3.95</v>
      </c>
      <c r="K473" s="50">
        <f>RawList!G442</f>
        <v>0</v>
      </c>
      <c r="L473" s="50"/>
      <c r="M473" s="50">
        <f>RawList!F442</f>
        <v>0</v>
      </c>
    </row>
    <row r="474" spans="2:13" x14ac:dyDescent="0.3">
      <c r="B474" s="50" t="str">
        <f>RawList!A443</f>
        <v>Low-Level Electronics</v>
      </c>
      <c r="C474" s="50" t="str">
        <f>RawList!B443</f>
        <v>Jumper Wires, DIY</v>
      </c>
      <c r="D474" s="50" t="str">
        <f>RawList!C443</f>
        <v>Adafruit</v>
      </c>
      <c r="E474" s="50" t="str">
        <f>RawList!H443</f>
        <v>Small Dual Row Wire Housing Pack for DIY Jumper Cables</v>
      </c>
      <c r="F474" s="50" t="str">
        <f>RawList!D443</f>
        <v>3143</v>
      </c>
      <c r="G474" s="137">
        <f>RawList!E443</f>
        <v>2</v>
      </c>
      <c r="H474" s="50" t="str">
        <f>IF(EquipmentTable[[#This Row],[Units]]&gt;0,"Quantity &gt; 0 Items","Quantity = 0 Items")</f>
        <v>Quantity &gt; 0 Items</v>
      </c>
      <c r="I474" s="141">
        <f>RawList!J443</f>
        <v>1.95</v>
      </c>
      <c r="J474" s="24">
        <f>VALUE(EquipmentTable[[#This Row],[Units]]*EquipmentTable[[#This Row],[Unit
 Price]])</f>
        <v>3.9</v>
      </c>
      <c r="K474" s="50">
        <f>RawList!G443</f>
        <v>0</v>
      </c>
      <c r="L474" s="50"/>
      <c r="M474" s="50">
        <f>RawList!F443</f>
        <v>0</v>
      </c>
    </row>
    <row r="475" spans="2:13" x14ac:dyDescent="0.3">
      <c r="B475" s="50" t="str">
        <f>RawList!A444</f>
        <v>Low-Level Electronics</v>
      </c>
      <c r="C475" s="50" t="str">
        <f>RawList!B444</f>
        <v>Jumper Wires, DIY</v>
      </c>
      <c r="D475" s="50" t="str">
        <f>RawList!C444</f>
        <v>Adafruit</v>
      </c>
      <c r="E475" s="50" t="str">
        <f>RawList!H444</f>
        <v>Large Single Row Housing Pack for DIY Jumper Cables</v>
      </c>
      <c r="F475" s="50" t="str">
        <f>RawList!D444</f>
        <v>3146</v>
      </c>
      <c r="G475" s="137">
        <f>RawList!E444</f>
        <v>1</v>
      </c>
      <c r="H475" s="50" t="str">
        <f>IF(EquipmentTable[[#This Row],[Units]]&gt;0,"Quantity &gt; 0 Items","Quantity = 0 Items")</f>
        <v>Quantity &gt; 0 Items</v>
      </c>
      <c r="I475" s="141">
        <f>RawList!J444</f>
        <v>2.95</v>
      </c>
      <c r="J475" s="24">
        <f>VALUE(EquipmentTable[[#This Row],[Units]]*EquipmentTable[[#This Row],[Unit
 Price]])</f>
        <v>2.95</v>
      </c>
      <c r="K475" s="50">
        <f>RawList!G444</f>
        <v>0</v>
      </c>
      <c r="L475" s="50"/>
      <c r="M475" s="50">
        <f>RawList!F444</f>
        <v>0</v>
      </c>
    </row>
    <row r="476" spans="2:13" x14ac:dyDescent="0.3">
      <c r="B476" s="50" t="str">
        <f>RawList!A445</f>
        <v>Low-Level Electronics</v>
      </c>
      <c r="C476" s="50" t="str">
        <f>RawList!B445</f>
        <v>Jumper Wires, DIY</v>
      </c>
      <c r="D476" s="50" t="str">
        <f>RawList!C445</f>
        <v>Adafruit</v>
      </c>
      <c r="E476" s="50" t="str">
        <f>RawList!H445</f>
        <v>Premium Female/Female Raw Custom Jumper Wires - 40 x 6" (150mm)</v>
      </c>
      <c r="F476" s="50" t="str">
        <f>RawList!D445</f>
        <v>3141</v>
      </c>
      <c r="G476" s="137">
        <f>RawList!E445</f>
        <v>5</v>
      </c>
      <c r="H476" s="50" t="str">
        <f>IF(EquipmentTable[[#This Row],[Units]]&gt;0,"Quantity &gt; 0 Items","Quantity = 0 Items")</f>
        <v>Quantity &gt; 0 Items</v>
      </c>
      <c r="I476" s="141">
        <f>RawList!J445</f>
        <v>2.95</v>
      </c>
      <c r="J476" s="24">
        <f>VALUE(EquipmentTable[[#This Row],[Units]]*EquipmentTable[[#This Row],[Unit
 Price]])</f>
        <v>14.75</v>
      </c>
      <c r="K476" s="50">
        <f>RawList!G445</f>
        <v>0</v>
      </c>
      <c r="L476" s="50"/>
      <c r="M476" s="50">
        <f>RawList!F445</f>
        <v>0</v>
      </c>
    </row>
    <row r="477" spans="2:13" x14ac:dyDescent="0.3">
      <c r="B477" s="50" t="str">
        <f>RawList!A446</f>
        <v>Low-Level Electronics</v>
      </c>
      <c r="C477" s="50" t="str">
        <f>RawList!B446</f>
        <v>Jumper Wires, DIY</v>
      </c>
      <c r="D477" s="50" t="str">
        <f>RawList!C446</f>
        <v>Adafruit</v>
      </c>
      <c r="E477" s="50" t="str">
        <f>RawList!H446</f>
        <v>Premium Male/Male Raw Jumper Wires - 40 x 6" (150mm)</v>
      </c>
      <c r="F477" s="50" t="str">
        <f>RawList!D446</f>
        <v>3142</v>
      </c>
      <c r="G477" s="137">
        <f>RawList!E446</f>
        <v>5</v>
      </c>
      <c r="H477" s="50" t="str">
        <f>IF(EquipmentTable[[#This Row],[Units]]&gt;0,"Quantity &gt; 0 Items","Quantity = 0 Items")</f>
        <v>Quantity &gt; 0 Items</v>
      </c>
      <c r="I477" s="141">
        <f>RawList!J446</f>
        <v>3.95</v>
      </c>
      <c r="J477" s="24">
        <f>VALUE(EquipmentTable[[#This Row],[Units]]*EquipmentTable[[#This Row],[Unit
 Price]])</f>
        <v>19.75</v>
      </c>
      <c r="K477" s="50">
        <f>RawList!G446</f>
        <v>0</v>
      </c>
      <c r="L477" s="50"/>
      <c r="M477" s="50">
        <f>RawList!F446</f>
        <v>0</v>
      </c>
    </row>
    <row r="478" spans="2:13" x14ac:dyDescent="0.3">
      <c r="B478" s="50" t="str">
        <f>RawList!A447</f>
        <v>Low-Level Electronics</v>
      </c>
      <c r="C478" s="50" t="str">
        <f>RawList!B447</f>
        <v>Jumper Wires, JST-PH</v>
      </c>
      <c r="D478" s="50" t="str">
        <f>RawList!C447</f>
        <v>SparkFun</v>
      </c>
      <c r="E478" s="50" t="str">
        <f>RawList!H447</f>
        <v>Jumper Wire - JST Black Blue</v>
      </c>
      <c r="F478" s="50" t="str">
        <f>RawList!D447</f>
        <v>PRT-08671</v>
      </c>
      <c r="G478" s="137">
        <f>RawList!E447</f>
        <v>0</v>
      </c>
      <c r="H478" s="50" t="str">
        <f>IF(EquipmentTable[[#This Row],[Units]]&gt;0,"Quantity &gt; 0 Items","Quantity = 0 Items")</f>
        <v>Quantity = 0 Items</v>
      </c>
      <c r="I478" s="141">
        <f>RawList!J447</f>
        <v>0.95</v>
      </c>
      <c r="J478" s="24">
        <f>VALUE(EquipmentTable[[#This Row],[Units]]*EquipmentTable[[#This Row],[Unit
 Price]])</f>
        <v>0</v>
      </c>
      <c r="K478" s="50" t="str">
        <f>RawList!G447</f>
        <v>https://cdn.sparkfun.com/r/92-92/assets/parts/1/8/2/7/08671-03-L.jpg</v>
      </c>
      <c r="L478" s="50"/>
      <c r="M478" s="50" t="str">
        <f>RawList!F447</f>
        <v>https://www.sparkfun.com/products/8671</v>
      </c>
    </row>
    <row r="479" spans="2:13" x14ac:dyDescent="0.3">
      <c r="B479" s="50" t="str">
        <f>RawList!A448</f>
        <v>Low-Level Electronics</v>
      </c>
      <c r="C479" s="50" t="str">
        <f>RawList!B448</f>
        <v>Jumper Wires, JST-PH</v>
      </c>
      <c r="D479" s="50" t="str">
        <f>RawList!C448</f>
        <v>SparkFun</v>
      </c>
      <c r="E479" s="50" t="str">
        <f>RawList!H448</f>
        <v>Jumper Wire - JST Black Red</v>
      </c>
      <c r="F479" s="50" t="str">
        <f>RawList!D448</f>
        <v>PRT-08670</v>
      </c>
      <c r="G479" s="137">
        <f>RawList!E448</f>
        <v>0</v>
      </c>
      <c r="H479" s="50" t="str">
        <f>IF(EquipmentTable[[#This Row],[Units]]&gt;0,"Quantity &gt; 0 Items","Quantity = 0 Items")</f>
        <v>Quantity = 0 Items</v>
      </c>
      <c r="I479" s="141">
        <f>RawList!J448</f>
        <v>0.95</v>
      </c>
      <c r="J479" s="24">
        <f>VALUE(EquipmentTable[[#This Row],[Units]]*EquipmentTable[[#This Row],[Unit
 Price]])</f>
        <v>0</v>
      </c>
      <c r="K479" s="50" t="str">
        <f>RawList!G448</f>
        <v>https://cdn.sparkfun.com/r/92-92/assets/parts/1/8/2/6/08670-03-L.jpg</v>
      </c>
      <c r="L479" s="50"/>
      <c r="M479" s="50" t="str">
        <f>RawList!F448</f>
        <v>https://www.sparkfun.com/products/8670</v>
      </c>
    </row>
    <row r="480" spans="2:13" x14ac:dyDescent="0.3">
      <c r="B480" s="50" t="str">
        <f>RawList!A449</f>
        <v>Low-Level Electronics</v>
      </c>
      <c r="C480" s="50" t="str">
        <f>RawList!B449</f>
        <v>Jumper Wires, JST-PH</v>
      </c>
      <c r="D480" s="50" t="str">
        <f>RawList!C449</f>
        <v>SparkFun</v>
      </c>
      <c r="E480" s="50" t="str">
        <f>RawList!H449</f>
        <v>JST Jumper 2 Wire Assembly</v>
      </c>
      <c r="F480" s="50" t="str">
        <f>RawList!D449</f>
        <v>PRT-09914</v>
      </c>
      <c r="G480" s="137">
        <f>RawList!E449</f>
        <v>10</v>
      </c>
      <c r="H480" s="50" t="str">
        <f>IF(EquipmentTable[[#This Row],[Units]]&gt;0,"Quantity &gt; 0 Items","Quantity = 0 Items")</f>
        <v>Quantity &gt; 0 Items</v>
      </c>
      <c r="I480" s="141">
        <f>RawList!J449</f>
        <v>0.95</v>
      </c>
      <c r="J480" s="24">
        <f>VALUE(EquipmentTable[[#This Row],[Units]]*EquipmentTable[[#This Row],[Unit
 Price]])</f>
        <v>9.5</v>
      </c>
      <c r="K480" s="50" t="str">
        <f>RawList!G449</f>
        <v>https://cdn.sparkfun.com/r/92-92/assets/parts/4/0/2/0/09914-02b.jpg</v>
      </c>
      <c r="L480" s="50"/>
      <c r="M480" s="50" t="str">
        <f>RawList!F449</f>
        <v>https://www.sparkfun.com/products/9914</v>
      </c>
    </row>
    <row r="481" spans="2:13" x14ac:dyDescent="0.3">
      <c r="B481" s="50" t="str">
        <f>RawList!A450</f>
        <v>Low-Level Electronics</v>
      </c>
      <c r="C481" s="50" t="str">
        <f>RawList!B450</f>
        <v>Jumper Wires, JST-PH</v>
      </c>
      <c r="D481" s="50" t="str">
        <f>RawList!C450</f>
        <v>SparkFun</v>
      </c>
      <c r="E481" s="50" t="str">
        <f>RawList!H450</f>
        <v>JST Jumper 3 Wire Assembly</v>
      </c>
      <c r="F481" s="50" t="str">
        <f>RawList!D450</f>
        <v>PRT-09915</v>
      </c>
      <c r="G481" s="137">
        <f>RawList!E450</f>
        <v>5</v>
      </c>
      <c r="H481" s="50" t="str">
        <f>IF(EquipmentTable[[#This Row],[Units]]&gt;0,"Quantity &gt; 0 Items","Quantity = 0 Items")</f>
        <v>Quantity &gt; 0 Items</v>
      </c>
      <c r="I481" s="141">
        <f>RawList!J450</f>
        <v>1.5</v>
      </c>
      <c r="J481" s="24">
        <f>VALUE(EquipmentTable[[#This Row],[Units]]*EquipmentTable[[#This Row],[Unit
 Price]])</f>
        <v>7.5</v>
      </c>
      <c r="K481" s="50" t="str">
        <f>RawList!G450</f>
        <v>https://cdn.sparkfun.com/r/92-92/assets/parts/4/0/2/1/09915-02b.jpg</v>
      </c>
      <c r="L481" s="50"/>
      <c r="M481" s="50" t="str">
        <f>RawList!F450</f>
        <v>https://www.sparkfun.com/products/9915</v>
      </c>
    </row>
    <row r="482" spans="2:13" x14ac:dyDescent="0.3">
      <c r="B482" s="50" t="str">
        <f>RawList!A451</f>
        <v>Low-Level Electronics</v>
      </c>
      <c r="C482" s="50" t="str">
        <f>RawList!B451</f>
        <v>Jumper Wires, JST-PH</v>
      </c>
      <c r="D482" s="50" t="str">
        <f>RawList!C451</f>
        <v>SparkFun</v>
      </c>
      <c r="E482" s="50" t="str">
        <f>RawList!H451</f>
        <v>JST Jumper 4 Wire Assembly</v>
      </c>
      <c r="F482" s="50" t="str">
        <f>RawList!D451</f>
        <v>PRT-09916</v>
      </c>
      <c r="G482" s="137">
        <f>RawList!E451</f>
        <v>10</v>
      </c>
      <c r="H482" s="50" t="str">
        <f>IF(EquipmentTable[[#This Row],[Units]]&gt;0,"Quantity &gt; 0 Items","Quantity = 0 Items")</f>
        <v>Quantity &gt; 0 Items</v>
      </c>
      <c r="I482" s="141">
        <f>RawList!J451</f>
        <v>1.5</v>
      </c>
      <c r="J482" s="24">
        <f>VALUE(EquipmentTable[[#This Row],[Units]]*EquipmentTable[[#This Row],[Unit
 Price]])</f>
        <v>15</v>
      </c>
      <c r="K482" s="50" t="str">
        <f>RawList!G451</f>
        <v>https://cdn.sparkfun.com/r/92-92/assets/parts/4/0/2/2/09916-02b.jpg</v>
      </c>
      <c r="L482" s="50"/>
      <c r="M482" s="50" t="str">
        <f>RawList!F451</f>
        <v>https://www.sparkfun.com/products/9916</v>
      </c>
    </row>
    <row r="483" spans="2:13" x14ac:dyDescent="0.3">
      <c r="B483" s="50" t="str">
        <f>RawList!A452</f>
        <v>Low-Level Electronics</v>
      </c>
      <c r="C483" s="50" t="str">
        <f>RawList!B452</f>
        <v>Jumper Wires, JST-PH</v>
      </c>
      <c r="D483" s="50" t="str">
        <f>RawList!C452</f>
        <v>Adafruit</v>
      </c>
      <c r="E483" s="50" t="str">
        <f>RawList!H452</f>
        <v xml:space="preserve">JST 2-pin Extension Cable with On/Off Switch - JST PH2 </v>
      </c>
      <c r="F483" s="50" t="str">
        <f>RawList!D452</f>
        <v>3064</v>
      </c>
      <c r="G483" s="137">
        <f>RawList!E452</f>
        <v>5</v>
      </c>
      <c r="H483" s="50" t="str">
        <f>IF(EquipmentTable[[#This Row],[Units]]&gt;0,"Quantity &gt; 0 Items","Quantity = 0 Items")</f>
        <v>Quantity &gt; 0 Items</v>
      </c>
      <c r="I483" s="141">
        <f>RawList!J452</f>
        <v>2.95</v>
      </c>
      <c r="J483" s="24">
        <f>VALUE(EquipmentTable[[#This Row],[Units]]*EquipmentTable[[#This Row],[Unit
 Price]])</f>
        <v>14.75</v>
      </c>
      <c r="K483" s="50">
        <f>RawList!G452</f>
        <v>0</v>
      </c>
      <c r="L483" s="50"/>
      <c r="M483" s="50">
        <f>RawList!F452</f>
        <v>0</v>
      </c>
    </row>
    <row r="484" spans="2:13" x14ac:dyDescent="0.3">
      <c r="B484" s="50" t="str">
        <f>RawList!A453</f>
        <v>Low-Level Electronics</v>
      </c>
      <c r="C484" s="50" t="str">
        <f>RawList!B453</f>
        <v>Jumper Wires, JST-PH</v>
      </c>
      <c r="D484" s="50" t="str">
        <f>RawList!C453</f>
        <v>Adafruit</v>
      </c>
      <c r="E484" s="50" t="str">
        <f>RawList!H453</f>
        <v>STEMMA Cable - 150mm/6" Long 4 Pin JST-PH Cable–Female/Female</v>
      </c>
      <c r="F484" s="50" t="str">
        <f>RawList!D453</f>
        <v>3568</v>
      </c>
      <c r="G484" s="137">
        <f>RawList!E453</f>
        <v>0</v>
      </c>
      <c r="H484" s="50" t="str">
        <f>IF(EquipmentTable[[#This Row],[Units]]&gt;0,"Quantity &gt; 0 Items","Quantity = 0 Items")</f>
        <v>Quantity = 0 Items</v>
      </c>
      <c r="I484" s="141">
        <f>RawList!J453</f>
        <v>0.75</v>
      </c>
      <c r="J484" s="24">
        <f>VALUE(EquipmentTable[[#This Row],[Units]]*EquipmentTable[[#This Row],[Unit
 Price]])</f>
        <v>0</v>
      </c>
      <c r="K484" s="50">
        <f>RawList!G453</f>
        <v>0</v>
      </c>
      <c r="L484" s="50"/>
      <c r="M484" s="50">
        <f>RawList!F453</f>
        <v>0</v>
      </c>
    </row>
    <row r="485" spans="2:13" hidden="1" x14ac:dyDescent="0.3">
      <c r="B485" s="50" t="str">
        <f>RawList!A454</f>
        <v>Low-Level Electronics</v>
      </c>
      <c r="C485" s="50" t="str">
        <f>RawList!B454</f>
        <v>Jumper Wires, JST-SH</v>
      </c>
      <c r="D485" s="50" t="str">
        <f>RawList!C454</f>
        <v>SparkFun</v>
      </c>
      <c r="E485" s="50" t="str">
        <f>RawList!H454</f>
        <v>JST SH Jumper 4 Wire Assembly - 8\"</v>
      </c>
      <c r="F485" s="50" t="str">
        <f>RawList!D454</f>
        <v>PRT-10359</v>
      </c>
      <c r="G485" s="137">
        <f>RawList!E454</f>
        <v>5</v>
      </c>
      <c r="H485" s="50" t="str">
        <f>IF(EquipmentTable[[#This Row],[Units]]&gt;0,"Quantity &gt; 0 Items","Quantity = 0 Items")</f>
        <v>Quantity &gt; 0 Items</v>
      </c>
      <c r="I485" s="141">
        <f>RawList!J454</f>
        <v>1.5</v>
      </c>
      <c r="J485" s="24">
        <f>VALUE(EquipmentTable[[#This Row],[Units]]*EquipmentTable[[#This Row],[Unit
 Price]])</f>
        <v>7.5</v>
      </c>
      <c r="K485" s="50" t="str">
        <f>RawList!G454</f>
        <v>https://cdn.sparkfun.com/r/92-92/assets/parts/4/8/1/1/10359-01.jpg</v>
      </c>
      <c r="L485" s="50"/>
      <c r="M485" s="50" t="str">
        <f>RawList!F454</f>
        <v>https://www.sparkfun.com/products/10359</v>
      </c>
    </row>
    <row r="486" spans="2:13" hidden="1" x14ac:dyDescent="0.3">
      <c r="B486" s="50" t="str">
        <f>RawList!A455</f>
        <v>Low-Level Electronics</v>
      </c>
      <c r="C486" s="50" t="str">
        <f>RawList!B455</f>
        <v>Jumper Wires, JST-SH</v>
      </c>
      <c r="D486" s="50" t="str">
        <f>RawList!C455</f>
        <v>SparkFun</v>
      </c>
      <c r="E486" s="50" t="str">
        <f>RawList!H455</f>
        <v>JST SH Jumper 6 Wire  - 1.75\"</v>
      </c>
      <c r="F486" s="50" t="str">
        <f>RawList!D455</f>
        <v>GPS-00574</v>
      </c>
      <c r="G486" s="137">
        <f>RawList!E455</f>
        <v>0</v>
      </c>
      <c r="H486" s="50" t="str">
        <f>IF(EquipmentTable[[#This Row],[Units]]&gt;0,"Quantity &gt; 0 Items","Quantity = 0 Items")</f>
        <v>Quantity = 0 Items</v>
      </c>
      <c r="I486" s="141">
        <f>RawList!J455</f>
        <v>2.95</v>
      </c>
      <c r="J486" s="24">
        <f>VALUE(EquipmentTable[[#This Row],[Units]]*EquipmentTable[[#This Row],[Unit
 Price]])</f>
        <v>0</v>
      </c>
      <c r="K486" s="50" t="str">
        <f>RawList!G455</f>
        <v>https://cdn.sparkfun.com/r/92-92/assets/parts/3/9/3/GPS-Cable.jpg</v>
      </c>
      <c r="L486" s="50"/>
      <c r="M486" s="50" t="str">
        <f>RawList!F455</f>
        <v>https://www.sparkfun.com/products/574</v>
      </c>
    </row>
    <row r="487" spans="2:13" hidden="1" x14ac:dyDescent="0.3">
      <c r="B487" s="50" t="str">
        <f>RawList!A456</f>
        <v>Low-Level Electronics</v>
      </c>
      <c r="C487" s="50" t="str">
        <f>RawList!B456</f>
        <v>Jumper Wires, JST-SH</v>
      </c>
      <c r="D487" s="50" t="str">
        <f>RawList!C456</f>
        <v>SparkFun</v>
      </c>
      <c r="E487" s="50" t="str">
        <f>RawList!H456</f>
        <v>JST SH Jumper 6 Wire Assembly - 8\"</v>
      </c>
      <c r="F487" s="50" t="str">
        <f>RawList!D456</f>
        <v>PRT-10361</v>
      </c>
      <c r="G487" s="137">
        <f>RawList!E456</f>
        <v>0</v>
      </c>
      <c r="H487" s="50" t="str">
        <f>IF(EquipmentTable[[#This Row],[Units]]&gt;0,"Quantity &gt; 0 Items","Quantity = 0 Items")</f>
        <v>Quantity = 0 Items</v>
      </c>
      <c r="I487" s="141">
        <f>RawList!J456</f>
        <v>1.5</v>
      </c>
      <c r="J487" s="24">
        <f>VALUE(EquipmentTable[[#This Row],[Units]]*EquipmentTable[[#This Row],[Unit
 Price]])</f>
        <v>0</v>
      </c>
      <c r="K487" s="50" t="str">
        <f>RawList!G456</f>
        <v>https://cdn.sparkfun.com/r/92-92/assets/parts/4/8/1/3/10361-01.jpg</v>
      </c>
      <c r="L487" s="50"/>
      <c r="M487" s="50" t="str">
        <f>RawList!F456</f>
        <v>https://www.sparkfun.com/products/10361</v>
      </c>
    </row>
    <row r="488" spans="2:13" hidden="1" x14ac:dyDescent="0.3">
      <c r="B488" s="50" t="str">
        <f>RawList!A457</f>
        <v>Low-Level Electronics</v>
      </c>
      <c r="C488" s="50" t="str">
        <f>RawList!B457</f>
        <v>Jumper Wires, JST-SH</v>
      </c>
      <c r="D488" s="50" t="str">
        <f>RawList!C457</f>
        <v>SparkFun</v>
      </c>
      <c r="E488" s="50" t="str">
        <f>RawList!H457</f>
        <v>JST SH Jumper 6 Wire  - 1 Foot</v>
      </c>
      <c r="F488" s="50" t="str">
        <f>RawList!D457</f>
        <v>GPS-09123</v>
      </c>
      <c r="G488" s="137">
        <f>RawList!E457</f>
        <v>0</v>
      </c>
      <c r="H488" s="50" t="str">
        <f>IF(EquipmentTable[[#This Row],[Units]]&gt;0,"Quantity &gt; 0 Items","Quantity = 0 Items")</f>
        <v>Quantity = 0 Items</v>
      </c>
      <c r="I488" s="141">
        <f>RawList!J457</f>
        <v>2.95</v>
      </c>
      <c r="J488" s="24">
        <f>VALUE(EquipmentTable[[#This Row],[Units]]*EquipmentTable[[#This Row],[Unit
 Price]])</f>
        <v>0</v>
      </c>
      <c r="K488" s="50" t="str">
        <f>RawList!G457</f>
        <v>https://cdn.sparkfun.com/r/92-92/assets/parts/2/5/3/7/09123-03-L.jpg</v>
      </c>
      <c r="L488" s="50"/>
      <c r="M488" s="50" t="str">
        <f>RawList!F457</f>
        <v>https://www.sparkfun.com/products/9123</v>
      </c>
    </row>
    <row r="489" spans="2:13" hidden="1" x14ac:dyDescent="0.3">
      <c r="B489" s="50" t="str">
        <f>RawList!A458</f>
        <v>Low-Level Electronics</v>
      </c>
      <c r="C489" s="50" t="str">
        <f>RawList!B458</f>
        <v>Jumper Wires, JST-SH</v>
      </c>
      <c r="D489" s="50" t="str">
        <f>RawList!C458</f>
        <v>SparkFun</v>
      </c>
      <c r="E489" s="50" t="str">
        <f>RawList!H458</f>
        <v>Mega Pro Mini Cable - 8\" (8-wire)</v>
      </c>
      <c r="F489" s="50" t="str">
        <f>RawList!D458</f>
        <v>PRT-10853</v>
      </c>
      <c r="G489" s="137">
        <f>RawList!E458</f>
        <v>0</v>
      </c>
      <c r="H489" s="50" t="str">
        <f>IF(EquipmentTable[[#This Row],[Units]]&gt;0,"Quantity &gt; 0 Items","Quantity = 0 Items")</f>
        <v>Quantity = 0 Items</v>
      </c>
      <c r="I489" s="141">
        <f>RawList!J458</f>
        <v>0.95</v>
      </c>
      <c r="J489" s="24">
        <f>VALUE(EquipmentTable[[#This Row],[Units]]*EquipmentTable[[#This Row],[Unit
 Price]])</f>
        <v>0</v>
      </c>
      <c r="K489" s="50" t="str">
        <f>RawList!G458</f>
        <v>https://cdn.sparkfun.com/r/92-92/assets/parts/5/8/6/5/10853-01b.jpg</v>
      </c>
      <c r="L489" s="50"/>
      <c r="M489" s="50" t="str">
        <f>RawList!F458</f>
        <v>https://www.sparkfun.com/products/10853</v>
      </c>
    </row>
    <row r="490" spans="2:13" hidden="1" x14ac:dyDescent="0.3">
      <c r="B490" s="50" t="str">
        <f>RawList!A459</f>
        <v>Low-Level Electronics</v>
      </c>
      <c r="C490" s="50" t="str">
        <f>RawList!B459</f>
        <v>Jumper Wires, JST-SM</v>
      </c>
      <c r="D490" s="50" t="str">
        <f>RawList!C459</f>
        <v>Adafruit</v>
      </c>
      <c r="E490" s="50" t="str">
        <f>RawList!H459</f>
        <v xml:space="preserve">4-pin JST SM Plug + Receptacle Cable Set </v>
      </c>
      <c r="F490" s="50" t="str">
        <f>RawList!D459</f>
        <v>578</v>
      </c>
      <c r="G490" s="137">
        <f>RawList!E459</f>
        <v>0</v>
      </c>
      <c r="H490" s="50" t="str">
        <f>IF(EquipmentTable[[#This Row],[Units]]&gt;0,"Quantity &gt; 0 Items","Quantity = 0 Items")</f>
        <v>Quantity = 0 Items</v>
      </c>
      <c r="I490" s="141">
        <f>RawList!J459</f>
        <v>1.5</v>
      </c>
      <c r="J490" s="24">
        <f>VALUE(EquipmentTable[[#This Row],[Units]]*EquipmentTable[[#This Row],[Unit
 Price]])</f>
        <v>0</v>
      </c>
      <c r="K490" s="50">
        <f>RawList!G459</f>
        <v>0</v>
      </c>
      <c r="L490" s="50"/>
      <c r="M490" s="50">
        <f>RawList!F459</f>
        <v>0</v>
      </c>
    </row>
    <row r="491" spans="2:13" x14ac:dyDescent="0.3">
      <c r="B491" s="50" t="str">
        <f>RawList!A460</f>
        <v>Low-Level Electronics</v>
      </c>
      <c r="C491" s="50" t="str">
        <f>RawList!B460</f>
        <v>Jumper Wires, Mixed</v>
      </c>
      <c r="D491" s="50" t="str">
        <f>RawList!C460</f>
        <v>SparkFun</v>
      </c>
      <c r="E491" s="50" t="str">
        <f>RawList!H460</f>
        <v>JST to Breadboard Jumper (3-pin)</v>
      </c>
      <c r="F491" s="50" t="str">
        <f>RawList!D460</f>
        <v>CAB-13685</v>
      </c>
      <c r="G491" s="137">
        <f>RawList!E460</f>
        <v>6</v>
      </c>
      <c r="H491" s="50" t="str">
        <f>IF(EquipmentTable[[#This Row],[Units]]&gt;0,"Quantity &gt; 0 Items","Quantity = 0 Items")</f>
        <v>Quantity &gt; 0 Items</v>
      </c>
      <c r="I491" s="141">
        <f>RawList!J460</f>
        <v>1.5</v>
      </c>
      <c r="J491" s="24">
        <f>VALUE(EquipmentTable[[#This Row],[Units]]*EquipmentTable[[#This Row],[Unit
 Price]])</f>
        <v>9</v>
      </c>
      <c r="K491" s="50" t="str">
        <f>RawList!G460</f>
        <v>https://cdn.sparkfun.com/r/92-92/assets/parts/1/1/1/4/7/13685-01.jpg</v>
      </c>
      <c r="L491" s="50"/>
      <c r="M491" s="50" t="str">
        <f>RawList!F460</f>
        <v>https://www.sparkfun.com/products/13685</v>
      </c>
    </row>
    <row r="492" spans="2:13" x14ac:dyDescent="0.3">
      <c r="B492" s="50" t="str">
        <f>RawList!A461</f>
        <v>Low-Level Electronics</v>
      </c>
      <c r="C492" s="50" t="str">
        <f>RawList!B461</f>
        <v>Jumper Wires, Mixed</v>
      </c>
      <c r="D492" s="50" t="str">
        <f>RawList!C461</f>
        <v>SparkFun</v>
      </c>
      <c r="E492" s="50" t="str">
        <f>RawList!H461</f>
        <v>Jumper Wire - JST to Female Connector</v>
      </c>
      <c r="F492" s="50" t="str">
        <f>RawList!D461</f>
        <v>PRT-08599</v>
      </c>
      <c r="G492" s="137">
        <f>RawList!E461</f>
        <v>0</v>
      </c>
      <c r="H492" s="50" t="str">
        <f>IF(EquipmentTable[[#This Row],[Units]]&gt;0,"Quantity &gt; 0 Items","Quantity = 0 Items")</f>
        <v>Quantity = 0 Items</v>
      </c>
      <c r="I492" s="141">
        <f>RawList!J461</f>
        <v>1.5</v>
      </c>
      <c r="J492" s="24">
        <f>VALUE(EquipmentTable[[#This Row],[Units]]*EquipmentTable[[#This Row],[Unit
 Price]])</f>
        <v>0</v>
      </c>
      <c r="K492" s="50" t="str">
        <f>RawList!G461</f>
        <v>https://cdn.sparkfun.com/r/92-92/assets/parts/1/6/4/1/08599-03-L.jpg</v>
      </c>
      <c r="L492" s="50"/>
      <c r="M492" s="50" t="str">
        <f>RawList!F461</f>
        <v>https://www.sparkfun.com/products/8599</v>
      </c>
    </row>
    <row r="493" spans="2:13" x14ac:dyDescent="0.3">
      <c r="B493" s="50" t="str">
        <f>RawList!A462</f>
        <v>Low-Level Electronics</v>
      </c>
      <c r="C493" s="50" t="str">
        <f>RawList!B462</f>
        <v>Jumper Wires, Mixed</v>
      </c>
      <c r="D493" s="50" t="str">
        <f>RawList!C462</f>
        <v>SparkFun</v>
      </c>
      <c r="E493" s="50" t="str">
        <f>RawList!H462</f>
        <v>Jumper Wire - JST to Molex</v>
      </c>
      <c r="F493" s="50" t="str">
        <f>RawList!D462</f>
        <v>PRT-08598</v>
      </c>
      <c r="G493" s="137">
        <f>RawList!E462</f>
        <v>0</v>
      </c>
      <c r="H493" s="50" t="str">
        <f>IF(EquipmentTable[[#This Row],[Units]]&gt;0,"Quantity &gt; 0 Items","Quantity = 0 Items")</f>
        <v>Quantity = 0 Items</v>
      </c>
      <c r="I493" s="141">
        <f>RawList!J462</f>
        <v>1.5</v>
      </c>
      <c r="J493" s="24">
        <f>VALUE(EquipmentTable[[#This Row],[Units]]*EquipmentTable[[#This Row],[Unit
 Price]])</f>
        <v>0</v>
      </c>
      <c r="K493" s="50" t="str">
        <f>RawList!G462</f>
        <v>https://cdn.sparkfun.com/r/92-92/assets/parts/1/6/3/9/08598-03-L.jpg</v>
      </c>
      <c r="L493" s="50"/>
      <c r="M493" s="50" t="str">
        <f>RawList!F462</f>
        <v>https://www.sparkfun.com/products/8598</v>
      </c>
    </row>
    <row r="494" spans="2:13" x14ac:dyDescent="0.3">
      <c r="B494" s="50" t="str">
        <f>RawList!A463</f>
        <v>Low-Level Electronics</v>
      </c>
      <c r="C494" s="50" t="str">
        <f>RawList!B463</f>
        <v>Jumper Wires, Mixed</v>
      </c>
      <c r="D494" s="50" t="str">
        <f>RawList!C463</f>
        <v>Adafruit</v>
      </c>
      <c r="E494" s="50" t="str">
        <f>RawList!H463</f>
        <v>4-pin AT/ATX/IDE power cable</v>
      </c>
      <c r="F494" s="50" t="str">
        <f>RawList!D463</f>
        <v>425</v>
      </c>
      <c r="G494" s="137">
        <f>RawList!E463</f>
        <v>0</v>
      </c>
      <c r="H494" s="50" t="str">
        <f>IF(EquipmentTable[[#This Row],[Units]]&gt;0,"Quantity &gt; 0 Items","Quantity = 0 Items")</f>
        <v>Quantity = 0 Items</v>
      </c>
      <c r="I494" s="141">
        <f>RawList!J463</f>
        <v>1.95</v>
      </c>
      <c r="J494" s="24">
        <f>VALUE(EquipmentTable[[#This Row],[Units]]*EquipmentTable[[#This Row],[Unit
 Price]])</f>
        <v>0</v>
      </c>
      <c r="K494" s="50">
        <f>RawList!G463</f>
        <v>0</v>
      </c>
      <c r="L494" s="50"/>
      <c r="M494" s="50">
        <f>RawList!F463</f>
        <v>0</v>
      </c>
    </row>
    <row r="495" spans="2:13" hidden="1" x14ac:dyDescent="0.3">
      <c r="B495" s="50" t="str">
        <f>RawList!A464</f>
        <v>Low-Level Electronics</v>
      </c>
      <c r="C495" s="50" t="str">
        <f>RawList!B464</f>
        <v>Jumper Wires, JST-SM</v>
      </c>
      <c r="D495" s="50" t="str">
        <f>RawList!C464</f>
        <v>Adafruit</v>
      </c>
      <c r="E495" s="50" t="str">
        <f>RawList!H464</f>
        <v>2-pin JST SM Plug + Receptacle Cable Set</v>
      </c>
      <c r="F495" s="50" t="str">
        <f>RawList!D464</f>
        <v>2880</v>
      </c>
      <c r="G495" s="137">
        <f>RawList!E464</f>
        <v>0</v>
      </c>
      <c r="H495" s="50" t="str">
        <f>IF(EquipmentTable[[#This Row],[Units]]&gt;0,"Quantity &gt; 0 Items","Quantity = 0 Items")</f>
        <v>Quantity = 0 Items</v>
      </c>
      <c r="I495" s="141">
        <f>RawList!J464</f>
        <v>0.75</v>
      </c>
      <c r="J495" s="24">
        <f>VALUE(EquipmentTable[[#This Row],[Units]]*EquipmentTable[[#This Row],[Unit
 Price]])</f>
        <v>0</v>
      </c>
      <c r="K495" s="50">
        <f>RawList!G464</f>
        <v>0</v>
      </c>
      <c r="L495" s="50"/>
      <c r="M495" s="50">
        <f>RawList!F464</f>
        <v>0</v>
      </c>
    </row>
    <row r="496" spans="2:13" x14ac:dyDescent="0.3">
      <c r="B496" s="50" t="str">
        <f>RawList!A465</f>
        <v>Low-Level Electronics</v>
      </c>
      <c r="C496" s="50" t="str">
        <f>RawList!B465</f>
        <v>Jumper Wires, JST-PH</v>
      </c>
      <c r="D496" s="50" t="str">
        <f>RawList!C465</f>
        <v>Adafruit</v>
      </c>
      <c r="E496" s="50" t="str">
        <f>RawList!H465</f>
        <v>JST 2-pin cable</v>
      </c>
      <c r="F496" s="50" t="str">
        <f>RawList!D465</f>
        <v>261</v>
      </c>
      <c r="G496" s="137">
        <f>RawList!E465</f>
        <v>0</v>
      </c>
      <c r="H496" s="50" t="str">
        <f>IF(EquipmentTable[[#This Row],[Units]]&gt;0,"Quantity &gt; 0 Items","Quantity = 0 Items")</f>
        <v>Quantity = 0 Items</v>
      </c>
      <c r="I496" s="141">
        <f>RawList!J465</f>
        <v>0.75</v>
      </c>
      <c r="J496" s="24">
        <f>VALUE(EquipmentTable[[#This Row],[Units]]*EquipmentTable[[#This Row],[Unit
 Price]])</f>
        <v>0</v>
      </c>
      <c r="K496" s="50">
        <f>RawList!G465</f>
        <v>0</v>
      </c>
      <c r="L496" s="50"/>
      <c r="M496" s="50">
        <f>RawList!F465</f>
        <v>0</v>
      </c>
    </row>
    <row r="497" spans="2:13" x14ac:dyDescent="0.3">
      <c r="B497" s="50" t="str">
        <f>RawList!A466</f>
        <v>Low-Level Electronics</v>
      </c>
      <c r="C497" s="50" t="str">
        <f>RawList!B466</f>
        <v>Jumper Wires, JST-PH</v>
      </c>
      <c r="D497" s="50" t="str">
        <f>RawList!C466</f>
        <v>Adafruit</v>
      </c>
      <c r="E497" s="50" t="str">
        <f>RawList!H466</f>
        <v>JST-PH 2-Pin SMT Right Angle Connector</v>
      </c>
      <c r="F497" s="50" t="str">
        <f>RawList!D466</f>
        <v>1769</v>
      </c>
      <c r="G497" s="137">
        <f>RawList!E466</f>
        <v>0</v>
      </c>
      <c r="H497" s="50" t="str">
        <f>IF(EquipmentTable[[#This Row],[Units]]&gt;0,"Quantity &gt; 0 Items","Quantity = 0 Items")</f>
        <v>Quantity = 0 Items</v>
      </c>
      <c r="I497" s="141">
        <f>RawList!J466</f>
        <v>0.75</v>
      </c>
      <c r="J497" s="24">
        <f>VALUE(EquipmentTable[[#This Row],[Units]]*EquipmentTable[[#This Row],[Unit
 Price]])</f>
        <v>0</v>
      </c>
      <c r="K497" s="50">
        <f>RawList!G466</f>
        <v>0</v>
      </c>
      <c r="L497" s="50"/>
      <c r="M497" s="50">
        <f>RawList!F466</f>
        <v>0</v>
      </c>
    </row>
    <row r="498" spans="2:13" x14ac:dyDescent="0.3">
      <c r="B498" s="50" t="str">
        <f>RawList!A467</f>
        <v>Low-Level Electronics</v>
      </c>
      <c r="C498" s="50" t="str">
        <f>RawList!B467</f>
        <v>Jumper Wires, Molex</v>
      </c>
      <c r="D498" s="50" t="str">
        <f>RawList!C467</f>
        <v>SparkFun</v>
      </c>
      <c r="E498" s="50" t="str">
        <f>RawList!H467</f>
        <v>Molex Jumper 2 Wire Assembly</v>
      </c>
      <c r="F498" s="50" t="str">
        <f>RawList!D467</f>
        <v>PRT-09918</v>
      </c>
      <c r="G498" s="137">
        <f>RawList!E467</f>
        <v>10</v>
      </c>
      <c r="H498" s="50" t="str">
        <f>IF(EquipmentTable[[#This Row],[Units]]&gt;0,"Quantity &gt; 0 Items","Quantity = 0 Items")</f>
        <v>Quantity &gt; 0 Items</v>
      </c>
      <c r="I498" s="141">
        <f>RawList!J467</f>
        <v>0.95</v>
      </c>
      <c r="J498" s="24">
        <f>VALUE(EquipmentTable[[#This Row],[Units]]*EquipmentTable[[#This Row],[Unit
 Price]])</f>
        <v>9.5</v>
      </c>
      <c r="K498" s="50" t="str">
        <f>RawList!G467</f>
        <v>https://cdn.sparkfun.com/r/92-92/assets/parts/4/0/2/4/09918-01.jpg</v>
      </c>
      <c r="L498" s="50"/>
      <c r="M498" s="50" t="str">
        <f>RawList!F467</f>
        <v>https://www.sparkfun.com/products/9918</v>
      </c>
    </row>
    <row r="499" spans="2:13" x14ac:dyDescent="0.3">
      <c r="B499" s="50" t="str">
        <f>RawList!A468</f>
        <v>Low-Level Electronics</v>
      </c>
      <c r="C499" s="50" t="str">
        <f>RawList!B468</f>
        <v>Jumper Wires, Molex</v>
      </c>
      <c r="D499" s="50" t="str">
        <f>RawList!C468</f>
        <v>SparkFun</v>
      </c>
      <c r="E499" s="50" t="str">
        <f>RawList!H468</f>
        <v>Molex Jumper 6 Wire Assembly</v>
      </c>
      <c r="F499" s="50" t="str">
        <f>RawList!D468</f>
        <v>PRT-09922</v>
      </c>
      <c r="G499" s="137">
        <f>RawList!E468</f>
        <v>10</v>
      </c>
      <c r="H499" s="50" t="str">
        <f>IF(EquipmentTable[[#This Row],[Units]]&gt;0,"Quantity &gt; 0 Items","Quantity = 0 Items")</f>
        <v>Quantity &gt; 0 Items</v>
      </c>
      <c r="I499" s="141">
        <f>RawList!J468</f>
        <v>1.95</v>
      </c>
      <c r="J499" s="24">
        <f>VALUE(EquipmentTable[[#This Row],[Units]]*EquipmentTable[[#This Row],[Unit
 Price]])</f>
        <v>19.5</v>
      </c>
      <c r="K499" s="50" t="str">
        <f>RawList!G468</f>
        <v>https://cdn.sparkfun.com/r/92-92/assets/parts/4/0/2/8/09922-01.jpg</v>
      </c>
      <c r="L499" s="50"/>
      <c r="M499" s="50" t="str">
        <f>RawList!F468</f>
        <v>https://www.sparkfun.com/products/9922</v>
      </c>
    </row>
    <row r="500" spans="2:13" x14ac:dyDescent="0.3">
      <c r="B500" s="50" t="str">
        <f>RawList!A469</f>
        <v>Low-Level Electronics</v>
      </c>
      <c r="C500" s="50" t="str">
        <f>RawList!B469</f>
        <v>Jumper Wires, PTH</v>
      </c>
      <c r="D500" s="50" t="str">
        <f>RawList!C469</f>
        <v>SparkFun</v>
      </c>
      <c r="E500" s="50" t="str">
        <f>RawList!H469</f>
        <v>Jumper Wire - Female to Female Connector</v>
      </c>
      <c r="F500" s="50" t="str">
        <f>RawList!D469</f>
        <v>PRT-08614</v>
      </c>
      <c r="G500" s="137">
        <f>RawList!E469</f>
        <v>0</v>
      </c>
      <c r="H500" s="50" t="str">
        <f>IF(EquipmentTable[[#This Row],[Units]]&gt;0,"Quantity &gt; 0 Items","Quantity = 0 Items")</f>
        <v>Quantity = 0 Items</v>
      </c>
      <c r="I500" s="141">
        <f>RawList!J469</f>
        <v>1.5</v>
      </c>
      <c r="J500" s="24">
        <f>VALUE(EquipmentTable[[#This Row],[Units]]*EquipmentTable[[#This Row],[Unit
 Price]])</f>
        <v>0</v>
      </c>
      <c r="K500" s="50" t="str">
        <f>RawList!G469</f>
        <v>https://cdn.sparkfun.com/r/92-92/assets/parts/1/6/9/8/08614-03-L.jpg</v>
      </c>
      <c r="L500" s="50"/>
      <c r="M500" s="50" t="str">
        <f>RawList!F469</f>
        <v>https://www.sparkfun.com/products/8614</v>
      </c>
    </row>
    <row r="501" spans="2:13" x14ac:dyDescent="0.3">
      <c r="B501" s="50" t="str">
        <f>RawList!A470</f>
        <v>Low-Level Electronics</v>
      </c>
      <c r="C501" s="50" t="str">
        <f>RawList!B470</f>
        <v>Jumper Wires, PTH</v>
      </c>
      <c r="D501" s="50" t="str">
        <f>RawList!C470</f>
        <v>SparkFun</v>
      </c>
      <c r="E501" s="50" t="str">
        <f>RawList!H470</f>
        <v>Jumper Wire - PTH Black White</v>
      </c>
      <c r="F501" s="50" t="str">
        <f>RawList!D470</f>
        <v>PRT-08672</v>
      </c>
      <c r="G501" s="137">
        <f>RawList!E470</f>
        <v>0</v>
      </c>
      <c r="H501" s="50" t="str">
        <f>IF(EquipmentTable[[#This Row],[Units]]&gt;0,"Quantity &gt; 0 Items","Quantity = 0 Items")</f>
        <v>Quantity = 0 Items</v>
      </c>
      <c r="I501" s="141">
        <f>RawList!J470</f>
        <v>0.95</v>
      </c>
      <c r="J501" s="24">
        <f>VALUE(EquipmentTable[[#This Row],[Units]]*EquipmentTable[[#This Row],[Unit
 Price]])</f>
        <v>0</v>
      </c>
      <c r="K501" s="50" t="str">
        <f>RawList!G470</f>
        <v>https://cdn.sparkfun.com/r/92-92/assets/parts/1/8/2/8/08672-03-L.jpg</v>
      </c>
      <c r="L501" s="50"/>
      <c r="M501" s="50" t="str">
        <f>RawList!F470</f>
        <v>https://www.sparkfun.com/products/8672</v>
      </c>
    </row>
    <row r="502" spans="2:13" x14ac:dyDescent="0.3">
      <c r="B502" s="50" t="str">
        <f>RawList!A471</f>
        <v>Low-Level Electronics</v>
      </c>
      <c r="C502" s="50" t="str">
        <f>RawList!B471</f>
        <v>Jumper Wires, PTH</v>
      </c>
      <c r="D502" s="50" t="str">
        <f>RawList!C471</f>
        <v>SparkFun</v>
      </c>
      <c r="E502" s="50" t="str">
        <f>RawList!H471</f>
        <v>Jumper Wire - 0.1\", 2-pin, 6\"</v>
      </c>
      <c r="F502" s="50" t="str">
        <f>RawList!D471</f>
        <v>PRT-10367</v>
      </c>
      <c r="G502" s="137">
        <f>RawList!E471</f>
        <v>0</v>
      </c>
      <c r="H502" s="50" t="str">
        <f>IF(EquipmentTable[[#This Row],[Units]]&gt;0,"Quantity &gt; 0 Items","Quantity = 0 Items")</f>
        <v>Quantity = 0 Items</v>
      </c>
      <c r="I502" s="141">
        <f>RawList!J471</f>
        <v>1.5</v>
      </c>
      <c r="J502" s="24">
        <f>VALUE(EquipmentTable[[#This Row],[Units]]*EquipmentTable[[#This Row],[Unit
 Price]])</f>
        <v>0</v>
      </c>
      <c r="K502" s="50" t="str">
        <f>RawList!G471</f>
        <v>https://cdn.sparkfun.com/r/92-92/assets/parts/4/8/1/9/10367-01.jpg</v>
      </c>
      <c r="L502" s="50"/>
      <c r="M502" s="50" t="str">
        <f>RawList!F471</f>
        <v>https://www.sparkfun.com/products/10367</v>
      </c>
    </row>
    <row r="503" spans="2:13" x14ac:dyDescent="0.3">
      <c r="B503" s="50" t="str">
        <f>RawList!A472</f>
        <v>Low-Level Electronics</v>
      </c>
      <c r="C503" s="50" t="str">
        <f>RawList!B472</f>
        <v>Jumper Wires, PTH</v>
      </c>
      <c r="D503" s="50" t="str">
        <f>RawList!C472</f>
        <v>SparkFun</v>
      </c>
      <c r="E503" s="50" t="str">
        <f>RawList!H472</f>
        <v>Jumper Wire - 0.1\", 3-pin, 12\"</v>
      </c>
      <c r="F503" s="50" t="str">
        <f>RawList!D472</f>
        <v>PRT-10373</v>
      </c>
      <c r="G503" s="137">
        <f>RawList!E472</f>
        <v>0</v>
      </c>
      <c r="H503" s="50" t="str">
        <f>IF(EquipmentTable[[#This Row],[Units]]&gt;0,"Quantity &gt; 0 Items","Quantity = 0 Items")</f>
        <v>Quantity = 0 Items</v>
      </c>
      <c r="I503" s="141">
        <f>RawList!J472</f>
        <v>1.95</v>
      </c>
      <c r="J503" s="24">
        <f>VALUE(EquipmentTable[[#This Row],[Units]]*EquipmentTable[[#This Row],[Unit
 Price]])</f>
        <v>0</v>
      </c>
      <c r="K503" s="50" t="str">
        <f>RawList!G472</f>
        <v>https://cdn.sparkfun.com/r/92-92/assets/parts/4/8/2/5/10373-02.jpg</v>
      </c>
      <c r="L503" s="50"/>
      <c r="M503" s="50" t="str">
        <f>RawList!F472</f>
        <v>https://www.sparkfun.com/products/10373</v>
      </c>
    </row>
    <row r="504" spans="2:13" x14ac:dyDescent="0.3">
      <c r="B504" s="50" t="str">
        <f>RawList!A473</f>
        <v>Low-Level Electronics</v>
      </c>
      <c r="C504" s="50" t="str">
        <f>RawList!B473</f>
        <v>Jumper Wires, PTH</v>
      </c>
      <c r="D504" s="50" t="str">
        <f>RawList!C473</f>
        <v>SparkFun</v>
      </c>
      <c r="E504" s="50" t="str">
        <f>RawList!H473</f>
        <v>Jumper Wire - 0.1\", 3-pin, 6\" (Black, Red, White)</v>
      </c>
      <c r="F504" s="50" t="str">
        <f>RawList!D473</f>
        <v>PRT-13164</v>
      </c>
      <c r="G504" s="137">
        <f>RawList!E473</f>
        <v>0</v>
      </c>
      <c r="H504" s="50" t="str">
        <f>IF(EquipmentTable[[#This Row],[Units]]&gt;0,"Quantity &gt; 0 Items","Quantity = 0 Items")</f>
        <v>Quantity = 0 Items</v>
      </c>
      <c r="I504" s="141">
        <f>RawList!J473</f>
        <v>1.5</v>
      </c>
      <c r="J504" s="24">
        <f>VALUE(EquipmentTable[[#This Row],[Units]]*EquipmentTable[[#This Row],[Unit
 Price]])</f>
        <v>0</v>
      </c>
      <c r="K504" s="50" t="str">
        <f>RawList!G473</f>
        <v>https://cdn.sparkfun.com/r/92-92/assets/parts/1/0/2/8/5/13164-01.jpg</v>
      </c>
      <c r="L504" s="50"/>
      <c r="M504" s="50" t="str">
        <f>RawList!F473</f>
        <v>https://www.sparkfun.com/products/13164</v>
      </c>
    </row>
    <row r="505" spans="2:13" x14ac:dyDescent="0.3">
      <c r="B505" s="50" t="str">
        <f>RawList!A474</f>
        <v>Low-Level Electronics</v>
      </c>
      <c r="C505" s="50" t="str">
        <f>RawList!B474</f>
        <v>Jumper Wires, PTH</v>
      </c>
      <c r="D505" s="50" t="str">
        <f>RawList!C474</f>
        <v>SparkFun</v>
      </c>
      <c r="E505" s="50" t="str">
        <f>RawList!H474</f>
        <v>Jumper Wire - 0.1\", 4-pin, 6\"</v>
      </c>
      <c r="F505" s="50" t="str">
        <f>RawList!D474</f>
        <v>PRT-10369</v>
      </c>
      <c r="G505" s="137">
        <f>RawList!E474</f>
        <v>0</v>
      </c>
      <c r="H505" s="50" t="str">
        <f>IF(EquipmentTable[[#This Row],[Units]]&gt;0,"Quantity &gt; 0 Items","Quantity = 0 Items")</f>
        <v>Quantity = 0 Items</v>
      </c>
      <c r="I505" s="141">
        <f>RawList!J474</f>
        <v>1.5</v>
      </c>
      <c r="J505" s="24">
        <f>VALUE(EquipmentTable[[#This Row],[Units]]*EquipmentTable[[#This Row],[Unit
 Price]])</f>
        <v>0</v>
      </c>
      <c r="K505" s="50" t="str">
        <f>RawList!G474</f>
        <v>https://cdn.sparkfun.com/r/92-92/assets/parts/4/8/2/1/10369-01.jpg</v>
      </c>
      <c r="L505" s="50"/>
      <c r="M505" s="50" t="str">
        <f>RawList!F474</f>
        <v>https://www.sparkfun.com/products/10369</v>
      </c>
    </row>
    <row r="506" spans="2:13" x14ac:dyDescent="0.3">
      <c r="B506" s="50" t="str">
        <f>RawList!A475</f>
        <v>Low-Level Electronics</v>
      </c>
      <c r="C506" s="50" t="str">
        <f>RawList!B475</f>
        <v>Jumper Wires, PTH</v>
      </c>
      <c r="D506" s="50" t="str">
        <f>RawList!C475</f>
        <v>SparkFun</v>
      </c>
      <c r="E506" s="50" t="str">
        <f>RawList!H475</f>
        <v>Jumper Wire - 0.1\", 5-pin, 6\"</v>
      </c>
      <c r="F506" s="50" t="str">
        <f>RawList!D475</f>
        <v>PRT-10370</v>
      </c>
      <c r="G506" s="137">
        <f>RawList!E475</f>
        <v>0</v>
      </c>
      <c r="H506" s="50" t="str">
        <f>IF(EquipmentTable[[#This Row],[Units]]&gt;0,"Quantity &gt; 0 Items","Quantity = 0 Items")</f>
        <v>Quantity = 0 Items</v>
      </c>
      <c r="I506" s="141">
        <f>RawList!J475</f>
        <v>1.5</v>
      </c>
      <c r="J506" s="24">
        <f>VALUE(EquipmentTable[[#This Row],[Units]]*EquipmentTable[[#This Row],[Unit
 Price]])</f>
        <v>0</v>
      </c>
      <c r="K506" s="50" t="str">
        <f>RawList!G475</f>
        <v>https://cdn.sparkfun.com/r/92-92/assets/parts/4/8/2/2/10370-01.jpg</v>
      </c>
      <c r="L506" s="50"/>
      <c r="M506" s="50" t="str">
        <f>RawList!F475</f>
        <v>https://www.sparkfun.com/products/10370</v>
      </c>
    </row>
    <row r="507" spans="2:13" x14ac:dyDescent="0.3">
      <c r="B507" s="50" t="str">
        <f>RawList!A476</f>
        <v>Low-Level Electronics</v>
      </c>
      <c r="C507" s="50" t="str">
        <f>RawList!B476</f>
        <v>Jumper Wires, PTH</v>
      </c>
      <c r="D507" s="50" t="str">
        <f>RawList!C476</f>
        <v>SparkFun</v>
      </c>
      <c r="E507" s="50" t="str">
        <f>RawList!H476</f>
        <v>Jumper Wire - 0.1\", 6-pin, 12\"</v>
      </c>
      <c r="F507" s="50" t="str">
        <f>RawList!D476</f>
        <v>PRT-10376</v>
      </c>
      <c r="G507" s="137">
        <f>RawList!E476</f>
        <v>0</v>
      </c>
      <c r="H507" s="50" t="str">
        <f>IF(EquipmentTable[[#This Row],[Units]]&gt;0,"Quantity &gt; 0 Items","Quantity = 0 Items")</f>
        <v>Quantity = 0 Items</v>
      </c>
      <c r="I507" s="141">
        <f>RawList!J476</f>
        <v>1.95</v>
      </c>
      <c r="J507" s="24">
        <f>VALUE(EquipmentTable[[#This Row],[Units]]*EquipmentTable[[#This Row],[Unit
 Price]])</f>
        <v>0</v>
      </c>
      <c r="K507" s="50" t="str">
        <f>RawList!G476</f>
        <v>https://cdn.sparkfun.com/r/92-92/assets/parts/4/8/2/8/10376-01.jpg</v>
      </c>
      <c r="L507" s="50"/>
      <c r="M507" s="50" t="str">
        <f>RawList!F476</f>
        <v>https://www.sparkfun.com/products/10376</v>
      </c>
    </row>
    <row r="508" spans="2:13" x14ac:dyDescent="0.3">
      <c r="B508" s="50" t="str">
        <f>RawList!A477</f>
        <v>Low-Level Electronics</v>
      </c>
      <c r="C508" s="50" t="str">
        <f>RawList!B477</f>
        <v>Jumper Wires, PTH</v>
      </c>
      <c r="D508" s="50" t="str">
        <f>RawList!C477</f>
        <v>SparkFun</v>
      </c>
      <c r="E508" s="50" t="str">
        <f>RawList!H477</f>
        <v>Jumper Wire - 0.1\", 6-pin, 6\"</v>
      </c>
      <c r="F508" s="50" t="str">
        <f>RawList!D477</f>
        <v>PRT-10371</v>
      </c>
      <c r="G508" s="137">
        <f>RawList!E477</f>
        <v>0</v>
      </c>
      <c r="H508" s="50" t="str">
        <f>IF(EquipmentTable[[#This Row],[Units]]&gt;0,"Quantity &gt; 0 Items","Quantity = 0 Items")</f>
        <v>Quantity = 0 Items</v>
      </c>
      <c r="I508" s="141">
        <f>RawList!J477</f>
        <v>1.5</v>
      </c>
      <c r="J508" s="24">
        <f>VALUE(EquipmentTable[[#This Row],[Units]]*EquipmentTable[[#This Row],[Unit
 Price]])</f>
        <v>0</v>
      </c>
      <c r="K508" s="50" t="str">
        <f>RawList!G477</f>
        <v>https://cdn.sparkfun.com/r/92-92/assets/parts/4/8/2/3/10371-01.jpg</v>
      </c>
      <c r="L508" s="50"/>
      <c r="M508" s="50" t="str">
        <f>RawList!F477</f>
        <v>https://www.sparkfun.com/products/10371</v>
      </c>
    </row>
    <row r="509" spans="2:13" x14ac:dyDescent="0.3">
      <c r="B509" s="50" t="str">
        <f>RawList!A478</f>
        <v>Low-Level Electronics</v>
      </c>
      <c r="C509" s="50" t="str">
        <f>RawList!B478</f>
        <v>Jumper Wires, PTH</v>
      </c>
      <c r="D509" s="50" t="str">
        <f>RawList!C478</f>
        <v>SparkFun</v>
      </c>
      <c r="E509" s="50" t="str">
        <f>RawList!H478</f>
        <v>Jumper Wires - Connected 6\" (F/F, 20 pack)</v>
      </c>
      <c r="F509" s="50" t="str">
        <f>RawList!D478</f>
        <v>PRT-12796</v>
      </c>
      <c r="G509" s="137">
        <f>RawList!E478</f>
        <v>0</v>
      </c>
      <c r="H509" s="50" t="str">
        <f>IF(EquipmentTable[[#This Row],[Units]]&gt;0,"Quantity &gt; 0 Items","Quantity = 0 Items")</f>
        <v>Quantity = 0 Items</v>
      </c>
      <c r="I509" s="141">
        <f>RawList!J478</f>
        <v>1.95</v>
      </c>
      <c r="J509" s="24">
        <f>VALUE(EquipmentTable[[#This Row],[Units]]*EquipmentTable[[#This Row],[Unit
 Price]])</f>
        <v>0</v>
      </c>
      <c r="K509" s="50" t="str">
        <f>RawList!G478</f>
        <v>https://cdn.sparkfun.com/r/92-92/assets/parts/9/6/1/4/12796-00.jpg</v>
      </c>
      <c r="L509" s="50"/>
      <c r="M509" s="50" t="str">
        <f>RawList!F478</f>
        <v>https://www.sparkfun.com/products/12796</v>
      </c>
    </row>
    <row r="510" spans="2:13" x14ac:dyDescent="0.3">
      <c r="B510" s="50" t="str">
        <f>RawList!A479</f>
        <v>Low-Level Electronics</v>
      </c>
      <c r="C510" s="50" t="str">
        <f>RawList!B479</f>
        <v>Jumper Wires, PTH</v>
      </c>
      <c r="D510" s="50" t="str">
        <f>RawList!C479</f>
        <v>SparkFun</v>
      </c>
      <c r="E510" s="50" t="str">
        <f>RawList!H479</f>
        <v>Jumper Wires Premium 6\" F/F - 20 AWG (10 Pack)</v>
      </c>
      <c r="F510" s="50" t="str">
        <f>RawList!D479</f>
        <v>PRT-11710</v>
      </c>
      <c r="G510" s="137">
        <f>RawList!E479</f>
        <v>0</v>
      </c>
      <c r="H510" s="50" t="str">
        <f>IF(EquipmentTable[[#This Row],[Units]]&gt;0,"Quantity &gt; 0 Items","Quantity = 0 Items")</f>
        <v>Quantity = 0 Items</v>
      </c>
      <c r="I510" s="141">
        <f>RawList!J479</f>
        <v>4.95</v>
      </c>
      <c r="J510" s="24">
        <f>VALUE(EquipmentTable[[#This Row],[Units]]*EquipmentTable[[#This Row],[Unit
 Price]])</f>
        <v>0</v>
      </c>
      <c r="K510" s="50" t="str">
        <f>RawList!G479</f>
        <v>https://cdn.sparkfun.com/r/92-92/assets/parts/7/8/9/3/11710-01.jpg</v>
      </c>
      <c r="L510" s="50"/>
      <c r="M510" s="50" t="str">
        <f>RawList!F479</f>
        <v>https://www.sparkfun.com/products/11710</v>
      </c>
    </row>
    <row r="511" spans="2:13" x14ac:dyDescent="0.3">
      <c r="B511" s="50" t="str">
        <f>RawList!A480</f>
        <v>Low-Level Electronics</v>
      </c>
      <c r="C511" s="50" t="str">
        <f>RawList!B480</f>
        <v>Jumper Wires, PTH</v>
      </c>
      <c r="D511" s="50" t="str">
        <f>RawList!C480</f>
        <v>SparkFun</v>
      </c>
      <c r="E511" s="50" t="str">
        <f>RawList!H480</f>
        <v>Jumper Wires Premium 12\" F/F Pack of 10</v>
      </c>
      <c r="F511" s="50" t="str">
        <f>RawList!D480</f>
        <v>PRT-09389</v>
      </c>
      <c r="G511" s="137">
        <f>RawList!E480</f>
        <v>0</v>
      </c>
      <c r="H511" s="50" t="str">
        <f>IF(EquipmentTable[[#This Row],[Units]]&gt;0,"Quantity &gt; 0 Items","Quantity = 0 Items")</f>
        <v>Quantity = 0 Items</v>
      </c>
      <c r="I511" s="141">
        <f>RawList!J480</f>
        <v>4.5</v>
      </c>
      <c r="J511" s="24">
        <f>VALUE(EquipmentTable[[#This Row],[Units]]*EquipmentTable[[#This Row],[Unit
 Price]])</f>
        <v>0</v>
      </c>
      <c r="K511" s="50" t="str">
        <f>RawList!G480</f>
        <v>https://cdn.sparkfun.com/r/92-92/assets/parts/2/9/9/1/09389-01.jpg</v>
      </c>
      <c r="L511" s="50"/>
      <c r="M511" s="50" t="str">
        <f>RawList!F480</f>
        <v>https://www.sparkfun.com/products/9389</v>
      </c>
    </row>
    <row r="512" spans="2:13" x14ac:dyDescent="0.3">
      <c r="B512" s="50" t="str">
        <f>RawList!A481</f>
        <v>Low-Level Electronics</v>
      </c>
      <c r="C512" s="50" t="str">
        <f>RawList!B481</f>
        <v>Jumper Wires, PTH</v>
      </c>
      <c r="D512" s="50" t="str">
        <f>RawList!C481</f>
        <v>SparkFun</v>
      </c>
      <c r="E512" s="50" t="str">
        <f>RawList!H481</f>
        <v>Jumper Wires Premium 6\" M/F Pack of 10</v>
      </c>
      <c r="F512" s="50" t="str">
        <f>RawList!D481</f>
        <v>PRT-09140</v>
      </c>
      <c r="G512" s="137">
        <f>RawList!E481</f>
        <v>0</v>
      </c>
      <c r="H512" s="50" t="str">
        <f>IF(EquipmentTable[[#This Row],[Units]]&gt;0,"Quantity &gt; 0 Items","Quantity = 0 Items")</f>
        <v>Quantity = 0 Items</v>
      </c>
      <c r="I512" s="141">
        <f>RawList!J481</f>
        <v>3.95</v>
      </c>
      <c r="J512" s="24">
        <f>VALUE(EquipmentTable[[#This Row],[Units]]*EquipmentTable[[#This Row],[Unit
 Price]])</f>
        <v>0</v>
      </c>
      <c r="K512" s="50" t="str">
        <f>RawList!G481</f>
        <v>https://cdn.sparkfun.com/r/92-92/assets/parts/2/5/5/7/09140-02-L.jpg</v>
      </c>
      <c r="L512" s="50"/>
      <c r="M512" s="50" t="str">
        <f>RawList!F481</f>
        <v>https://www.sparkfun.com/products/9140</v>
      </c>
    </row>
    <row r="513" spans="2:13" x14ac:dyDescent="0.3">
      <c r="B513" s="50" t="str">
        <f>RawList!A482</f>
        <v>Low-Level Electronics</v>
      </c>
      <c r="C513" s="50" t="str">
        <f>RawList!B482</f>
        <v>Jumper Wires, PTH</v>
      </c>
      <c r="D513" s="50" t="str">
        <f>RawList!C482</f>
        <v>SparkFun</v>
      </c>
      <c r="E513" s="50" t="str">
        <f>RawList!H482</f>
        <v>Jumper Wires Premium 12\" M/F Pack of 10</v>
      </c>
      <c r="F513" s="50" t="str">
        <f>RawList!D482</f>
        <v>PRT-09385</v>
      </c>
      <c r="G513" s="137">
        <f>RawList!E482</f>
        <v>0</v>
      </c>
      <c r="H513" s="50" t="str">
        <f>IF(EquipmentTable[[#This Row],[Units]]&gt;0,"Quantity &gt; 0 Items","Quantity = 0 Items")</f>
        <v>Quantity = 0 Items</v>
      </c>
      <c r="I513" s="141">
        <f>RawList!J482</f>
        <v>4.5</v>
      </c>
      <c r="J513" s="24">
        <f>VALUE(EquipmentTable[[#This Row],[Units]]*EquipmentTable[[#This Row],[Unit
 Price]])</f>
        <v>0</v>
      </c>
      <c r="K513" s="50" t="str">
        <f>RawList!G482</f>
        <v>https://cdn.sparkfun.com/r/92-92/assets/parts/2/9/8/7/09385-03.jpg</v>
      </c>
      <c r="L513" s="50"/>
      <c r="M513" s="50" t="str">
        <f>RawList!F482</f>
        <v>https://www.sparkfun.com/products/9385</v>
      </c>
    </row>
    <row r="514" spans="2:13" x14ac:dyDescent="0.3">
      <c r="B514" s="50" t="str">
        <f>RawList!A483</f>
        <v>Low-Level Electronics</v>
      </c>
      <c r="C514" s="50" t="str">
        <f>RawList!B483</f>
        <v>Jumper Wires, PTH</v>
      </c>
      <c r="D514" s="50" t="str">
        <f>RawList!C483</f>
        <v>SparkFun</v>
      </c>
      <c r="E514" s="50" t="str">
        <f>RawList!H483</f>
        <v>Jumper Wires Premium 4\" M/M - 26 AWG (30 Pack)</v>
      </c>
      <c r="F514" s="50" t="str">
        <f>RawList!D483</f>
        <v>PRT-14284</v>
      </c>
      <c r="G514" s="137">
        <f>RawList!E483</f>
        <v>0</v>
      </c>
      <c r="H514" s="50" t="str">
        <f>IF(EquipmentTable[[#This Row],[Units]]&gt;0,"Quantity &gt; 0 Items","Quantity = 0 Items")</f>
        <v>Quantity = 0 Items</v>
      </c>
      <c r="I514" s="141">
        <f>RawList!J483</f>
        <v>1.95</v>
      </c>
      <c r="J514" s="24">
        <f>VALUE(EquipmentTable[[#This Row],[Units]]*EquipmentTable[[#This Row],[Unit
 Price]])</f>
        <v>0</v>
      </c>
      <c r="K514" s="50" t="str">
        <f>RawList!G483</f>
        <v>https://cdn.sparkfun.com/r/92-92/assets/parts/1/2/2/4/2/13870-01.jpg</v>
      </c>
      <c r="L514" s="50"/>
      <c r="M514" s="50" t="str">
        <f>RawList!F483</f>
        <v>https://www.sparkfun.com/products/14284</v>
      </c>
    </row>
    <row r="515" spans="2:13" x14ac:dyDescent="0.3">
      <c r="B515" s="50" t="str">
        <f>RawList!A484</f>
        <v>Low-Level Electronics</v>
      </c>
      <c r="C515" s="50" t="str">
        <f>RawList!B484</f>
        <v>Jumper Wires, PTH</v>
      </c>
      <c r="D515" s="50" t="str">
        <f>RawList!C484</f>
        <v>SparkFun</v>
      </c>
      <c r="E515" s="50" t="str">
        <f>RawList!H484</f>
        <v>Jumper Wires Premium 6\" M/M - 20 AWG (10 Pack)</v>
      </c>
      <c r="F515" s="50" t="str">
        <f>RawList!D484</f>
        <v>PRT-11709</v>
      </c>
      <c r="G515" s="137">
        <f>RawList!E484</f>
        <v>0</v>
      </c>
      <c r="H515" s="50" t="str">
        <f>IF(EquipmentTable[[#This Row],[Units]]&gt;0,"Quantity &gt; 0 Items","Quantity = 0 Items")</f>
        <v>Quantity = 0 Items</v>
      </c>
      <c r="I515" s="141">
        <f>RawList!J484</f>
        <v>4.95</v>
      </c>
      <c r="J515" s="24">
        <f>VALUE(EquipmentTable[[#This Row],[Units]]*EquipmentTable[[#This Row],[Unit
 Price]])</f>
        <v>0</v>
      </c>
      <c r="K515" s="50" t="str">
        <f>RawList!G484</f>
        <v>https://cdn.sparkfun.com/r/92-92/assets/parts/7/8/9/3/11710-01.jpg</v>
      </c>
      <c r="L515" s="50"/>
      <c r="M515" s="50" t="str">
        <f>RawList!F484</f>
        <v>https://www.sparkfun.com/products/11710</v>
      </c>
    </row>
    <row r="516" spans="2:13" x14ac:dyDescent="0.3">
      <c r="B516" s="50" t="str">
        <f>RawList!A485</f>
        <v>Low-Level Electronics</v>
      </c>
      <c r="C516" s="50" t="str">
        <f>RawList!B485</f>
        <v>Jumper Wires, PTH</v>
      </c>
      <c r="D516" s="50" t="str">
        <f>RawList!C485</f>
        <v>SparkFun</v>
      </c>
      <c r="E516" s="50" t="str">
        <f>RawList!H485</f>
        <v>Jumper Wires Premium 6\" M/M Pack of 10</v>
      </c>
      <c r="F516" s="50" t="str">
        <f>RawList!D485</f>
        <v>PRT-08431</v>
      </c>
      <c r="G516" s="137">
        <f>RawList!E485</f>
        <v>0</v>
      </c>
      <c r="H516" s="50" t="str">
        <f>IF(EquipmentTable[[#This Row],[Units]]&gt;0,"Quantity &gt; 0 Items","Quantity = 0 Items")</f>
        <v>Quantity = 0 Items</v>
      </c>
      <c r="I516" s="141">
        <f>RawList!J485</f>
        <v>3.95</v>
      </c>
      <c r="J516" s="24">
        <f>VALUE(EquipmentTable[[#This Row],[Units]]*EquipmentTable[[#This Row],[Unit
 Price]])</f>
        <v>0</v>
      </c>
      <c r="K516" s="50" t="str">
        <f>RawList!G485</f>
        <v>https://cdn.sparkfun.com/r/92-92/assets/parts/1/1/8/1/JumperWire-Male-01-L.jpg</v>
      </c>
      <c r="L516" s="50"/>
      <c r="M516" s="50" t="str">
        <f>RawList!F485</f>
        <v>https://www.sparkfun.com/products/8431</v>
      </c>
    </row>
    <row r="517" spans="2:13" x14ac:dyDescent="0.3">
      <c r="B517" s="50" t="str">
        <f>RawList!A486</f>
        <v>Low-Level Electronics</v>
      </c>
      <c r="C517" s="50" t="str">
        <f>RawList!B486</f>
        <v>Jumper Wires, PTH</v>
      </c>
      <c r="D517" s="50" t="str">
        <f>RawList!C486</f>
        <v>SparkFun</v>
      </c>
      <c r="E517" s="50" t="str">
        <f>RawList!H486</f>
        <v>Jumper Wires Standard 7\" M/M - 30 AWG (30 Pack)</v>
      </c>
      <c r="F517" s="50" t="str">
        <f>RawList!D486</f>
        <v>PRT-11026</v>
      </c>
      <c r="G517" s="137">
        <f>RawList!E486</f>
        <v>0</v>
      </c>
      <c r="H517" s="50" t="str">
        <f>IF(EquipmentTable[[#This Row],[Units]]&gt;0,"Quantity &gt; 0 Items","Quantity = 0 Items")</f>
        <v>Quantity = 0 Items</v>
      </c>
      <c r="I517" s="141">
        <f>RawList!J486</f>
        <v>1.95</v>
      </c>
      <c r="J517" s="24">
        <f>VALUE(EquipmentTable[[#This Row],[Units]]*EquipmentTable[[#This Row],[Unit
 Price]])</f>
        <v>0</v>
      </c>
      <c r="K517" s="50" t="str">
        <f>RawList!G486</f>
        <v>https://cdn.sparkfun.com/r/92-92/assets/parts/3/7/0/4/11026-02.jpg</v>
      </c>
      <c r="L517" s="50"/>
      <c r="M517" s="50" t="str">
        <f>RawList!F486</f>
        <v>https://www.sparkfun.com/products/11026</v>
      </c>
    </row>
    <row r="518" spans="2:13" x14ac:dyDescent="0.3">
      <c r="B518" s="50" t="str">
        <f>RawList!A487</f>
        <v>Low-Level Electronics</v>
      </c>
      <c r="C518" s="50" t="str">
        <f>RawList!B487</f>
        <v>Passive Components</v>
      </c>
      <c r="D518" s="50" t="str">
        <f>RawList!C487</f>
        <v>SparkFun</v>
      </c>
      <c r="E518" s="50" t="str">
        <f>RawList!H487</f>
        <v>Resistor Kit - 1/4W (500 total)</v>
      </c>
      <c r="F518" s="50" t="str">
        <f>RawList!D487</f>
        <v>COM-10969</v>
      </c>
      <c r="G518" s="137">
        <f>RawList!E487</f>
        <v>1</v>
      </c>
      <c r="H518" s="50" t="str">
        <f>IF(EquipmentTable[[#This Row],[Units]]&gt;0,"Quantity &gt; 0 Items","Quantity = 0 Items")</f>
        <v>Quantity &gt; 0 Items</v>
      </c>
      <c r="I518" s="141">
        <f>RawList!J487</f>
        <v>7.95</v>
      </c>
      <c r="J518" s="24">
        <f>VALUE(EquipmentTable[[#This Row],[Units]]*EquipmentTable[[#This Row],[Unit
 Price]])</f>
        <v>7.95</v>
      </c>
      <c r="K518" s="50" t="str">
        <f>RawList!G487</f>
        <v>https://cdn.sparkfun.com/r/92-92/assets/parts/6/1/7/1/10969-01.jpg</v>
      </c>
      <c r="L518" s="50"/>
      <c r="M518" s="50" t="str">
        <f>RawList!F487</f>
        <v>https://www.sparkfun.com/products/10969</v>
      </c>
    </row>
    <row r="519" spans="2:13" x14ac:dyDescent="0.3">
      <c r="B519" s="50" t="str">
        <f>RawList!A488</f>
        <v>Low-Level Electronics</v>
      </c>
      <c r="C519" s="50" t="str">
        <f>RawList!B488</f>
        <v>Passive Components</v>
      </c>
      <c r="D519" s="50" t="str">
        <f>RawList!C488</f>
        <v>SparkFun</v>
      </c>
      <c r="E519" s="50" t="str">
        <f>RawList!H488</f>
        <v>Resistor Network - 10K Ohm (6-pin bussed)</v>
      </c>
      <c r="F519" s="50" t="str">
        <f>RawList!D488</f>
        <v>COM-10856</v>
      </c>
      <c r="G519" s="137">
        <f>RawList!E488</f>
        <v>5</v>
      </c>
      <c r="H519" s="50" t="str">
        <f>IF(EquipmentTable[[#This Row],[Units]]&gt;0,"Quantity &gt; 0 Items","Quantity = 0 Items")</f>
        <v>Quantity &gt; 0 Items</v>
      </c>
      <c r="I519" s="141">
        <f>RawList!J488</f>
        <v>0.5</v>
      </c>
      <c r="J519" s="24">
        <f>VALUE(EquipmentTable[[#This Row],[Units]]*EquipmentTable[[#This Row],[Unit
 Price]])</f>
        <v>2.5</v>
      </c>
      <c r="K519" s="50" t="str">
        <f>RawList!G488</f>
        <v>https://cdn.sparkfun.com/r/92-92/assets/parts/5/8/6/9/10856-01a.jpg</v>
      </c>
      <c r="L519" s="50"/>
      <c r="M519" s="50" t="str">
        <f>RawList!F488</f>
        <v>https://www.sparkfun.com/products/10856</v>
      </c>
    </row>
    <row r="520" spans="2:13" x14ac:dyDescent="0.3">
      <c r="B520" s="50" t="str">
        <f>RawList!A489</f>
        <v>Low-Level Electronics</v>
      </c>
      <c r="C520" s="50" t="str">
        <f>RawList!B489</f>
        <v>Passive Components</v>
      </c>
      <c r="D520" s="50" t="str">
        <f>RawList!C489</f>
        <v>SparkFun</v>
      </c>
      <c r="E520" s="50" t="str">
        <f>RawList!H489</f>
        <v>Resistor Network - 330 Ohm (6-pin bussed)</v>
      </c>
      <c r="F520" s="50" t="str">
        <f>RawList!D489</f>
        <v>COM-10855</v>
      </c>
      <c r="G520" s="137">
        <f>RawList!E489</f>
        <v>5</v>
      </c>
      <c r="H520" s="50" t="str">
        <f>IF(EquipmentTable[[#This Row],[Units]]&gt;0,"Quantity &gt; 0 Items","Quantity = 0 Items")</f>
        <v>Quantity &gt; 0 Items</v>
      </c>
      <c r="I520" s="141">
        <f>RawList!J489</f>
        <v>0.5</v>
      </c>
      <c r="J520" s="24">
        <f>VALUE(EquipmentTable[[#This Row],[Units]]*EquipmentTable[[#This Row],[Unit
 Price]])</f>
        <v>2.5</v>
      </c>
      <c r="K520" s="50" t="str">
        <f>RawList!G489</f>
        <v>https://cdn.sparkfun.com/r/92-92/assets/parts/5/8/6/8/10855-01d.jpg</v>
      </c>
      <c r="L520" s="50"/>
      <c r="M520" s="50" t="str">
        <f>RawList!F489</f>
        <v>https://www.sparkfun.com/products/10855</v>
      </c>
    </row>
    <row r="521" spans="2:13" x14ac:dyDescent="0.3">
      <c r="B521" s="50" t="str">
        <f>RawList!A490</f>
        <v>Low-Level Electronics</v>
      </c>
      <c r="C521" s="50" t="str">
        <f>RawList!B490</f>
        <v>Passive Components</v>
      </c>
      <c r="D521" s="50" t="str">
        <f>RawList!C490</f>
        <v>SparkFun</v>
      </c>
      <c r="E521" s="50" t="str">
        <f>RawList!H490</f>
        <v>Slide Potentiometer Knob</v>
      </c>
      <c r="F521" s="50" t="str">
        <f>RawList!D490</f>
        <v>COM-09120</v>
      </c>
      <c r="G521" s="137">
        <f>RawList!E490</f>
        <v>1</v>
      </c>
      <c r="H521" s="50" t="str">
        <f>IF(EquipmentTable[[#This Row],[Units]]&gt;0,"Quantity &gt; 0 Items","Quantity = 0 Items")</f>
        <v>Quantity &gt; 0 Items</v>
      </c>
      <c r="I521" s="141">
        <f>RawList!J490</f>
        <v>0.95</v>
      </c>
      <c r="J521" s="24">
        <f>VALUE(EquipmentTable[[#This Row],[Units]]*EquipmentTable[[#This Row],[Unit
 Price]])</f>
        <v>0.95</v>
      </c>
      <c r="K521" s="50" t="str">
        <f>RawList!G490</f>
        <v>https://cdn.sparkfun.com/r/92-92/assets/parts/2/5/2/5/09120-03-L.jpg</v>
      </c>
      <c r="L521" s="50"/>
      <c r="M521" s="50" t="str">
        <f>RawList!F490</f>
        <v>https://www.sparkfun.com/products/9120</v>
      </c>
    </row>
    <row r="522" spans="2:13" x14ac:dyDescent="0.3">
      <c r="B522" s="50" t="str">
        <f>RawList!A491</f>
        <v>Low-Level Electronics</v>
      </c>
      <c r="C522" s="50" t="str">
        <f>RawList!B491</f>
        <v>Passive Components</v>
      </c>
      <c r="D522" s="50" t="str">
        <f>RawList!C491</f>
        <v>SparkFun</v>
      </c>
      <c r="E522" s="50" t="str">
        <f>RawList!H491</f>
        <v>Slide Pot - Small (10k Linear Taper)</v>
      </c>
      <c r="F522" s="50" t="str">
        <f>RawList!D491</f>
        <v>COM-11620</v>
      </c>
      <c r="G522" s="137">
        <f>RawList!E491</f>
        <v>1</v>
      </c>
      <c r="H522" s="50" t="str">
        <f>IF(EquipmentTable[[#This Row],[Units]]&gt;0,"Quantity &gt; 0 Items","Quantity = 0 Items")</f>
        <v>Quantity &gt; 0 Items</v>
      </c>
      <c r="I522" s="141">
        <f>RawList!J491</f>
        <v>1.95</v>
      </c>
      <c r="J522" s="24">
        <f>VALUE(EquipmentTable[[#This Row],[Units]]*EquipmentTable[[#This Row],[Unit
 Price]])</f>
        <v>1.95</v>
      </c>
      <c r="K522" s="50" t="str">
        <f>RawList!G491</f>
        <v>https://cdn.sparkfun.com/r/92-92/assets/parts/7/6/5/4/11620-01.jpg</v>
      </c>
      <c r="L522" s="50"/>
      <c r="M522" s="50" t="str">
        <f>RawList!F491</f>
        <v>https://www.sparkfun.com/products/11620</v>
      </c>
    </row>
    <row r="523" spans="2:13" x14ac:dyDescent="0.3">
      <c r="B523" s="50" t="str">
        <f>RawList!A492</f>
        <v>Low-Level Electronics</v>
      </c>
      <c r="C523" s="50" t="str">
        <f>RawList!B492</f>
        <v>Passive Components</v>
      </c>
      <c r="D523" s="50" t="str">
        <f>RawList!C492</f>
        <v>SparkFun</v>
      </c>
      <c r="E523" s="50" t="str">
        <f>RawList!H492</f>
        <v>Slide Pot - Medium (10k Linear Taper)</v>
      </c>
      <c r="F523" s="50" t="str">
        <f>RawList!D492</f>
        <v>COM-11621</v>
      </c>
      <c r="G523" s="137">
        <f>RawList!E492</f>
        <v>1</v>
      </c>
      <c r="H523" s="50" t="str">
        <f>IF(EquipmentTable[[#This Row],[Units]]&gt;0,"Quantity &gt; 0 Items","Quantity = 0 Items")</f>
        <v>Quantity &gt; 0 Items</v>
      </c>
      <c r="I523" s="141">
        <f>RawList!J492</f>
        <v>2.5</v>
      </c>
      <c r="J523" s="24">
        <f>VALUE(EquipmentTable[[#This Row],[Units]]*EquipmentTable[[#This Row],[Unit
 Price]])</f>
        <v>2.5</v>
      </c>
      <c r="K523" s="50" t="str">
        <f>RawList!G492</f>
        <v>https://cdn.sparkfun.com/r/92-92/assets/parts/7/6/5/5/11621-01.jpg</v>
      </c>
      <c r="L523" s="50"/>
      <c r="M523" s="50" t="str">
        <f>RawList!F492</f>
        <v>https://www.sparkfun.com/products/11621</v>
      </c>
    </row>
    <row r="524" spans="2:13" x14ac:dyDescent="0.3">
      <c r="B524" s="50" t="str">
        <f>RawList!A493</f>
        <v>Low-Level Electronics</v>
      </c>
      <c r="C524" s="50" t="str">
        <f>RawList!B493</f>
        <v>Passive Components</v>
      </c>
      <c r="D524" s="50" t="str">
        <f>RawList!C493</f>
        <v>SparkFun</v>
      </c>
      <c r="E524" s="50" t="str">
        <f>RawList!H493</f>
        <v>Slide Pot - X-Large (10k Linear Taper)</v>
      </c>
      <c r="F524" s="50" t="str">
        <f>RawList!D493</f>
        <v>COM-09119</v>
      </c>
      <c r="G524" s="137">
        <f>RawList!E493</f>
        <v>1</v>
      </c>
      <c r="H524" s="50" t="str">
        <f>IF(EquipmentTable[[#This Row],[Units]]&gt;0,"Quantity &gt; 0 Items","Quantity = 0 Items")</f>
        <v>Quantity &gt; 0 Items</v>
      </c>
      <c r="I524" s="141">
        <f>RawList!J493</f>
        <v>2.95</v>
      </c>
      <c r="J524" s="24">
        <f>VALUE(EquipmentTable[[#This Row],[Units]]*EquipmentTable[[#This Row],[Unit
 Price]])</f>
        <v>2.95</v>
      </c>
      <c r="K524" s="50" t="str">
        <f>RawList!G493</f>
        <v>https://cdn.sparkfun.com/r/92-92/assets/parts/2/5/2/4/09119-01a.jpg</v>
      </c>
      <c r="L524" s="50"/>
      <c r="M524" s="50" t="str">
        <f>RawList!F493</f>
        <v>https://www.sparkfun.com/products/9119</v>
      </c>
    </row>
    <row r="525" spans="2:13" x14ac:dyDescent="0.3">
      <c r="B525" s="50" t="str">
        <f>RawList!A494</f>
        <v>Low-Level Electronics</v>
      </c>
      <c r="C525" s="50" t="str">
        <f>RawList!B494</f>
        <v>Passive Components</v>
      </c>
      <c r="D525" s="50" t="str">
        <f>RawList!C494</f>
        <v>SparkFun</v>
      </c>
      <c r="E525" s="50" t="str">
        <f>RawList!H494</f>
        <v>Trimpot 10K with Knob</v>
      </c>
      <c r="F525" s="50" t="str">
        <f>RawList!D494</f>
        <v>COM-09806</v>
      </c>
      <c r="G525" s="137">
        <f>RawList!E494</f>
        <v>4</v>
      </c>
      <c r="H525" s="50" t="str">
        <f>IF(EquipmentTable[[#This Row],[Units]]&gt;0,"Quantity &gt; 0 Items","Quantity = 0 Items")</f>
        <v>Quantity &gt; 0 Items</v>
      </c>
      <c r="I525" s="141">
        <f>RawList!J494</f>
        <v>0.95</v>
      </c>
      <c r="J525" s="24">
        <f>VALUE(EquipmentTable[[#This Row],[Units]]*EquipmentTable[[#This Row],[Unit
 Price]])</f>
        <v>3.8</v>
      </c>
      <c r="K525" s="50" t="str">
        <f>RawList!G494</f>
        <v>https://cdn.sparkfun.com/r/92-92/assets/parts/3/8/2/3/09806-01.jpg</v>
      </c>
      <c r="L525" s="50"/>
      <c r="M525" s="50" t="str">
        <f>RawList!F494</f>
        <v>https://www.sparkfun.com/products/9806</v>
      </c>
    </row>
    <row r="526" spans="2:13" x14ac:dyDescent="0.3">
      <c r="B526" s="50" t="str">
        <f>RawList!A495</f>
        <v>Low-Level Electronics</v>
      </c>
      <c r="C526" s="50" t="str">
        <f>RawList!B495</f>
        <v>Passive Components</v>
      </c>
      <c r="D526" s="50" t="str">
        <f>RawList!C495</f>
        <v>SparkFun</v>
      </c>
      <c r="E526" s="50" t="str">
        <f>RawList!H495</f>
        <v>SparkFun Capacitor Kit</v>
      </c>
      <c r="F526" s="50" t="str">
        <f>RawList!D495</f>
        <v>KIT-13698</v>
      </c>
      <c r="G526" s="137">
        <f>RawList!E495</f>
        <v>1</v>
      </c>
      <c r="H526" s="50" t="str">
        <f>IF(EquipmentTable[[#This Row],[Units]]&gt;0,"Quantity &gt; 0 Items","Quantity = 0 Items")</f>
        <v>Quantity &gt; 0 Items</v>
      </c>
      <c r="I526" s="141">
        <f>RawList!J495</f>
        <v>6.95</v>
      </c>
      <c r="J526" s="24">
        <f>VALUE(EquipmentTable[[#This Row],[Units]]*EquipmentTable[[#This Row],[Unit
 Price]])</f>
        <v>6.95</v>
      </c>
      <c r="K526" s="50" t="str">
        <f>RawList!G495</f>
        <v>https://cdn.sparkfun.com/r/92-92/assets/parts/1/1/1/7/0/13698-02.jpg</v>
      </c>
      <c r="L526" s="50"/>
      <c r="M526" s="50" t="str">
        <f>RawList!F495</f>
        <v>https://www.sparkfun.com/products/13698</v>
      </c>
    </row>
    <row r="527" spans="2:13" x14ac:dyDescent="0.3">
      <c r="B527" s="50" t="str">
        <f>RawList!A496</f>
        <v>Low-Level Electronics</v>
      </c>
      <c r="C527" s="50" t="str">
        <f>RawList!B496</f>
        <v>Passive Components</v>
      </c>
      <c r="D527" s="50" t="str">
        <f>RawList!C496</f>
        <v>SparkFun</v>
      </c>
      <c r="E527" s="50" t="str">
        <f>RawList!H496</f>
        <v>Electrolytic Decoupling Capacitors - 100uF/25V</v>
      </c>
      <c r="F527" s="50" t="str">
        <f>RawList!D496</f>
        <v>COM-00096</v>
      </c>
      <c r="G527" s="137">
        <f>RawList!E496</f>
        <v>3</v>
      </c>
      <c r="H527" s="50" t="str">
        <f>IF(EquipmentTable[[#This Row],[Units]]&gt;0,"Quantity &gt; 0 Items","Quantity = 0 Items")</f>
        <v>Quantity &gt; 0 Items</v>
      </c>
      <c r="I527" s="141">
        <f>RawList!J496</f>
        <v>0.35</v>
      </c>
      <c r="J527" s="24">
        <f>VALUE(EquipmentTable[[#This Row],[Units]]*EquipmentTable[[#This Row],[Unit
 Price]])</f>
        <v>1.0499999999999998</v>
      </c>
      <c r="K527" s="50" t="str">
        <f>RawList!G496</f>
        <v>https://cdn.sparkfun.com/r/92-92/assets/parts/8/9/00096-03-L.jpg</v>
      </c>
      <c r="L527" s="50"/>
      <c r="M527" s="50" t="str">
        <f>RawList!F496</f>
        <v>https://www.sparkfun.com/products/96</v>
      </c>
    </row>
    <row r="528" spans="2:13" x14ac:dyDescent="0.3">
      <c r="B528" s="50" t="str">
        <f>RawList!A497</f>
        <v>Low-Level Electronics</v>
      </c>
      <c r="C528" s="50" t="str">
        <f>RawList!B497</f>
        <v>Passive Components</v>
      </c>
      <c r="D528" s="50" t="str">
        <f>RawList!C497</f>
        <v>SparkFun</v>
      </c>
      <c r="E528" s="50" t="str">
        <f>RawList!H497</f>
        <v>Electrolytic Decoupling Capacitors - 10uF/25V</v>
      </c>
      <c r="F528" s="50" t="str">
        <f>RawList!D497</f>
        <v>COM-00523</v>
      </c>
      <c r="G528" s="137">
        <f>RawList!E497</f>
        <v>3</v>
      </c>
      <c r="H528" s="50" t="str">
        <f>IF(EquipmentTable[[#This Row],[Units]]&gt;0,"Quantity &gt; 0 Items","Quantity = 0 Items")</f>
        <v>Quantity &gt; 0 Items</v>
      </c>
      <c r="I528" s="141">
        <f>RawList!J497</f>
        <v>0.45</v>
      </c>
      <c r="J528" s="24">
        <f>VALUE(EquipmentTable[[#This Row],[Units]]*EquipmentTable[[#This Row],[Unit
 Price]])</f>
        <v>1.35</v>
      </c>
      <c r="K528" s="50" t="str">
        <f>RawList!G497</f>
        <v>https://cdn.sparkfun.com/r/92-92/assets/parts/3/0/0/00523-02-L.jpg</v>
      </c>
      <c r="L528" s="50"/>
      <c r="M528" s="50" t="str">
        <f>RawList!F497</f>
        <v>https://www.sparkfun.com/products/523</v>
      </c>
    </row>
    <row r="529" spans="2:13" x14ac:dyDescent="0.3">
      <c r="B529" s="50" t="str">
        <f>RawList!A498</f>
        <v>Low-Level Electronics</v>
      </c>
      <c r="C529" s="50" t="str">
        <f>RawList!B498</f>
        <v>Passive Components</v>
      </c>
      <c r="D529" s="50" t="str">
        <f>RawList!C498</f>
        <v>SparkFun</v>
      </c>
      <c r="E529" s="50" t="str">
        <f>RawList!H498</f>
        <v>Super Capacitor - 10F/2.5V</v>
      </c>
      <c r="F529" s="50" t="str">
        <f>RawList!D498</f>
        <v>COM-00746</v>
      </c>
      <c r="G529" s="137">
        <f>RawList!E498</f>
        <v>3</v>
      </c>
      <c r="H529" s="50" t="str">
        <f>IF(EquipmentTable[[#This Row],[Units]]&gt;0,"Quantity &gt; 0 Items","Quantity = 0 Items")</f>
        <v>Quantity &gt; 0 Items</v>
      </c>
      <c r="I529" s="141">
        <f>RawList!J498</f>
        <v>4.95</v>
      </c>
      <c r="J529" s="24">
        <f>VALUE(EquipmentTable[[#This Row],[Units]]*EquipmentTable[[#This Row],[Unit
 Price]])</f>
        <v>14.850000000000001</v>
      </c>
      <c r="K529" s="50" t="str">
        <f>RawList!G498</f>
        <v>https://cdn.sparkfun.com/r/92-92/assets/parts/5/1/9/SuperCap.jpg</v>
      </c>
      <c r="L529" s="50"/>
      <c r="M529" s="50" t="str">
        <f>RawList!F498</f>
        <v>https://www.sparkfun.com/products/746</v>
      </c>
    </row>
    <row r="530" spans="2:13" x14ac:dyDescent="0.3">
      <c r="B530" s="50" t="str">
        <f>RawList!A499</f>
        <v>Low-Level Electronics</v>
      </c>
      <c r="C530" s="50" t="str">
        <f>RawList!B499</f>
        <v>Passive Components</v>
      </c>
      <c r="D530" s="50" t="str">
        <f>RawList!C499</f>
        <v>SparkFun</v>
      </c>
      <c r="E530" s="50" t="str">
        <f>RawList!H499</f>
        <v>Thermistor 10K</v>
      </c>
      <c r="F530" s="50" t="str">
        <f>RawList!D499</f>
        <v>SEN-00250</v>
      </c>
      <c r="G530" s="137">
        <f>RawList!E499</f>
        <v>10</v>
      </c>
      <c r="H530" s="50" t="str">
        <f>IF(EquipmentTable[[#This Row],[Units]]&gt;0,"Quantity &gt; 0 Items","Quantity = 0 Items")</f>
        <v>Quantity &gt; 0 Items</v>
      </c>
      <c r="I530" s="141">
        <f>RawList!J499</f>
        <v>0.75</v>
      </c>
      <c r="J530" s="24">
        <f>VALUE(EquipmentTable[[#This Row],[Units]]*EquipmentTable[[#This Row],[Unit
 Price]])</f>
        <v>7.5</v>
      </c>
      <c r="K530" s="50" t="str">
        <f>RawList!G499</f>
        <v>https://cdn.sparkfun.com/r/92-92/assets/parts/1/9/2/thermistor.jpg</v>
      </c>
      <c r="L530" s="50"/>
      <c r="M530" s="50" t="str">
        <f>RawList!F499</f>
        <v>https://www.sparkfun.com/products/250</v>
      </c>
    </row>
    <row r="531" spans="2:13" x14ac:dyDescent="0.3">
      <c r="B531" s="50" t="str">
        <f>RawList!A500</f>
        <v>Low-Level Electronics</v>
      </c>
      <c r="C531" s="50" t="str">
        <f>RawList!B500</f>
        <v>Passive Components</v>
      </c>
      <c r="D531" s="50" t="str">
        <f>RawList!C500</f>
        <v>SparkFun</v>
      </c>
      <c r="E531" s="50" t="str">
        <f>RawList!H500</f>
        <v>Diode Rectifier - 1A 50V</v>
      </c>
      <c r="F531" s="50" t="str">
        <f>RawList!D500</f>
        <v>COM-08589</v>
      </c>
      <c r="G531" s="137">
        <f>RawList!E500</f>
        <v>10</v>
      </c>
      <c r="H531" s="50" t="str">
        <f>IF(EquipmentTable[[#This Row],[Units]]&gt;0,"Quantity &gt; 0 Items","Quantity = 0 Items")</f>
        <v>Quantity &gt; 0 Items</v>
      </c>
      <c r="I531" s="141">
        <f>RawList!J500</f>
        <v>0.15</v>
      </c>
      <c r="J531" s="24">
        <f>VALUE(EquipmentTable[[#This Row],[Units]]*EquipmentTable[[#This Row],[Unit
 Price]])</f>
        <v>1.5</v>
      </c>
      <c r="K531" s="50" t="str">
        <f>RawList!G500</f>
        <v>https://cdn.sparkfun.com/r/92-92/assets/parts/1/5/7/8/08588-02-L.jpg</v>
      </c>
      <c r="L531" s="50"/>
      <c r="M531" s="50" t="str">
        <f>RawList!F500</f>
        <v>https://www.sparkfun.com/products/8589</v>
      </c>
    </row>
    <row r="532" spans="2:13" x14ac:dyDescent="0.3">
      <c r="B532" s="50" t="str">
        <f>RawList!A501</f>
        <v>Low-Level Electronics</v>
      </c>
      <c r="C532" s="50" t="str">
        <f>RawList!B501</f>
        <v>Passive Components</v>
      </c>
      <c r="D532" s="50" t="str">
        <f>RawList!C501</f>
        <v>SparkFun</v>
      </c>
      <c r="E532" s="50" t="str">
        <f>RawList!H501</f>
        <v>Diode Small Signal - 1N4148</v>
      </c>
      <c r="F532" s="50" t="str">
        <f>RawList!D501</f>
        <v>COM-08588</v>
      </c>
      <c r="G532" s="137">
        <f>RawList!E501</f>
        <v>10</v>
      </c>
      <c r="H532" s="50" t="str">
        <f>IF(EquipmentTable[[#This Row],[Units]]&gt;0,"Quantity &gt; 0 Items","Quantity = 0 Items")</f>
        <v>Quantity &gt; 0 Items</v>
      </c>
      <c r="I532" s="141">
        <f>RawList!J501</f>
        <v>0.15</v>
      </c>
      <c r="J532" s="24">
        <f>VALUE(EquipmentTable[[#This Row],[Units]]*EquipmentTable[[#This Row],[Unit
 Price]])</f>
        <v>1.5</v>
      </c>
      <c r="K532" s="50" t="str">
        <f>RawList!G501</f>
        <v>https://cdn.sparkfun.com/r/92-92/assets/parts/1/5/6/7/08589-03-L.jpg</v>
      </c>
      <c r="L532" s="50"/>
      <c r="M532" s="50" t="str">
        <f>RawList!F501</f>
        <v>https://www.sparkfun.com/products/8588</v>
      </c>
    </row>
    <row r="533" spans="2:13" x14ac:dyDescent="0.3">
      <c r="B533" s="50" t="str">
        <f>RawList!A502</f>
        <v>Low-Level Electronics</v>
      </c>
      <c r="C533" s="50" t="str">
        <f>RawList!B502</f>
        <v>Passive Components</v>
      </c>
      <c r="D533" s="50" t="str">
        <f>RawList!C502</f>
        <v>SparkFun</v>
      </c>
      <c r="E533" s="50" t="str">
        <f>RawList!H502</f>
        <v>Schottky Diode</v>
      </c>
      <c r="F533" s="50" t="str">
        <f>RawList!D502</f>
        <v>COM-10926</v>
      </c>
      <c r="G533" s="137">
        <f>RawList!E502</f>
        <v>10</v>
      </c>
      <c r="H533" s="50" t="str">
        <f>IF(EquipmentTable[[#This Row],[Units]]&gt;0,"Quantity &gt; 0 Items","Quantity = 0 Items")</f>
        <v>Quantity &gt; 0 Items</v>
      </c>
      <c r="I533" s="141">
        <f>RawList!J502</f>
        <v>0.15</v>
      </c>
      <c r="J533" s="24">
        <f>VALUE(EquipmentTable[[#This Row],[Units]]*EquipmentTable[[#This Row],[Unit
 Price]])</f>
        <v>1.5</v>
      </c>
      <c r="K533" s="50" t="str">
        <f>RawList!G502</f>
        <v>https://cdn.sparkfun.com/r/92-92/assets/parts/6/0/6/0/10926-01b.jpg</v>
      </c>
      <c r="L533" s="50"/>
      <c r="M533" s="50" t="str">
        <f>RawList!F502</f>
        <v>https://www.sparkfun.com/products/10926</v>
      </c>
    </row>
    <row r="534" spans="2:13" x14ac:dyDescent="0.3">
      <c r="B534" s="50" t="str">
        <f>RawList!A503</f>
        <v>Low-Level Electronics</v>
      </c>
      <c r="C534" s="50" t="str">
        <f>RawList!B503</f>
        <v>Passive Components</v>
      </c>
      <c r="D534" s="50" t="str">
        <f>RawList!C503</f>
        <v>SparkFun</v>
      </c>
      <c r="E534" s="50" t="str">
        <f>RawList!H503</f>
        <v>Zener Diode - 5.1V 1W</v>
      </c>
      <c r="F534" s="50" t="str">
        <f>RawList!D503</f>
        <v>COM-10301</v>
      </c>
      <c r="G534" s="137">
        <f>RawList!E503</f>
        <v>10</v>
      </c>
      <c r="H534" s="50" t="str">
        <f>IF(EquipmentTable[[#This Row],[Units]]&gt;0,"Quantity &gt; 0 Items","Quantity = 0 Items")</f>
        <v>Quantity &gt; 0 Items</v>
      </c>
      <c r="I534" s="141">
        <f>RawList!J503</f>
        <v>0.25</v>
      </c>
      <c r="J534" s="24">
        <f>VALUE(EquipmentTable[[#This Row],[Units]]*EquipmentTable[[#This Row],[Unit
 Price]])</f>
        <v>2.5</v>
      </c>
      <c r="K534" s="50" t="str">
        <f>RawList!G503</f>
        <v>https://cdn.sparkfun.com/r/92-92/assets/parts/4/7/0/4/10301-01.jpg</v>
      </c>
      <c r="L534" s="50"/>
      <c r="M534" s="50" t="str">
        <f>RawList!F503</f>
        <v>https://www.sparkfun.com/products/10301</v>
      </c>
    </row>
    <row r="535" spans="2:13" x14ac:dyDescent="0.3">
      <c r="B535" s="50" t="str">
        <f>RawList!A504</f>
        <v>Low-Level Electronics</v>
      </c>
      <c r="C535" s="50" t="str">
        <f>RawList!B504</f>
        <v>Plugs/Jacks/Adapters, Audio</v>
      </c>
      <c r="D535" s="50" t="str">
        <f>RawList!C504</f>
        <v>SparkFun</v>
      </c>
      <c r="E535" s="50" t="str">
        <f>RawList!H504</f>
        <v>Audio Jack - 3.5mm (Panel Mount)</v>
      </c>
      <c r="F535" s="50" t="str">
        <f>RawList!D504</f>
        <v>COM-11154</v>
      </c>
      <c r="G535" s="137">
        <f>RawList!E504</f>
        <v>2</v>
      </c>
      <c r="H535" s="50" t="str">
        <f>IF(EquipmentTable[[#This Row],[Units]]&gt;0,"Quantity &gt; 0 Items","Quantity = 0 Items")</f>
        <v>Quantity &gt; 0 Items</v>
      </c>
      <c r="I535" s="141">
        <f>RawList!J504</f>
        <v>0.5</v>
      </c>
      <c r="J535" s="24">
        <f>VALUE(EquipmentTable[[#This Row],[Units]]*EquipmentTable[[#This Row],[Unit
 Price]])</f>
        <v>1</v>
      </c>
      <c r="K535" s="50" t="str">
        <f>RawList!G504</f>
        <v>https://cdn.sparkfun.com/r/92-92/assets/parts/6/6/1/5/11154-01.jpg</v>
      </c>
      <c r="L535" s="50"/>
      <c r="M535" s="50" t="str">
        <f>RawList!F504</f>
        <v>https://www.sparkfun.com/products/11154</v>
      </c>
    </row>
    <row r="536" spans="2:13" x14ac:dyDescent="0.3">
      <c r="B536" s="50" t="str">
        <f>RawList!A505</f>
        <v>Low-Level Electronics</v>
      </c>
      <c r="C536" s="50" t="str">
        <f>RawList!B505</f>
        <v>Plugs/Jacks/Adapters, Audio</v>
      </c>
      <c r="D536" s="50" t="str">
        <f>RawList!C505</f>
        <v>SparkFun</v>
      </c>
      <c r="E536" s="50" t="str">
        <f>RawList!H505</f>
        <v>Audio Jack 3.5mm</v>
      </c>
      <c r="F536" s="50" t="str">
        <f>RawList!D505</f>
        <v>PRT-08032</v>
      </c>
      <c r="G536" s="137">
        <f>RawList!E505</f>
        <v>4</v>
      </c>
      <c r="H536" s="50" t="str">
        <f>IF(EquipmentTable[[#This Row],[Units]]&gt;0,"Quantity &gt; 0 Items","Quantity = 0 Items")</f>
        <v>Quantity &gt; 0 Items</v>
      </c>
      <c r="I536" s="141">
        <f>RawList!J505</f>
        <v>1.5</v>
      </c>
      <c r="J536" s="24">
        <f>VALUE(EquipmentTable[[#This Row],[Units]]*EquipmentTable[[#This Row],[Unit
 Price]])</f>
        <v>6</v>
      </c>
      <c r="K536" s="50" t="str">
        <f>RawList!G505</f>
        <v>https://cdn.sparkfun.com/r/92-92/assets/parts/1/5/8/2/Audio-3.5mm.jpg</v>
      </c>
      <c r="L536" s="50"/>
      <c r="M536" s="50" t="str">
        <f>RawList!F505</f>
        <v>https://www.sparkfun.com/products/8032</v>
      </c>
    </row>
    <row r="537" spans="2:13" x14ac:dyDescent="0.3">
      <c r="B537" s="50" t="str">
        <f>RawList!A506</f>
        <v>Low-Level Electronics</v>
      </c>
      <c r="C537" s="50" t="str">
        <f>RawList!B506</f>
        <v>Plugs/Jacks/Adapters, Audio</v>
      </c>
      <c r="D537" s="50" t="str">
        <f>RawList!C506</f>
        <v>SparkFun</v>
      </c>
      <c r="E537" s="50" t="str">
        <f>RawList!H506</f>
        <v>Audio Plug - 3.5mm</v>
      </c>
      <c r="F537" s="50" t="str">
        <f>RawList!D506</f>
        <v>COM-11143</v>
      </c>
      <c r="G537" s="137">
        <f>RawList!E506</f>
        <v>8</v>
      </c>
      <c r="H537" s="50" t="str">
        <f>IF(EquipmentTable[[#This Row],[Units]]&gt;0,"Quantity &gt; 0 Items","Quantity = 0 Items")</f>
        <v>Quantity &gt; 0 Items</v>
      </c>
      <c r="I537" s="141">
        <f>RawList!J506</f>
        <v>0.5</v>
      </c>
      <c r="J537" s="24">
        <f>VALUE(EquipmentTable[[#This Row],[Units]]*EquipmentTable[[#This Row],[Unit
 Price]])</f>
        <v>4</v>
      </c>
      <c r="K537" s="50" t="str">
        <f>RawList!G506</f>
        <v>https://cdn.sparkfun.com/r/92-92/assets/parts/6/6/0/4/11143-01.jpg</v>
      </c>
      <c r="L537" s="50"/>
      <c r="M537" s="50" t="str">
        <f>RawList!F506</f>
        <v>https://www.sparkfun.com/products/11143</v>
      </c>
    </row>
    <row r="538" spans="2:13" x14ac:dyDescent="0.3">
      <c r="B538" s="50" t="str">
        <f>RawList!A507</f>
        <v>Low-Level Electronics</v>
      </c>
      <c r="C538" s="50" t="str">
        <f>RawList!B507</f>
        <v>Plugs/Jacks/Adapters, Audio</v>
      </c>
      <c r="D538" s="50" t="str">
        <f>RawList!C507</f>
        <v>SparkFun</v>
      </c>
      <c r="E538" s="50" t="str">
        <f>RawList!H507</f>
        <v>SparkFun Audio Jack Breakout</v>
      </c>
      <c r="F538" s="50" t="str">
        <f>RawList!D507</f>
        <v>PRT-10588</v>
      </c>
      <c r="G538" s="137">
        <f>RawList!E507</f>
        <v>5</v>
      </c>
      <c r="H538" s="50" t="str">
        <f>IF(EquipmentTable[[#This Row],[Units]]&gt;0,"Quantity &gt; 0 Items","Quantity = 0 Items")</f>
        <v>Quantity &gt; 0 Items</v>
      </c>
      <c r="I538" s="141">
        <f>RawList!J507</f>
        <v>0.95</v>
      </c>
      <c r="J538" s="24">
        <f>VALUE(EquipmentTable[[#This Row],[Units]]*EquipmentTable[[#This Row],[Unit
 Price]])</f>
        <v>4.75</v>
      </c>
      <c r="K538" s="50" t="str">
        <f>RawList!G507</f>
        <v>https://cdn.sparkfun.com/r/92-92/assets/parts/5/2/2/9/10588-01a.jpg</v>
      </c>
      <c r="L538" s="50"/>
      <c r="M538" s="50" t="str">
        <f>RawList!F507</f>
        <v>https://www.sparkfun.com/products/10588</v>
      </c>
    </row>
    <row r="539" spans="2:13" x14ac:dyDescent="0.3">
      <c r="B539" s="50" t="str">
        <f>RawList!A508</f>
        <v>Low-Level Electronics</v>
      </c>
      <c r="C539" s="50" t="str">
        <f>RawList!B508</f>
        <v>Plugs/Jacks/Adapters, Audio</v>
      </c>
      <c r="D539" s="50" t="str">
        <f>RawList!C508</f>
        <v>Adafruit</v>
      </c>
      <c r="E539" s="50" t="str">
        <f>RawList!H508</f>
        <v xml:space="preserve">1/4" (6.35mm) Stereo Plug Terminal Block </v>
      </c>
      <c r="F539" s="50" t="str">
        <f>RawList!D508</f>
        <v>2911</v>
      </c>
      <c r="G539" s="137">
        <f>RawList!E508</f>
        <v>0</v>
      </c>
      <c r="H539" s="50" t="str">
        <f>IF(EquipmentTable[[#This Row],[Units]]&gt;0,"Quantity &gt; 0 Items","Quantity = 0 Items")</f>
        <v>Quantity = 0 Items</v>
      </c>
      <c r="I539" s="141">
        <f>RawList!J508</f>
        <v>1.95</v>
      </c>
      <c r="J539" s="24">
        <f>VALUE(EquipmentTable[[#This Row],[Units]]*EquipmentTable[[#This Row],[Unit
 Price]])</f>
        <v>0</v>
      </c>
      <c r="K539" s="50">
        <f>RawList!G508</f>
        <v>0</v>
      </c>
      <c r="L539" s="50"/>
      <c r="M539" s="50">
        <f>RawList!F508</f>
        <v>0</v>
      </c>
    </row>
    <row r="540" spans="2:13" x14ac:dyDescent="0.3">
      <c r="B540" s="50" t="str">
        <f>RawList!A509</f>
        <v>Low-Level Electronics</v>
      </c>
      <c r="C540" s="50" t="str">
        <f>RawList!B509</f>
        <v>Plugs/Jacks/Adapters, Audio</v>
      </c>
      <c r="D540" s="50" t="str">
        <f>RawList!C509</f>
        <v>Adafruit</v>
      </c>
      <c r="E540" s="50" t="str">
        <f>RawList!H509</f>
        <v xml:space="preserve">3.5mm (1/8") Stereo Audio Jack Terminal Block </v>
      </c>
      <c r="F540" s="50" t="str">
        <f>RawList!D509</f>
        <v>2791</v>
      </c>
      <c r="G540" s="137">
        <f>RawList!E509</f>
        <v>0</v>
      </c>
      <c r="H540" s="50" t="str">
        <f>IF(EquipmentTable[[#This Row],[Units]]&gt;0,"Quantity &gt; 0 Items","Quantity = 0 Items")</f>
        <v>Quantity = 0 Items</v>
      </c>
      <c r="I540" s="141">
        <f>RawList!J509</f>
        <v>2.5</v>
      </c>
      <c r="J540" s="24">
        <f>VALUE(EquipmentTable[[#This Row],[Units]]*EquipmentTable[[#This Row],[Unit
 Price]])</f>
        <v>0</v>
      </c>
      <c r="K540" s="50">
        <f>RawList!G509</f>
        <v>0</v>
      </c>
      <c r="L540" s="50"/>
      <c r="M540" s="50">
        <f>RawList!F509</f>
        <v>0</v>
      </c>
    </row>
    <row r="541" spans="2:13" x14ac:dyDescent="0.3">
      <c r="B541" s="50" t="str">
        <f>RawList!A510</f>
        <v>Low-Level Electronics</v>
      </c>
      <c r="C541" s="50" t="str">
        <f>RawList!B510</f>
        <v>Plugs/Jacks/Adapters, Audio</v>
      </c>
      <c r="D541" s="50" t="str">
        <f>RawList!C510</f>
        <v>Adafruit</v>
      </c>
      <c r="E541" s="50" t="str">
        <f>RawList!H510</f>
        <v xml:space="preserve">3.5mm (1/8") Stereo Audio Plug Terminal Block </v>
      </c>
      <c r="F541" s="50" t="str">
        <f>RawList!D510</f>
        <v>2790</v>
      </c>
      <c r="G541" s="137">
        <f>RawList!E510</f>
        <v>0</v>
      </c>
      <c r="H541" s="50" t="str">
        <f>IF(EquipmentTable[[#This Row],[Units]]&gt;0,"Quantity &gt; 0 Items","Quantity = 0 Items")</f>
        <v>Quantity = 0 Items</v>
      </c>
      <c r="I541" s="141">
        <f>RawList!J510</f>
        <v>2.5</v>
      </c>
      <c r="J541" s="24">
        <f>VALUE(EquipmentTable[[#This Row],[Units]]*EquipmentTable[[#This Row],[Unit
 Price]])</f>
        <v>0</v>
      </c>
      <c r="K541" s="50">
        <f>RawList!G510</f>
        <v>0</v>
      </c>
      <c r="L541" s="50"/>
      <c r="M541" s="50">
        <f>RawList!F510</f>
        <v>0</v>
      </c>
    </row>
    <row r="542" spans="2:13" x14ac:dyDescent="0.3">
      <c r="B542" s="50" t="str">
        <f>RawList!A511</f>
        <v>Low-Level Electronics</v>
      </c>
      <c r="C542" s="50" t="str">
        <f>RawList!B511</f>
        <v>Plugs/Jacks/Adapters, Audio</v>
      </c>
      <c r="D542" s="50" t="str">
        <f>RawList!C511</f>
        <v>Adafruit</v>
      </c>
      <c r="E542" s="50" t="str">
        <f>RawList!H511</f>
        <v xml:space="preserve">Breadboard-Friendly 3.5mm Stereo Headphone Jack </v>
      </c>
      <c r="F542" s="50" t="str">
        <f>RawList!D511</f>
        <v>1699</v>
      </c>
      <c r="G542" s="137">
        <f>RawList!E511</f>
        <v>0</v>
      </c>
      <c r="H542" s="50" t="str">
        <f>IF(EquipmentTable[[#This Row],[Units]]&gt;0,"Quantity &gt; 0 Items","Quantity = 0 Items")</f>
        <v>Quantity = 0 Items</v>
      </c>
      <c r="I542" s="141">
        <f>RawList!J511</f>
        <v>0.95</v>
      </c>
      <c r="J542" s="24">
        <f>VALUE(EquipmentTable[[#This Row],[Units]]*EquipmentTable[[#This Row],[Unit
 Price]])</f>
        <v>0</v>
      </c>
      <c r="K542" s="50">
        <f>RawList!G511</f>
        <v>0</v>
      </c>
      <c r="L542" s="50"/>
      <c r="M542" s="50">
        <f>RawList!F511</f>
        <v>0</v>
      </c>
    </row>
    <row r="543" spans="2:13" hidden="1" x14ac:dyDescent="0.3">
      <c r="B543" s="50" t="str">
        <f>RawList!A512</f>
        <v>Low-Level Electronics</v>
      </c>
      <c r="C543" s="50" t="str">
        <f>RawList!B512</f>
        <v>PogoPins</v>
      </c>
      <c r="D543" s="50" t="str">
        <f>RawList!C512</f>
        <v>Adafruit</v>
      </c>
      <c r="E543" s="50" t="str">
        <f>RawList!H512</f>
        <v xml:space="preserve">Pogo Pins "Crown Head" (10 pack) - P75-H2 </v>
      </c>
      <c r="F543" s="50" t="str">
        <f>RawList!D512</f>
        <v>2429</v>
      </c>
      <c r="G543" s="137">
        <f>RawList!E512</f>
        <v>1</v>
      </c>
      <c r="H543" s="50" t="str">
        <f>IF(EquipmentTable[[#This Row],[Units]]&gt;0,"Quantity &gt; 0 Items","Quantity = 0 Items")</f>
        <v>Quantity &gt; 0 Items</v>
      </c>
      <c r="I543" s="141">
        <f>RawList!J512</f>
        <v>4.95</v>
      </c>
      <c r="J543" s="24">
        <f>VALUE(EquipmentTable[[#This Row],[Units]]*EquipmentTable[[#This Row],[Unit
 Price]])</f>
        <v>4.95</v>
      </c>
      <c r="K543" s="50">
        <f>RawList!G512</f>
        <v>0</v>
      </c>
      <c r="L543" s="50"/>
      <c r="M543" s="50">
        <f>RawList!F512</f>
        <v>0</v>
      </c>
    </row>
    <row r="544" spans="2:13" hidden="1" x14ac:dyDescent="0.3">
      <c r="B544" s="50" t="str">
        <f>RawList!A513</f>
        <v>Low-Level Electronics</v>
      </c>
      <c r="C544" s="50" t="str">
        <f>RawList!B513</f>
        <v>PogoPins</v>
      </c>
      <c r="D544" s="50" t="str">
        <f>RawList!C513</f>
        <v>Adafruit</v>
      </c>
      <c r="E544" s="50" t="str">
        <f>RawList!H513</f>
        <v xml:space="preserve">Pogo Pins "Cupped Head" (10 pack) - P75-A2 </v>
      </c>
      <c r="F544" s="50" t="str">
        <f>RawList!D513</f>
        <v>2428</v>
      </c>
      <c r="G544" s="137">
        <f>RawList!E513</f>
        <v>1</v>
      </c>
      <c r="H544" s="50" t="str">
        <f>IF(EquipmentTable[[#This Row],[Units]]&gt;0,"Quantity &gt; 0 Items","Quantity = 0 Items")</f>
        <v>Quantity &gt; 0 Items</v>
      </c>
      <c r="I544" s="141">
        <f>RawList!J513</f>
        <v>4.95</v>
      </c>
      <c r="J544" s="24">
        <f>VALUE(EquipmentTable[[#This Row],[Units]]*EquipmentTable[[#This Row],[Unit
 Price]])</f>
        <v>4.95</v>
      </c>
      <c r="K544" s="50">
        <f>RawList!G513</f>
        <v>0</v>
      </c>
      <c r="L544" s="50"/>
      <c r="M544" s="50">
        <f>RawList!F513</f>
        <v>0</v>
      </c>
    </row>
    <row r="545" spans="2:13" hidden="1" x14ac:dyDescent="0.3">
      <c r="B545" s="50" t="str">
        <f>RawList!A514</f>
        <v>Low-Level Electronics</v>
      </c>
      <c r="C545" s="50" t="str">
        <f>RawList!B514</f>
        <v>PogoPins</v>
      </c>
      <c r="D545" s="50" t="str">
        <f>RawList!C514</f>
        <v>Adafruit</v>
      </c>
      <c r="E545" s="50" t="str">
        <f>RawList!H514</f>
        <v>Pogo Pins "Needle Head" (10 pack) - P75-B1</v>
      </c>
      <c r="F545" s="50" t="str">
        <f>RawList!D514</f>
        <v>2430</v>
      </c>
      <c r="G545" s="137">
        <f>RawList!E514</f>
        <v>1</v>
      </c>
      <c r="H545" s="50" t="str">
        <f>IF(EquipmentTable[[#This Row],[Units]]&gt;0,"Quantity &gt; 0 Items","Quantity = 0 Items")</f>
        <v>Quantity &gt; 0 Items</v>
      </c>
      <c r="I545" s="141">
        <f>RawList!J514</f>
        <v>4.95</v>
      </c>
      <c r="J545" s="24">
        <f>VALUE(EquipmentTable[[#This Row],[Units]]*EquipmentTable[[#This Row],[Unit
 Price]])</f>
        <v>4.95</v>
      </c>
      <c r="K545" s="50">
        <f>RawList!G514</f>
        <v>0</v>
      </c>
      <c r="L545" s="50"/>
      <c r="M545" s="50">
        <f>RawList!F514</f>
        <v>0</v>
      </c>
    </row>
    <row r="546" spans="2:13" hidden="1" x14ac:dyDescent="0.3">
      <c r="B546" s="50" t="str">
        <f>RawList!A515</f>
        <v>Low-Level Electronics</v>
      </c>
      <c r="C546" s="50" t="str">
        <f>RawList!B515</f>
        <v>PogoPins</v>
      </c>
      <c r="D546" s="50" t="str">
        <f>RawList!C515</f>
        <v>Adafruit</v>
      </c>
      <c r="E546" s="50" t="str">
        <f>RawList!H515</f>
        <v xml:space="preserve">Pogo Pins "Spear Head" (10 pack) - P75-LM3 </v>
      </c>
      <c r="F546" s="50" t="str">
        <f>RawList!D515</f>
        <v>394</v>
      </c>
      <c r="G546" s="137">
        <f>RawList!E515</f>
        <v>1</v>
      </c>
      <c r="H546" s="50" t="str">
        <f>IF(EquipmentTable[[#This Row],[Units]]&gt;0,"Quantity &gt; 0 Items","Quantity = 0 Items")</f>
        <v>Quantity &gt; 0 Items</v>
      </c>
      <c r="I546" s="141">
        <f>RawList!J515</f>
        <v>7.5</v>
      </c>
      <c r="J546" s="24">
        <f>VALUE(EquipmentTable[[#This Row],[Units]]*EquipmentTable[[#This Row],[Unit
 Price]])</f>
        <v>7.5</v>
      </c>
      <c r="K546" s="50">
        <f>RawList!G515</f>
        <v>0</v>
      </c>
      <c r="L546" s="50"/>
      <c r="M546" s="50">
        <f>RawList!F515</f>
        <v>0</v>
      </c>
    </row>
    <row r="547" spans="2:13" x14ac:dyDescent="0.3">
      <c r="B547" s="50" t="str">
        <f>RawList!A516</f>
        <v>Low-Level Electronics</v>
      </c>
      <c r="C547" s="50" t="str">
        <f>RawList!B516</f>
        <v>Ribbon/IDC Cables</v>
      </c>
      <c r="D547" s="50" t="str">
        <f>RawList!C516</f>
        <v>SparkFun</v>
      </c>
      <c r="E547" s="50" t="str">
        <f>RawList!H516</f>
        <v>Ribbon Cable - 6 wire (15ft)</v>
      </c>
      <c r="F547" s="50" t="str">
        <f>RawList!D516</f>
        <v>CAB-10646</v>
      </c>
      <c r="G547" s="137">
        <f>RawList!E516</f>
        <v>2</v>
      </c>
      <c r="H547" s="50" t="str">
        <f>IF(EquipmentTable[[#This Row],[Units]]&gt;0,"Quantity &gt; 0 Items","Quantity = 0 Items")</f>
        <v>Quantity &gt; 0 Items</v>
      </c>
      <c r="I547" s="141">
        <f>RawList!J516</f>
        <v>2.95</v>
      </c>
      <c r="J547" s="24">
        <f>VALUE(EquipmentTable[[#This Row],[Units]]*EquipmentTable[[#This Row],[Unit
 Price]])</f>
        <v>5.9</v>
      </c>
      <c r="K547" s="50" t="str">
        <f>RawList!G516</f>
        <v>https://cdn.sparkfun.com/r/92-92/assets/parts/5/4/2/1/10646-02.jpg</v>
      </c>
      <c r="L547" s="50"/>
      <c r="M547" s="50" t="str">
        <f>RawList!F516</f>
        <v>https://www.sparkfun.com/products/10646</v>
      </c>
    </row>
    <row r="548" spans="2:13" x14ac:dyDescent="0.3">
      <c r="B548" s="50" t="str">
        <f>RawList!A517</f>
        <v>Low-Level Electronics</v>
      </c>
      <c r="C548" s="50" t="str">
        <f>RawList!B517</f>
        <v>Ribbon/IDC Cables</v>
      </c>
      <c r="D548" s="50" t="str">
        <f>RawList!C517</f>
        <v>Adafruit</v>
      </c>
      <c r="E548" s="50" t="str">
        <f>RawList!H517</f>
        <v>6-pin Socket/Socket IDC cable - 6"</v>
      </c>
      <c r="F548" s="50" t="str">
        <f>RawList!D517</f>
        <v>371</v>
      </c>
      <c r="G548" s="137">
        <f>RawList!E517</f>
        <v>0</v>
      </c>
      <c r="H548" s="50" t="str">
        <f>IF(EquipmentTable[[#This Row],[Units]]&gt;0,"Quantity &gt; 0 Items","Quantity = 0 Items")</f>
        <v>Quantity = 0 Items</v>
      </c>
      <c r="I548" s="141">
        <f>RawList!J517</f>
        <v>2</v>
      </c>
      <c r="J548" s="24">
        <f>VALUE(EquipmentTable[[#This Row],[Units]]*EquipmentTable[[#This Row],[Unit
 Price]])</f>
        <v>0</v>
      </c>
      <c r="K548" s="50">
        <f>RawList!G517</f>
        <v>0</v>
      </c>
      <c r="L548" s="50"/>
      <c r="M548" s="50">
        <f>RawList!F517</f>
        <v>0</v>
      </c>
    </row>
    <row r="549" spans="2:13" x14ac:dyDescent="0.3">
      <c r="B549" s="50" t="str">
        <f>RawList!A518</f>
        <v>Low-Level Electronics</v>
      </c>
      <c r="C549" s="50" t="str">
        <f>RawList!B518</f>
        <v>Ribbon/IDC Cables</v>
      </c>
      <c r="D549" s="50" t="str">
        <f>RawList!C518</f>
        <v>SparkFun</v>
      </c>
      <c r="E549" s="50" t="str">
        <f>RawList!H518</f>
        <v>Ribbon Cable - 10 wire (3ft)</v>
      </c>
      <c r="F549" s="50" t="str">
        <f>RawList!D518</f>
        <v>CAB-10649</v>
      </c>
      <c r="G549" s="137">
        <f>RawList!E518</f>
        <v>0</v>
      </c>
      <c r="H549" s="50" t="str">
        <f>IF(EquipmentTable[[#This Row],[Units]]&gt;0,"Quantity &gt; 0 Items","Quantity = 0 Items")</f>
        <v>Quantity = 0 Items</v>
      </c>
      <c r="I549" s="141">
        <f>RawList!J518</f>
        <v>0.95</v>
      </c>
      <c r="J549" s="24">
        <f>VALUE(EquipmentTable[[#This Row],[Units]]*EquipmentTable[[#This Row],[Unit
 Price]])</f>
        <v>0</v>
      </c>
      <c r="K549" s="50" t="str">
        <f>RawList!G518</f>
        <v>https://cdn.sparkfun.com/r/92-92/assets/parts/5/4/2/4/10649-01.jpg</v>
      </c>
      <c r="L549" s="50"/>
      <c r="M549" s="50" t="str">
        <f>RawList!F518</f>
        <v>https://www.sparkfun.com/products/10649</v>
      </c>
    </row>
    <row r="550" spans="2:13" x14ac:dyDescent="0.3">
      <c r="B550" s="50" t="str">
        <f>RawList!A519</f>
        <v>Low-Level Electronics</v>
      </c>
      <c r="C550" s="50" t="str">
        <f>RawList!B519</f>
        <v>Ribbon/IDC Cables</v>
      </c>
      <c r="D550" s="50" t="str">
        <f>RawList!C519</f>
        <v>SparkFun</v>
      </c>
      <c r="E550" s="50" t="str">
        <f>RawList!H519</f>
        <v>Ribbon Cable - 10 wire (15ft)</v>
      </c>
      <c r="F550" s="50" t="str">
        <f>RawList!D519</f>
        <v>CAB-10647</v>
      </c>
      <c r="G550" s="137">
        <f>RawList!E519</f>
        <v>1</v>
      </c>
      <c r="H550" s="50" t="str">
        <f>IF(EquipmentTable[[#This Row],[Units]]&gt;0,"Quantity &gt; 0 Items","Quantity = 0 Items")</f>
        <v>Quantity &gt; 0 Items</v>
      </c>
      <c r="I550" s="141">
        <f>RawList!J519</f>
        <v>4.95</v>
      </c>
      <c r="J550" s="24">
        <f>VALUE(EquipmentTable[[#This Row],[Units]]*EquipmentTable[[#This Row],[Unit
 Price]])</f>
        <v>4.95</v>
      </c>
      <c r="K550" s="50" t="str">
        <f>RawList!G519</f>
        <v>https://cdn.sparkfun.com/r/92-92/assets/parts/5/4/2/2/10647-04.jpg</v>
      </c>
      <c r="L550" s="50"/>
      <c r="M550" s="50" t="str">
        <f>RawList!F519</f>
        <v>https://www.sparkfun.com/products/10647</v>
      </c>
    </row>
    <row r="551" spans="2:13" x14ac:dyDescent="0.3">
      <c r="B551" s="50" t="str">
        <f>RawList!A520</f>
        <v>Low-Level Electronics</v>
      </c>
      <c r="C551" s="50" t="str">
        <f>RawList!B520</f>
        <v>Ribbon/IDC Cables</v>
      </c>
      <c r="D551" s="50" t="str">
        <f>RawList!C520</f>
        <v>Adafruit</v>
      </c>
      <c r="E551" s="50" t="str">
        <f>RawList!H520</f>
        <v>10-pin Socket/Socket IDC cable - Short 1.5"</v>
      </c>
      <c r="F551" s="50" t="str">
        <f>RawList!D520</f>
        <v>556</v>
      </c>
      <c r="G551" s="137">
        <f>RawList!E520</f>
        <v>0</v>
      </c>
      <c r="H551" s="50" t="str">
        <f>IF(EquipmentTable[[#This Row],[Units]]&gt;0,"Quantity &gt; 0 Items","Quantity = 0 Items")</f>
        <v>Quantity = 0 Items</v>
      </c>
      <c r="I551" s="141">
        <f>RawList!J520</f>
        <v>1.5</v>
      </c>
      <c r="J551" s="24">
        <f>VALUE(EquipmentTable[[#This Row],[Units]]*EquipmentTable[[#This Row],[Unit
 Price]])</f>
        <v>0</v>
      </c>
      <c r="K551" s="50">
        <f>RawList!G520</f>
        <v>0</v>
      </c>
      <c r="L551" s="50"/>
      <c r="M551" s="50">
        <f>RawList!F520</f>
        <v>0</v>
      </c>
    </row>
    <row r="552" spans="2:13" x14ac:dyDescent="0.3">
      <c r="B552" s="50" t="str">
        <f>RawList!A521</f>
        <v>Low-Level Electronics</v>
      </c>
      <c r="C552" s="50" t="str">
        <f>RawList!B521</f>
        <v>Ribbon/IDC Cables</v>
      </c>
      <c r="D552" s="50" t="str">
        <f>RawList!C521</f>
        <v>Adafruit</v>
      </c>
      <c r="E552" s="50" t="str">
        <f>RawList!H521</f>
        <v xml:space="preserve">10-pin Socket/Socket IDC cable - 6" </v>
      </c>
      <c r="F552" s="50" t="str">
        <f>RawList!D521</f>
        <v>370</v>
      </c>
      <c r="G552" s="137">
        <f>RawList!E521</f>
        <v>0</v>
      </c>
      <c r="H552" s="50" t="str">
        <f>IF(EquipmentTable[[#This Row],[Units]]&gt;0,"Quantity &gt; 0 Items","Quantity = 0 Items")</f>
        <v>Quantity = 0 Items</v>
      </c>
      <c r="I552" s="141">
        <f>RawList!J521</f>
        <v>2</v>
      </c>
      <c r="J552" s="24">
        <f>VALUE(EquipmentTable[[#This Row],[Units]]*EquipmentTable[[#This Row],[Unit
 Price]])</f>
        <v>0</v>
      </c>
      <c r="K552" s="50">
        <f>RawList!G521</f>
        <v>0</v>
      </c>
      <c r="L552" s="50"/>
      <c r="M552" s="50">
        <f>RawList!F521</f>
        <v>0</v>
      </c>
    </row>
    <row r="553" spans="2:13" x14ac:dyDescent="0.3">
      <c r="B553" s="50" t="str">
        <f>RawList!A522</f>
        <v>Low-Level Electronics</v>
      </c>
      <c r="C553" s="50" t="str">
        <f>RawList!B522</f>
        <v>Ribbon/IDC Cables</v>
      </c>
      <c r="D553" s="50" t="str">
        <f>RawList!C522</f>
        <v>Adafruit</v>
      </c>
      <c r="E553" s="50" t="str">
        <f>RawList!H522</f>
        <v>10-pin IDC Socket Rainbow Breakout Cable</v>
      </c>
      <c r="F553" s="50" t="str">
        <f>RawList!D522</f>
        <v>1199</v>
      </c>
      <c r="G553" s="137">
        <f>RawList!E522</f>
        <v>0</v>
      </c>
      <c r="H553" s="50" t="str">
        <f>IF(EquipmentTable[[#This Row],[Units]]&gt;0,"Quantity &gt; 0 Items","Quantity = 0 Items")</f>
        <v>Quantity = 0 Items</v>
      </c>
      <c r="I553" s="141">
        <f>RawList!J522</f>
        <v>3.95</v>
      </c>
      <c r="J553" s="24">
        <f>VALUE(EquipmentTable[[#This Row],[Units]]*EquipmentTable[[#This Row],[Unit
 Price]])</f>
        <v>0</v>
      </c>
      <c r="K553" s="50">
        <f>RawList!G522</f>
        <v>0</v>
      </c>
      <c r="L553" s="50"/>
      <c r="M553" s="50">
        <f>RawList!F522</f>
        <v>0</v>
      </c>
    </row>
    <row r="554" spans="2:13" x14ac:dyDescent="0.3">
      <c r="B554" s="50" t="str">
        <f>RawList!A523</f>
        <v>Low-Level Electronics</v>
      </c>
      <c r="C554" s="50" t="str">
        <f>RawList!B523</f>
        <v>Ribbon/IDC Cables</v>
      </c>
      <c r="D554" s="50" t="str">
        <f>RawList!C523</f>
        <v>SparkFun</v>
      </c>
      <c r="E554" s="50" t="str">
        <f>RawList!H523</f>
        <v>2x5 Pin IDC Ribbon Cable</v>
      </c>
      <c r="F554" s="50" t="str">
        <f>RawList!D523</f>
        <v>PRT-08535</v>
      </c>
      <c r="G554" s="137">
        <f>RawList!E523</f>
        <v>0</v>
      </c>
      <c r="H554" s="50" t="str">
        <f>IF(EquipmentTable[[#This Row],[Units]]&gt;0,"Quantity &gt; 0 Items","Quantity = 0 Items")</f>
        <v>Quantity = 0 Items</v>
      </c>
      <c r="I554" s="141">
        <f>RawList!J523</f>
        <v>1.5</v>
      </c>
      <c r="J554" s="24">
        <f>VALUE(EquipmentTable[[#This Row],[Units]]*EquipmentTable[[#This Row],[Unit
 Price]])</f>
        <v>0</v>
      </c>
      <c r="K554" s="50" t="str">
        <f>RawList!G523</f>
        <v>https://cdn.sparkfun.com/r/92-92/assets/parts/1/2/4/8/CAB-08535-03-L.jpg</v>
      </c>
      <c r="L554" s="50"/>
      <c r="M554" s="50" t="str">
        <f>RawList!F523</f>
        <v>https://www.sparkfun.com/products/8535</v>
      </c>
    </row>
    <row r="555" spans="2:13" x14ac:dyDescent="0.3">
      <c r="B555" s="50" t="str">
        <f>RawList!A524</f>
        <v>Low-Level Electronics</v>
      </c>
      <c r="C555" s="50" t="str">
        <f>RawList!B524</f>
        <v>Ribbon/IDC Cables</v>
      </c>
      <c r="D555" s="50" t="str">
        <f>RawList!C524</f>
        <v>Adafruit</v>
      </c>
      <c r="E555" s="50" t="str">
        <f>RawList!H524</f>
        <v>10-pin 2x5 Socket-Socket 1.27mm IDC (SWD) Cable - 150mm long</v>
      </c>
      <c r="F555" s="50" t="str">
        <f>RawList!D524</f>
        <v>1675</v>
      </c>
      <c r="G555" s="137">
        <f>RawList!E524</f>
        <v>0</v>
      </c>
      <c r="H555" s="50" t="str">
        <f>IF(EquipmentTable[[#This Row],[Units]]&gt;0,"Quantity &gt; 0 Items","Quantity = 0 Items")</f>
        <v>Quantity = 0 Items</v>
      </c>
      <c r="I555" s="141">
        <f>RawList!J524</f>
        <v>2.95</v>
      </c>
      <c r="J555" s="24">
        <f>VALUE(EquipmentTable[[#This Row],[Units]]*EquipmentTable[[#This Row],[Unit
 Price]])</f>
        <v>0</v>
      </c>
      <c r="K555" s="50">
        <f>RawList!G524</f>
        <v>0</v>
      </c>
      <c r="L555" s="50"/>
      <c r="M555" s="50">
        <f>RawList!F524</f>
        <v>0</v>
      </c>
    </row>
    <row r="556" spans="2:13" x14ac:dyDescent="0.3">
      <c r="B556" s="50" t="str">
        <f>RawList!A525</f>
        <v>Low-Level Electronics</v>
      </c>
      <c r="C556" s="50" t="str">
        <f>RawList!B525</f>
        <v>Rotary Potentiometers/Encoders/Switches</v>
      </c>
      <c r="D556" s="50" t="str">
        <f>RawList!C525</f>
        <v>SparkFun</v>
      </c>
      <c r="E556" s="50" t="str">
        <f>RawList!H525</f>
        <v>Rotary Potentiometer - 10k Ohm, Linear</v>
      </c>
      <c r="F556" s="50" t="str">
        <f>RawList!D525</f>
        <v>COM-09939</v>
      </c>
      <c r="G556" s="137">
        <f>RawList!E525</f>
        <v>0</v>
      </c>
      <c r="H556" s="50" t="str">
        <f>IF(EquipmentTable[[#This Row],[Units]]&gt;0,"Quantity &gt; 0 Items","Quantity = 0 Items")</f>
        <v>Quantity = 0 Items</v>
      </c>
      <c r="I556" s="141">
        <f>RawList!J525</f>
        <v>0.95</v>
      </c>
      <c r="J556" s="24">
        <f>VALUE(EquipmentTable[[#This Row],[Units]]*EquipmentTable[[#This Row],[Unit
 Price]])</f>
        <v>0</v>
      </c>
      <c r="K556" s="50" t="str">
        <f>RawList!G525</f>
        <v>https://cdn.sparkfun.com/r/92-92/assets/parts/4/0/4/9/09939-01.jpg</v>
      </c>
      <c r="L556" s="50"/>
      <c r="M556" s="50" t="str">
        <f>RawList!F525</f>
        <v>https://www.sparkfun.com/products/9939</v>
      </c>
    </row>
    <row r="557" spans="2:13" x14ac:dyDescent="0.3">
      <c r="B557" s="50" t="str">
        <f>RawList!A526</f>
        <v>Low-Level Electronics</v>
      </c>
      <c r="C557" s="50" t="str">
        <f>RawList!B526</f>
        <v>Rotary Potentiometers/Encoders/Switches</v>
      </c>
      <c r="D557" s="50" t="str">
        <f>RawList!C526</f>
        <v>SparkFun</v>
      </c>
      <c r="E557" s="50" t="str">
        <f>RawList!H526</f>
        <v>Rotary Potentiometer - 10k Ohm, Logarithmic</v>
      </c>
      <c r="F557" s="50" t="str">
        <f>RawList!D526</f>
        <v>COM-09940</v>
      </c>
      <c r="G557" s="137">
        <f>RawList!E526</f>
        <v>0</v>
      </c>
      <c r="H557" s="50" t="str">
        <f>IF(EquipmentTable[[#This Row],[Units]]&gt;0,"Quantity &gt; 0 Items","Quantity = 0 Items")</f>
        <v>Quantity = 0 Items</v>
      </c>
      <c r="I557" s="141">
        <f>RawList!J526</f>
        <v>0.95</v>
      </c>
      <c r="J557" s="24">
        <f>VALUE(EquipmentTable[[#This Row],[Units]]*EquipmentTable[[#This Row],[Unit
 Price]])</f>
        <v>0</v>
      </c>
      <c r="K557" s="50" t="str">
        <f>RawList!G526</f>
        <v>https://cdn.sparkfun.com/r/92-92/assets/parts/4/0/5/0/09940-01.jpg</v>
      </c>
      <c r="L557" s="50"/>
      <c r="M557" s="50" t="str">
        <f>RawList!F526</f>
        <v>https://www.sparkfun.com/products/9940</v>
      </c>
    </row>
    <row r="558" spans="2:13" x14ac:dyDescent="0.3">
      <c r="B558" s="50" t="str">
        <f>RawList!A527</f>
        <v>Low-Level Electronics</v>
      </c>
      <c r="C558" s="50" t="str">
        <f>RawList!B527</f>
        <v>Rotary Potentiometers/Encoders/Switches</v>
      </c>
      <c r="D558" s="50" t="str">
        <f>RawList!C527</f>
        <v>SparkFun</v>
      </c>
      <c r="E558" s="50" t="str">
        <f>RawList!H527</f>
        <v>Rotary Potentiometer - Linear (10k ohm)</v>
      </c>
      <c r="F558" s="50" t="str">
        <f>RawList!D527</f>
        <v>COM-09288</v>
      </c>
      <c r="G558" s="137">
        <f>RawList!E527</f>
        <v>5</v>
      </c>
      <c r="H558" s="50" t="str">
        <f>IF(EquipmentTable[[#This Row],[Units]]&gt;0,"Quantity &gt; 0 Items","Quantity = 0 Items")</f>
        <v>Quantity &gt; 0 Items</v>
      </c>
      <c r="I558" s="141">
        <f>RawList!J527</f>
        <v>0.95</v>
      </c>
      <c r="J558" s="24">
        <f>VALUE(EquipmentTable[[#This Row],[Units]]*EquipmentTable[[#This Row],[Unit
 Price]])</f>
        <v>4.75</v>
      </c>
      <c r="K558" s="50" t="str">
        <f>RawList!G527</f>
        <v>https://cdn.sparkfun.com/r/92-92/assets/parts/2/7/9/4/09288-1.jpg</v>
      </c>
      <c r="L558" s="50"/>
      <c r="M558" s="50" t="str">
        <f>RawList!F527</f>
        <v>https://www.sparkfun.com/products/9288</v>
      </c>
    </row>
    <row r="559" spans="2:13" x14ac:dyDescent="0.3">
      <c r="B559" s="50" t="str">
        <f>RawList!A528</f>
        <v>Low-Level Electronics</v>
      </c>
      <c r="C559" s="50" t="str">
        <f>RawList!B528</f>
        <v>Rotary Potentiometers/Encoders/Switches</v>
      </c>
      <c r="D559" s="50" t="str">
        <f>RawList!C528</f>
        <v>Adafruit</v>
      </c>
      <c r="E559" s="50" t="str">
        <f>RawList!H528</f>
        <v xml:space="preserve">Panel Mount 10K Dual Linear Potentiometer - 10K Dual Linear </v>
      </c>
      <c r="F559" s="50" t="str">
        <f>RawList!D528</f>
        <v>3392</v>
      </c>
      <c r="G559" s="137">
        <f>RawList!E528</f>
        <v>0</v>
      </c>
      <c r="H559" s="50" t="str">
        <f>IF(EquipmentTable[[#This Row],[Units]]&gt;0,"Quantity &gt; 0 Items","Quantity = 0 Items")</f>
        <v>Quantity = 0 Items</v>
      </c>
      <c r="I559" s="141">
        <f>RawList!J528</f>
        <v>1.5</v>
      </c>
      <c r="J559" s="24">
        <f>VALUE(EquipmentTable[[#This Row],[Units]]*EquipmentTable[[#This Row],[Unit
 Price]])</f>
        <v>0</v>
      </c>
      <c r="K559" s="50">
        <f>RawList!G528</f>
        <v>0</v>
      </c>
      <c r="L559" s="50"/>
      <c r="M559" s="50">
        <f>RawList!F528</f>
        <v>0</v>
      </c>
    </row>
    <row r="560" spans="2:13" x14ac:dyDescent="0.3">
      <c r="B560" s="50" t="str">
        <f>RawList!A529</f>
        <v>Low-Level Electronics</v>
      </c>
      <c r="C560" s="50" t="str">
        <f>RawList!B529</f>
        <v>Rotary Potentiometers/Encoders/Switches</v>
      </c>
      <c r="D560" s="50" t="str">
        <f>RawList!C529</f>
        <v>Adafruit</v>
      </c>
      <c r="E560" s="50" t="str">
        <f>RawList!H529</f>
        <v xml:space="preserve">Panel Mount 10K Dual Linear Potentiometer w/ On-Off Switch - 10K Dual Linear w/ Switch </v>
      </c>
      <c r="F560" s="50" t="str">
        <f>RawList!D529</f>
        <v>3393</v>
      </c>
      <c r="G560" s="137">
        <f>RawList!E529</f>
        <v>0</v>
      </c>
      <c r="H560" s="50" t="str">
        <f>IF(EquipmentTable[[#This Row],[Units]]&gt;0,"Quantity &gt; 0 Items","Quantity = 0 Items")</f>
        <v>Quantity = 0 Items</v>
      </c>
      <c r="I560" s="141">
        <f>RawList!J529</f>
        <v>1.75</v>
      </c>
      <c r="J560" s="24">
        <f>VALUE(EquipmentTable[[#This Row],[Units]]*EquipmentTable[[#This Row],[Unit
 Price]])</f>
        <v>0</v>
      </c>
      <c r="K560" s="50">
        <f>RawList!G529</f>
        <v>0</v>
      </c>
      <c r="L560" s="50"/>
      <c r="M560" s="50">
        <f>RawList!F529</f>
        <v>0</v>
      </c>
    </row>
    <row r="561" spans="2:13" x14ac:dyDescent="0.3">
      <c r="B561" s="50" t="str">
        <f>RawList!A530</f>
        <v>Low-Level Electronics</v>
      </c>
      <c r="C561" s="50" t="str">
        <f>RawList!B530</f>
        <v>Rotary Potentiometers/Encoders/Switches</v>
      </c>
      <c r="D561" s="50" t="str">
        <f>RawList!C530</f>
        <v>Adafruit</v>
      </c>
      <c r="E561" s="50" t="str">
        <f>RawList!H530</f>
        <v xml:space="preserve">Panel Mount 10K potentiometer (Breadboard Friendly) - 10K Linear </v>
      </c>
      <c r="F561" s="50" t="str">
        <f>RawList!D530</f>
        <v>562</v>
      </c>
      <c r="G561" s="137">
        <f>RawList!E530</f>
        <v>0</v>
      </c>
      <c r="H561" s="50" t="str">
        <f>IF(EquipmentTable[[#This Row],[Units]]&gt;0,"Quantity &gt; 0 Items","Quantity = 0 Items")</f>
        <v>Quantity = 0 Items</v>
      </c>
      <c r="I561" s="141">
        <f>RawList!J530</f>
        <v>0.95</v>
      </c>
      <c r="J561" s="24">
        <f>VALUE(EquipmentTable[[#This Row],[Units]]*EquipmentTable[[#This Row],[Unit
 Price]])</f>
        <v>0</v>
      </c>
      <c r="K561" s="50">
        <f>RawList!G530</f>
        <v>0</v>
      </c>
      <c r="L561" s="50"/>
      <c r="M561" s="50">
        <f>RawList!F530</f>
        <v>0</v>
      </c>
    </row>
    <row r="562" spans="2:13" x14ac:dyDescent="0.3">
      <c r="B562" s="50" t="str">
        <f>RawList!A531</f>
        <v>Low-Level Electronics</v>
      </c>
      <c r="C562" s="50" t="str">
        <f>RawList!B531</f>
        <v>Rotary Potentiometers/Encoders/Switches</v>
      </c>
      <c r="D562" s="50" t="str">
        <f>RawList!C531</f>
        <v>Adafruit</v>
      </c>
      <c r="E562" s="50" t="str">
        <f>RawList!H531</f>
        <v xml:space="preserve">Panel Mount 1K potentiometer (Breadboard Friendly) - 1K Linear </v>
      </c>
      <c r="F562" s="50" t="str">
        <f>RawList!D531</f>
        <v>1789</v>
      </c>
      <c r="G562" s="137">
        <f>RawList!E531</f>
        <v>0</v>
      </c>
      <c r="H562" s="50" t="str">
        <f>IF(EquipmentTable[[#This Row],[Units]]&gt;0,"Quantity &gt; 0 Items","Quantity = 0 Items")</f>
        <v>Quantity = 0 Items</v>
      </c>
      <c r="I562" s="141">
        <f>RawList!J531</f>
        <v>0.95</v>
      </c>
      <c r="J562" s="24">
        <f>VALUE(EquipmentTable[[#This Row],[Units]]*EquipmentTable[[#This Row],[Unit
 Price]])</f>
        <v>0</v>
      </c>
      <c r="K562" s="50">
        <f>RawList!G531</f>
        <v>0</v>
      </c>
      <c r="L562" s="50"/>
      <c r="M562" s="50">
        <f>RawList!F531</f>
        <v>0</v>
      </c>
    </row>
    <row r="563" spans="2:13" x14ac:dyDescent="0.3">
      <c r="B563" s="50" t="str">
        <f>RawList!A532</f>
        <v>Low-Level Electronics</v>
      </c>
      <c r="C563" s="50" t="str">
        <f>RawList!B532</f>
        <v>Rotary Potentiometers/Encoders/Switches</v>
      </c>
      <c r="D563" s="50" t="str">
        <f>RawList!C532</f>
        <v>Adafruit</v>
      </c>
      <c r="E563" s="50" t="str">
        <f>RawList!H532</f>
        <v xml:space="preserve">Panel Mount Right Angle 10K Linear Potentiometer w/On-Off Switch - 10K Linear w/ Switch </v>
      </c>
      <c r="F563" s="50" t="str">
        <f>RawList!D532</f>
        <v>3395</v>
      </c>
      <c r="G563" s="137">
        <f>RawList!E532</f>
        <v>5</v>
      </c>
      <c r="H563" s="50" t="str">
        <f>IF(EquipmentTable[[#This Row],[Units]]&gt;0,"Quantity &gt; 0 Items","Quantity = 0 Items")</f>
        <v>Quantity &gt; 0 Items</v>
      </c>
      <c r="I563" s="141">
        <f>RawList!J532</f>
        <v>1.5</v>
      </c>
      <c r="J563" s="24">
        <f>VALUE(EquipmentTable[[#This Row],[Units]]*EquipmentTable[[#This Row],[Unit
 Price]])</f>
        <v>7.5</v>
      </c>
      <c r="K563" s="50">
        <f>RawList!G532</f>
        <v>0</v>
      </c>
      <c r="L563" s="50"/>
      <c r="M563" s="50">
        <f>RawList!F532</f>
        <v>0</v>
      </c>
    </row>
    <row r="564" spans="2:13" x14ac:dyDescent="0.3">
      <c r="B564" s="50" t="str">
        <f>RawList!A533</f>
        <v>Low-Level Electronics</v>
      </c>
      <c r="C564" s="50" t="str">
        <f>RawList!B533</f>
        <v>Rotary Potentiometers/Encoders/Switches</v>
      </c>
      <c r="D564" s="50" t="str">
        <f>RawList!C533</f>
        <v>SparkFun</v>
      </c>
      <c r="E564" s="50" t="str">
        <f>RawList!H533</f>
        <v>Rotary Encoder</v>
      </c>
      <c r="F564" s="50" t="str">
        <f>RawList!D533</f>
        <v>COM-09117</v>
      </c>
      <c r="G564" s="137">
        <f>RawList!E533</f>
        <v>0</v>
      </c>
      <c r="H564" s="50" t="str">
        <f>IF(EquipmentTable[[#This Row],[Units]]&gt;0,"Quantity &gt; 0 Items","Quantity = 0 Items")</f>
        <v>Quantity = 0 Items</v>
      </c>
      <c r="I564" s="141">
        <f>RawList!J533</f>
        <v>2.95</v>
      </c>
      <c r="J564" s="24">
        <f>VALUE(EquipmentTable[[#This Row],[Units]]*EquipmentTable[[#This Row],[Unit
 Price]])</f>
        <v>0</v>
      </c>
      <c r="K564" s="50" t="str">
        <f>RawList!G533</f>
        <v>https://cdn.sparkfun.com/r/92-92/assets/parts/2/5/2/0/09117-03-L.jpg</v>
      </c>
      <c r="L564" s="50"/>
      <c r="M564" s="50" t="str">
        <f>RawList!F533</f>
        <v>https://www.sparkfun.com/products/9117</v>
      </c>
    </row>
    <row r="565" spans="2:13" x14ac:dyDescent="0.3">
      <c r="B565" s="50" t="str">
        <f>RawList!A534</f>
        <v>Low-Level Electronics</v>
      </c>
      <c r="C565" s="50" t="str">
        <f>RawList!B534</f>
        <v>Rotary Potentiometers/Encoders/Switches</v>
      </c>
      <c r="D565" s="50" t="str">
        <f>RawList!C534</f>
        <v>SparkFun</v>
      </c>
      <c r="E565" s="50" t="str">
        <f>RawList!H534</f>
        <v>Rotary Encoder - Illuminated (Red/Green)</v>
      </c>
      <c r="F565" s="50" t="str">
        <f>RawList!D534</f>
        <v>COM-10596</v>
      </c>
      <c r="G565" s="137">
        <f>RawList!E534</f>
        <v>0</v>
      </c>
      <c r="H565" s="50" t="str">
        <f>IF(EquipmentTable[[#This Row],[Units]]&gt;0,"Quantity &gt; 0 Items","Quantity = 0 Items")</f>
        <v>Quantity = 0 Items</v>
      </c>
      <c r="I565" s="141">
        <f>RawList!J534</f>
        <v>2.95</v>
      </c>
      <c r="J565" s="24">
        <f>VALUE(EquipmentTable[[#This Row],[Units]]*EquipmentTable[[#This Row],[Unit
 Price]])</f>
        <v>0</v>
      </c>
      <c r="K565" s="50" t="str">
        <f>RawList!G534</f>
        <v>https://cdn.sparkfun.com/r/92-92/assets/parts/5/2/3/9/10596-01.jpg</v>
      </c>
      <c r="L565" s="50"/>
      <c r="M565" s="50" t="str">
        <f>RawList!F534</f>
        <v>https://www.sparkfun.com/products/10596</v>
      </c>
    </row>
    <row r="566" spans="2:13" x14ac:dyDescent="0.3">
      <c r="B566" s="50" t="str">
        <f>RawList!A535</f>
        <v>Low-Level Electronics</v>
      </c>
      <c r="C566" s="50" t="str">
        <f>RawList!B535</f>
        <v>Rotary Potentiometers/Encoders/Switches</v>
      </c>
      <c r="D566" s="50" t="str">
        <f>RawList!C535</f>
        <v>SparkFun</v>
      </c>
      <c r="E566" s="50" t="str">
        <f>RawList!H535</f>
        <v>Rotary Encoder - Illuminated (RGB)</v>
      </c>
      <c r="F566" s="50" t="str">
        <f>RawList!D535</f>
        <v>COM-10982</v>
      </c>
      <c r="G566" s="137">
        <f>RawList!E535</f>
        <v>0</v>
      </c>
      <c r="H566" s="50" t="str">
        <f>IF(EquipmentTable[[#This Row],[Units]]&gt;0,"Quantity &gt; 0 Items","Quantity = 0 Items")</f>
        <v>Quantity = 0 Items</v>
      </c>
      <c r="I566" s="141">
        <f>RawList!J535</f>
        <v>3.95</v>
      </c>
      <c r="J566" s="24">
        <f>VALUE(EquipmentTable[[#This Row],[Units]]*EquipmentTable[[#This Row],[Unit
 Price]])</f>
        <v>0</v>
      </c>
      <c r="K566" s="50" t="str">
        <f>RawList!G535</f>
        <v>https://cdn.sparkfun.com/r/92-92/assets/parts/6/2/1/9/10982-01a.jpg</v>
      </c>
      <c r="L566" s="50"/>
      <c r="M566" s="50" t="str">
        <f>RawList!F535</f>
        <v>https://www.sparkfun.com/products/10982</v>
      </c>
    </row>
    <row r="567" spans="2:13" x14ac:dyDescent="0.3">
      <c r="B567" s="50" t="str">
        <f>RawList!A536</f>
        <v>Low-Level Electronics</v>
      </c>
      <c r="C567" s="50" t="str">
        <f>RawList!B536</f>
        <v>Rotary Potentiometers/Encoders/Switches</v>
      </c>
      <c r="D567" s="50" t="str">
        <f>RawList!C536</f>
        <v>SparkFun</v>
      </c>
      <c r="E567" s="50" t="str">
        <f>RawList!H536</f>
        <v>SparkFun Rotary Encoder Breakout - Illuminated (RG/RGB)</v>
      </c>
      <c r="F567" s="50" t="str">
        <f>RawList!D536</f>
        <v>BOB-11722</v>
      </c>
      <c r="G567" s="137">
        <f>RawList!E536</f>
        <v>0</v>
      </c>
      <c r="H567" s="50" t="str">
        <f>IF(EquipmentTable[[#This Row],[Units]]&gt;0,"Quantity &gt; 0 Items","Quantity = 0 Items")</f>
        <v>Quantity = 0 Items</v>
      </c>
      <c r="I567" s="141">
        <f>RawList!J536</f>
        <v>2.95</v>
      </c>
      <c r="J567" s="24">
        <f>VALUE(EquipmentTable[[#This Row],[Units]]*EquipmentTable[[#This Row],[Unit
 Price]])</f>
        <v>0</v>
      </c>
      <c r="K567" s="50" t="str">
        <f>RawList!G536</f>
        <v>https://cdn.sparkfun.com/r/92-92/assets/parts/7/9/3/3/11722-03.jpg</v>
      </c>
      <c r="L567" s="50"/>
      <c r="M567" s="50" t="str">
        <f>RawList!F536</f>
        <v>https://www.sparkfun.com/products/11722</v>
      </c>
    </row>
    <row r="568" spans="2:13" x14ac:dyDescent="0.3">
      <c r="B568" s="50" t="str">
        <f>RawList!A537</f>
        <v>Low-Level Electronics</v>
      </c>
      <c r="C568" s="50" t="str">
        <f>RawList!B537</f>
        <v>Rotary Potentiometers/Encoders/Switches</v>
      </c>
      <c r="D568" s="50" t="str">
        <f>RawList!C537</f>
        <v>Adafruit</v>
      </c>
      <c r="E568" s="50" t="str">
        <f>RawList!H537</f>
        <v xml:space="preserve">Rotary Encoder + Extras </v>
      </c>
      <c r="F568" s="50" t="str">
        <f>RawList!D537</f>
        <v>377</v>
      </c>
      <c r="G568" s="137">
        <f>RawList!E537</f>
        <v>0</v>
      </c>
      <c r="H568" s="50" t="str">
        <f>IF(EquipmentTable[[#This Row],[Units]]&gt;0,"Quantity &gt; 0 Items","Quantity = 0 Items")</f>
        <v>Quantity = 0 Items</v>
      </c>
      <c r="I568" s="141">
        <f>RawList!J537</f>
        <v>4.5</v>
      </c>
      <c r="J568" s="24">
        <f>VALUE(EquipmentTable[[#This Row],[Units]]*EquipmentTable[[#This Row],[Unit
 Price]])</f>
        <v>0</v>
      </c>
      <c r="K568" s="50">
        <f>RawList!G537</f>
        <v>0</v>
      </c>
      <c r="L568" s="50"/>
      <c r="M568" s="50">
        <f>RawList!F537</f>
        <v>0</v>
      </c>
    </row>
    <row r="569" spans="2:13" x14ac:dyDescent="0.3">
      <c r="B569" s="50" t="str">
        <f>RawList!A538</f>
        <v>Low-Level Electronics</v>
      </c>
      <c r="C569" s="50" t="str">
        <f>RawList!B538</f>
        <v>Rotary Potentiometers/Encoders/Switches</v>
      </c>
      <c r="D569" s="50" t="str">
        <f>RawList!C538</f>
        <v>SparkFun</v>
      </c>
      <c r="E569" s="50" t="str">
        <f>RawList!H538</f>
        <v>Rotary Switch - 10 Position</v>
      </c>
      <c r="F569" s="50" t="str">
        <f>RawList!D538</f>
        <v>COM-13253</v>
      </c>
      <c r="G569" s="137">
        <f>RawList!E538</f>
        <v>5</v>
      </c>
      <c r="H569" s="50" t="str">
        <f>IF(EquipmentTable[[#This Row],[Units]]&gt;0,"Quantity &gt; 0 Items","Quantity = 0 Items")</f>
        <v>Quantity &gt; 0 Items</v>
      </c>
      <c r="I569" s="141">
        <f>RawList!J538</f>
        <v>1.95</v>
      </c>
      <c r="J569" s="24">
        <f>VALUE(EquipmentTable[[#This Row],[Units]]*EquipmentTable[[#This Row],[Unit
 Price]])</f>
        <v>9.75</v>
      </c>
      <c r="K569" s="50" t="str">
        <f>RawList!G538</f>
        <v>https://cdn.sparkfun.com/r/92-92/assets/parts/9/8/3/4/13253-01.jpg</v>
      </c>
      <c r="L569" s="50"/>
      <c r="M569" s="50" t="str">
        <f>RawList!F538</f>
        <v>https://www.sparkfun.com/products/13253</v>
      </c>
    </row>
    <row r="570" spans="2:13" x14ac:dyDescent="0.3">
      <c r="B570" s="50" t="str">
        <f>RawList!A539</f>
        <v>Low-Level Electronics</v>
      </c>
      <c r="C570" s="50" t="str">
        <f>RawList!B539</f>
        <v>Rotary Potentiometers/Encoders/Switches</v>
      </c>
      <c r="D570" s="50" t="str">
        <f>RawList!C539</f>
        <v>SparkFun</v>
      </c>
      <c r="E570" s="50" t="str">
        <f>RawList!H539</f>
        <v>SparkFun Rotary Switch Breakout</v>
      </c>
      <c r="F570" s="50" t="str">
        <f>RawList!D539</f>
        <v>BOB-13098</v>
      </c>
      <c r="G570" s="137">
        <f>RawList!E539</f>
        <v>5</v>
      </c>
      <c r="H570" s="50" t="str">
        <f>IF(EquipmentTable[[#This Row],[Units]]&gt;0,"Quantity &gt; 0 Items","Quantity = 0 Items")</f>
        <v>Quantity &gt; 0 Items</v>
      </c>
      <c r="I570" s="141">
        <f>RawList!J539</f>
        <v>1.95</v>
      </c>
      <c r="J570" s="24">
        <f>VALUE(EquipmentTable[[#This Row],[Units]]*EquipmentTable[[#This Row],[Unit
 Price]])</f>
        <v>9.75</v>
      </c>
      <c r="K570" s="50" t="str">
        <f>RawList!G539</f>
        <v>https://cdn.sparkfun.com/r/92-92/assets/parts/1/0/1/4/0/13098-03.jpg</v>
      </c>
      <c r="L570" s="50"/>
      <c r="M570" s="50" t="str">
        <f>RawList!F539</f>
        <v>https://www.sparkfun.com/products/13098</v>
      </c>
    </row>
    <row r="571" spans="2:13" x14ac:dyDescent="0.3">
      <c r="B571" s="50" t="str">
        <f>RawList!A540</f>
        <v>Low-Level Electronics</v>
      </c>
      <c r="C571" s="50" t="str">
        <f>RawList!B540</f>
        <v>Rotary Potentiometers/Encoders/Switches</v>
      </c>
      <c r="D571" s="50" t="str">
        <f>RawList!C540</f>
        <v>SparkFun</v>
      </c>
      <c r="E571" s="50" t="str">
        <f>RawList!H540</f>
        <v>SparkFun Rotary Switch Potentiometer Breakout</v>
      </c>
      <c r="F571" s="50" t="str">
        <f>RawList!D540</f>
        <v>BOB-13099</v>
      </c>
      <c r="G571" s="137">
        <f>RawList!E540</f>
        <v>5</v>
      </c>
      <c r="H571" s="50" t="str">
        <f>IF(EquipmentTable[[#This Row],[Units]]&gt;0,"Quantity &gt; 0 Items","Quantity = 0 Items")</f>
        <v>Quantity &gt; 0 Items</v>
      </c>
      <c r="I571" s="141">
        <f>RawList!J540</f>
        <v>1.95</v>
      </c>
      <c r="J571" s="24">
        <f>VALUE(EquipmentTable[[#This Row],[Units]]*EquipmentTable[[#This Row],[Unit
 Price]])</f>
        <v>9.75</v>
      </c>
      <c r="K571" s="50" t="str">
        <f>RawList!G540</f>
        <v>https://cdn.sparkfun.com/r/92-92/assets/parts/1/0/1/4/1/13099-01.jpg</v>
      </c>
      <c r="L571" s="50"/>
      <c r="M571" s="50" t="str">
        <f>RawList!F540</f>
        <v>https://www.sparkfun.com/products/13099</v>
      </c>
    </row>
    <row r="572" spans="2:13" x14ac:dyDescent="0.3">
      <c r="B572" s="50" t="str">
        <f>RawList!A541</f>
        <v>Low-Level Electronics</v>
      </c>
      <c r="C572" s="50" t="str">
        <f>RawList!B541</f>
        <v>Rotary Potentiometers/Encoders/Switches</v>
      </c>
      <c r="D572" s="50" t="str">
        <f>RawList!C541</f>
        <v>Adafruit</v>
      </c>
      <c r="E572" s="50" t="str">
        <f>RawList!H541</f>
        <v xml:space="preserve">Mini 8-Way Rotary Selector Switch - SP8T </v>
      </c>
      <c r="F572" s="50" t="str">
        <f>RawList!D541</f>
        <v>2925</v>
      </c>
      <c r="G572" s="137">
        <f>RawList!E541</f>
        <v>0</v>
      </c>
      <c r="H572" s="50" t="str">
        <f>IF(EquipmentTable[[#This Row],[Units]]&gt;0,"Quantity &gt; 0 Items","Quantity = 0 Items")</f>
        <v>Quantity = 0 Items</v>
      </c>
      <c r="I572" s="141">
        <f>RawList!J541</f>
        <v>1.95</v>
      </c>
      <c r="J572" s="24">
        <f>VALUE(EquipmentTable[[#This Row],[Units]]*EquipmentTable[[#This Row],[Unit
 Price]])</f>
        <v>0</v>
      </c>
      <c r="K572" s="50">
        <f>RawList!G541</f>
        <v>0</v>
      </c>
      <c r="L572" s="50"/>
      <c r="M572" s="50">
        <f>RawList!F541</f>
        <v>0</v>
      </c>
    </row>
    <row r="573" spans="2:13" x14ac:dyDescent="0.3">
      <c r="B573" s="50" t="str">
        <f>RawList!A542</f>
        <v>Low-Level Electronics</v>
      </c>
      <c r="C573" s="50" t="str">
        <f>RawList!B542</f>
        <v>Solid/Stranded Hookup Wire</v>
      </c>
      <c r="D573" s="50" t="str">
        <f>RawList!C542</f>
        <v>SparkFun</v>
      </c>
      <c r="E573" s="50" t="str">
        <f>RawList!H542</f>
        <v>Hook-Up Wire - Assortment (Solid Core, 22 AWG)</v>
      </c>
      <c r="F573" s="50" t="str">
        <f>RawList!D542</f>
        <v>PRT-11367</v>
      </c>
      <c r="G573" s="137">
        <f>RawList!E542</f>
        <v>0</v>
      </c>
      <c r="H573" s="50" t="str">
        <f>IF(EquipmentTable[[#This Row],[Units]]&gt;0,"Quantity &gt; 0 Items","Quantity = 0 Items")</f>
        <v>Quantity = 0 Items</v>
      </c>
      <c r="I573" s="141">
        <f>RawList!J542</f>
        <v>16.95</v>
      </c>
      <c r="J573" s="24">
        <f>VALUE(EquipmentTable[[#This Row],[Units]]*EquipmentTable[[#This Row],[Unit
 Price]])</f>
        <v>0</v>
      </c>
      <c r="K573" s="50" t="str">
        <f>RawList!G542</f>
        <v>https://cdn.sparkfun.com/r/92-92/assets/parts/7/1/0/8/11367-04a.jpg</v>
      </c>
      <c r="L573" s="50"/>
      <c r="M573" s="50" t="str">
        <f>RawList!F542</f>
        <v>https://www.sparkfun.com/products/11367</v>
      </c>
    </row>
    <row r="574" spans="2:13" x14ac:dyDescent="0.3">
      <c r="B574" s="50" t="str">
        <f>RawList!A543</f>
        <v>Low-Level Electronics</v>
      </c>
      <c r="C574" s="50" t="str">
        <f>RawList!B543</f>
        <v>Solid/Stranded Hookup Wire</v>
      </c>
      <c r="D574" s="50" t="str">
        <f>RawList!C543</f>
        <v>Adafruit</v>
      </c>
      <c r="E574" s="50" t="str">
        <f>RawList!H543</f>
        <v>Hook-up Wire Spool Set - 22AWG Solid Core - 10 x 25ft</v>
      </c>
      <c r="F574" s="50" t="str">
        <f>RawList!D543</f>
        <v>3174</v>
      </c>
      <c r="G574" s="137">
        <f>RawList!E543</f>
        <v>1</v>
      </c>
      <c r="H574" s="50" t="str">
        <f>IF(EquipmentTable[[#This Row],[Units]]&gt;0,"Quantity &gt; 0 Items","Quantity = 0 Items")</f>
        <v>Quantity &gt; 0 Items</v>
      </c>
      <c r="I574" s="141">
        <f>RawList!J543</f>
        <v>27.5</v>
      </c>
      <c r="J574" s="24">
        <f>VALUE(EquipmentTable[[#This Row],[Units]]*EquipmentTable[[#This Row],[Unit
 Price]])</f>
        <v>27.5</v>
      </c>
      <c r="K574" s="50">
        <f>RawList!G543</f>
        <v>0</v>
      </c>
      <c r="L574" s="50"/>
      <c r="M574" s="50">
        <f>RawList!F543</f>
        <v>0</v>
      </c>
    </row>
    <row r="575" spans="2:13" x14ac:dyDescent="0.3">
      <c r="B575" s="50" t="str">
        <f>RawList!A544</f>
        <v>Low-Level Electronics</v>
      </c>
      <c r="C575" s="50" t="str">
        <f>RawList!B544</f>
        <v>Solid/Stranded Hookup Wire</v>
      </c>
      <c r="D575" s="50" t="str">
        <f>RawList!C544</f>
        <v>SparkFun</v>
      </c>
      <c r="E575" s="50" t="str">
        <f>RawList!H544</f>
        <v>Hook-up Wire - Red (22 AWG)</v>
      </c>
      <c r="F575" s="50" t="str">
        <f>RawList!D544</f>
        <v>PRT-08023</v>
      </c>
      <c r="G575" s="137">
        <f>RawList!E544</f>
        <v>0</v>
      </c>
      <c r="H575" s="50" t="str">
        <f>IF(EquipmentTable[[#This Row],[Units]]&gt;0,"Quantity &gt; 0 Items","Quantity = 0 Items")</f>
        <v>Quantity = 0 Items</v>
      </c>
      <c r="I575" s="141">
        <f>RawList!J544</f>
        <v>2.5</v>
      </c>
      <c r="J575" s="24">
        <f>VALUE(EquipmentTable[[#This Row],[Units]]*EquipmentTable[[#This Row],[Unit
 Price]])</f>
        <v>0</v>
      </c>
      <c r="K575" s="50" t="str">
        <f>RawList!G544</f>
        <v>https://cdn.sparkfun.com/r/92-92/assets/parts/6/4/3/08023-01.jpg</v>
      </c>
      <c r="L575" s="50"/>
      <c r="M575" s="50" t="str">
        <f>RawList!F544</f>
        <v>https://www.sparkfun.com/products/8023</v>
      </c>
    </row>
    <row r="576" spans="2:13" x14ac:dyDescent="0.3">
      <c r="B576" s="50" t="str">
        <f>RawList!A545</f>
        <v>Low-Level Electronics</v>
      </c>
      <c r="C576" s="50" t="str">
        <f>RawList!B545</f>
        <v>Solid/Stranded Hookup Wire</v>
      </c>
      <c r="D576" s="50" t="str">
        <f>RawList!C545</f>
        <v>SparkFun</v>
      </c>
      <c r="E576" s="50" t="str">
        <f>RawList!H545</f>
        <v>Hook-up Wire - Yellow (22 AWG)</v>
      </c>
      <c r="F576" s="50" t="str">
        <f>RawList!D545</f>
        <v>PRT-08024</v>
      </c>
      <c r="G576" s="137">
        <f>RawList!E545</f>
        <v>0</v>
      </c>
      <c r="H576" s="50" t="str">
        <f>IF(EquipmentTable[[#This Row],[Units]]&gt;0,"Quantity &gt; 0 Items","Quantity = 0 Items")</f>
        <v>Quantity = 0 Items</v>
      </c>
      <c r="I576" s="141">
        <f>RawList!J545</f>
        <v>2.5</v>
      </c>
      <c r="J576" s="24">
        <f>VALUE(EquipmentTable[[#This Row],[Units]]*EquipmentTable[[#This Row],[Unit
 Price]])</f>
        <v>0</v>
      </c>
      <c r="K576" s="50" t="str">
        <f>RawList!G545</f>
        <v>https://cdn.sparkfun.com/r/92-92/assets/parts/6/4/4/08024-01a.jpg</v>
      </c>
      <c r="L576" s="50"/>
      <c r="M576" s="50" t="str">
        <f>RawList!F545</f>
        <v>https://www.sparkfun.com/products/8024</v>
      </c>
    </row>
    <row r="577" spans="2:13" x14ac:dyDescent="0.3">
      <c r="B577" s="50" t="str">
        <f>RawList!A546</f>
        <v>Low-Level Electronics</v>
      </c>
      <c r="C577" s="50" t="str">
        <f>RawList!B546</f>
        <v>Solid/Stranded Hookup Wire</v>
      </c>
      <c r="D577" s="50" t="str">
        <f>RawList!C546</f>
        <v>SparkFun</v>
      </c>
      <c r="E577" s="50" t="str">
        <f>RawList!H546</f>
        <v>Hook-up Wire - Black (22 AWG)</v>
      </c>
      <c r="F577" s="50" t="str">
        <f>RawList!D546</f>
        <v>PRT-08022</v>
      </c>
      <c r="G577" s="137">
        <f>RawList!E546</f>
        <v>0</v>
      </c>
      <c r="H577" s="50" t="str">
        <f>IF(EquipmentTable[[#This Row],[Units]]&gt;0,"Quantity &gt; 0 Items","Quantity = 0 Items")</f>
        <v>Quantity = 0 Items</v>
      </c>
      <c r="I577" s="141">
        <f>RawList!J546</f>
        <v>2.5</v>
      </c>
      <c r="J577" s="24">
        <f>VALUE(EquipmentTable[[#This Row],[Units]]*EquipmentTable[[#This Row],[Unit
 Price]])</f>
        <v>0</v>
      </c>
      <c r="K577" s="50" t="str">
        <f>RawList!G546</f>
        <v>https://cdn.sparkfun.com/r/92-92/assets/parts/6/4/2/08022-01.jpg</v>
      </c>
      <c r="L577" s="50"/>
      <c r="M577" s="50" t="str">
        <f>RawList!F546</f>
        <v>https://www.sparkfun.com/products/8022</v>
      </c>
    </row>
    <row r="578" spans="2:13" x14ac:dyDescent="0.3">
      <c r="B578" s="50" t="str">
        <f>RawList!A547</f>
        <v>Low-Level Electronics</v>
      </c>
      <c r="C578" s="50" t="str">
        <f>RawList!B547</f>
        <v>Solid/Stranded Hookup Wire</v>
      </c>
      <c r="D578" s="50" t="str">
        <f>RawList!C547</f>
        <v>SparkFun</v>
      </c>
      <c r="E578" s="50" t="str">
        <f>RawList!H547</f>
        <v>Hook-up Wire - Gray (22 AWG)</v>
      </c>
      <c r="F578" s="50" t="str">
        <f>RawList!D547</f>
        <v>PRT-08025</v>
      </c>
      <c r="G578" s="137">
        <f>RawList!E547</f>
        <v>0</v>
      </c>
      <c r="H578" s="50" t="str">
        <f>IF(EquipmentTable[[#This Row],[Units]]&gt;0,"Quantity &gt; 0 Items","Quantity = 0 Items")</f>
        <v>Quantity = 0 Items</v>
      </c>
      <c r="I578" s="141">
        <f>RawList!J547</f>
        <v>2.95</v>
      </c>
      <c r="J578" s="24">
        <f>VALUE(EquipmentTable[[#This Row],[Units]]*EquipmentTable[[#This Row],[Unit
 Price]])</f>
        <v>0</v>
      </c>
      <c r="K578" s="50" t="str">
        <f>RawList!G547</f>
        <v>https://cdn.sparkfun.com/r/92-92/assets/parts/6/4/5/08025-01.jpg</v>
      </c>
      <c r="L578" s="50"/>
      <c r="M578" s="50" t="str">
        <f>RawList!F547</f>
        <v>https://www.sparkfun.com/products/8025</v>
      </c>
    </row>
    <row r="579" spans="2:13" x14ac:dyDescent="0.3">
      <c r="B579" s="50" t="str">
        <f>RawList!A548</f>
        <v>Low-Level Electronics</v>
      </c>
      <c r="C579" s="50" t="str">
        <f>RawList!B548</f>
        <v>Solid/Stranded Hookup Wire</v>
      </c>
      <c r="D579" s="50" t="str">
        <f>RawList!C548</f>
        <v>SparkFun</v>
      </c>
      <c r="E579" s="50" t="str">
        <f>RawList!H548</f>
        <v>Hook-up Wire - White (22 AWG)</v>
      </c>
      <c r="F579" s="50" t="str">
        <f>RawList!D548</f>
        <v>PRT-08026</v>
      </c>
      <c r="G579" s="137">
        <f>RawList!E548</f>
        <v>0</v>
      </c>
      <c r="H579" s="50" t="str">
        <f>IF(EquipmentTable[[#This Row],[Units]]&gt;0,"Quantity &gt; 0 Items","Quantity = 0 Items")</f>
        <v>Quantity = 0 Items</v>
      </c>
      <c r="I579" s="141">
        <f>RawList!J548</f>
        <v>2.5</v>
      </c>
      <c r="J579" s="24">
        <f>VALUE(EquipmentTable[[#This Row],[Units]]*EquipmentTable[[#This Row],[Unit
 Price]])</f>
        <v>0</v>
      </c>
      <c r="K579" s="50" t="str">
        <f>RawList!G548</f>
        <v>https://cdn.sparkfun.com/r/92-92/assets/parts/6/4/6/08026-01.jpg</v>
      </c>
      <c r="L579" s="50"/>
      <c r="M579" s="50" t="str">
        <f>RawList!F548</f>
        <v>https://www.sparkfun.com/products/8026</v>
      </c>
    </row>
    <row r="580" spans="2:13" x14ac:dyDescent="0.3">
      <c r="B580" s="50" t="str">
        <f>RawList!A549</f>
        <v>Low-Level Electronics</v>
      </c>
      <c r="C580" s="50" t="str">
        <f>RawList!B549</f>
        <v>Solid/Stranded Hookup Wire</v>
      </c>
      <c r="D580" s="50" t="str">
        <f>RawList!C549</f>
        <v>SparkFun</v>
      </c>
      <c r="E580" s="50" t="str">
        <f>RawList!H549</f>
        <v>Hook-up Wire - Brown (22 AWG)</v>
      </c>
      <c r="F580" s="50" t="str">
        <f>RawList!D549</f>
        <v>PRT-08027</v>
      </c>
      <c r="G580" s="137">
        <f>RawList!E549</f>
        <v>0</v>
      </c>
      <c r="H580" s="50" t="str">
        <f>IF(EquipmentTable[[#This Row],[Units]]&gt;0,"Quantity &gt; 0 Items","Quantity = 0 Items")</f>
        <v>Quantity = 0 Items</v>
      </c>
      <c r="I580" s="141">
        <f>RawList!J549</f>
        <v>2.95</v>
      </c>
      <c r="J580" s="24">
        <f>VALUE(EquipmentTable[[#This Row],[Units]]*EquipmentTable[[#This Row],[Unit
 Price]])</f>
        <v>0</v>
      </c>
      <c r="K580" s="50" t="str">
        <f>RawList!G549</f>
        <v>https://cdn.sparkfun.com/r/92-92/assets/parts/6/4/7/08027-01.jpg</v>
      </c>
      <c r="L580" s="50"/>
      <c r="M580" s="50" t="str">
        <f>RawList!F549</f>
        <v>https://www.sparkfun.com/products/8027</v>
      </c>
    </row>
    <row r="581" spans="2:13" x14ac:dyDescent="0.3">
      <c r="B581" s="50" t="str">
        <f>RawList!A550</f>
        <v>Low-Level Electronics</v>
      </c>
      <c r="C581" s="50" t="str">
        <f>RawList!B550</f>
        <v>Solid/Stranded Hookup Wire</v>
      </c>
      <c r="D581" s="50" t="str">
        <f>RawList!C550</f>
        <v>SparkFun</v>
      </c>
      <c r="E581" s="50" t="str">
        <f>RawList!H550</f>
        <v>Jumper Wire Kit</v>
      </c>
      <c r="F581" s="50" t="str">
        <f>RawList!D550</f>
        <v>PRT-00124</v>
      </c>
      <c r="G581" s="137">
        <f>RawList!E550</f>
        <v>2</v>
      </c>
      <c r="H581" s="50" t="str">
        <f>IF(EquipmentTable[[#This Row],[Units]]&gt;0,"Quantity &gt; 0 Items","Quantity = 0 Items")</f>
        <v>Quantity &gt; 0 Items</v>
      </c>
      <c r="I581" s="141">
        <f>RawList!J550</f>
        <v>6.95</v>
      </c>
      <c r="J581" s="24">
        <f>VALUE(EquipmentTable[[#This Row],[Units]]*EquipmentTable[[#This Row],[Unit
 Price]])</f>
        <v>13.9</v>
      </c>
      <c r="K581" s="50" t="str">
        <f>RawList!G550</f>
        <v>https://cdn.sparkfun.com/r/92-92/assets/parts/1/1/2/00124-04.jpg</v>
      </c>
      <c r="L581" s="50"/>
      <c r="M581" s="50" t="str">
        <f>RawList!F550</f>
        <v>https://www.sparkfun.com/products/124</v>
      </c>
    </row>
    <row r="582" spans="2:13" x14ac:dyDescent="0.3">
      <c r="B582" s="50" t="str">
        <f>RawList!A551</f>
        <v>Low-Level Electronics</v>
      </c>
      <c r="C582" s="50" t="str">
        <f>RawList!B551</f>
        <v>Solid/Stranded Hookup Wire</v>
      </c>
      <c r="D582" s="50" t="str">
        <f>RawList!C551</f>
        <v>Adafruit</v>
      </c>
      <c r="E582" s="50" t="str">
        <f>RawList!H551</f>
        <v>Half Size Breadboard + 78 Piece 22AWG Jumper Wire Bundle</v>
      </c>
      <c r="F582" s="50" t="str">
        <f>RawList!D551</f>
        <v>3314</v>
      </c>
      <c r="G582" s="137">
        <f>RawList!E551</f>
        <v>0</v>
      </c>
      <c r="H582" s="50" t="str">
        <f>IF(EquipmentTable[[#This Row],[Units]]&gt;0,"Quantity &gt; 0 Items","Quantity = 0 Items")</f>
        <v>Quantity = 0 Items</v>
      </c>
      <c r="I582" s="141">
        <f>RawList!J551</f>
        <v>7.95</v>
      </c>
      <c r="J582" s="24">
        <f>VALUE(EquipmentTable[[#This Row],[Units]]*EquipmentTable[[#This Row],[Unit
 Price]])</f>
        <v>0</v>
      </c>
      <c r="K582" s="50">
        <f>RawList!G551</f>
        <v>0</v>
      </c>
      <c r="L582" s="50"/>
      <c r="M582" s="50">
        <f>RawList!F551</f>
        <v>0</v>
      </c>
    </row>
    <row r="583" spans="2:13" hidden="1" x14ac:dyDescent="0.3">
      <c r="B583" s="50" t="str">
        <f>RawList!A552</f>
        <v>Tools</v>
      </c>
      <c r="C583" s="50" t="str">
        <f>RawList!B552</f>
        <v>Solder/SMD Rework Tools</v>
      </c>
      <c r="D583" s="50" t="str">
        <f>RawList!C552</f>
        <v>SparkFun</v>
      </c>
      <c r="E583" s="50" t="str">
        <f>RawList!H552</f>
        <v>Tool Kit - Beginner</v>
      </c>
      <c r="F583" s="50" t="str">
        <f>RawList!D552</f>
        <v>TOL-13086</v>
      </c>
      <c r="G583" s="137">
        <f>RawList!E552</f>
        <v>0</v>
      </c>
      <c r="H583" s="50" t="str">
        <f>IF(EquipmentTable[[#This Row],[Units]]&gt;0,"Quantity &gt; 0 Items","Quantity = 0 Items")</f>
        <v>Quantity = 0 Items</v>
      </c>
      <c r="I583" s="141">
        <f>RawList!J552</f>
        <v>34.950000000000003</v>
      </c>
      <c r="J583" s="24">
        <f>VALUE(EquipmentTable[[#This Row],[Units]]*EquipmentTable[[#This Row],[Unit
 Price]])</f>
        <v>0</v>
      </c>
      <c r="K583" s="50" t="str">
        <f>RawList!G552</f>
        <v>https://cdn.sparkfun.com/r/92-92/assets/parts/1/0/1/2/0/13086-02.jpg</v>
      </c>
      <c r="L583" s="50"/>
      <c r="M583" s="50" t="str">
        <f>RawList!F552</f>
        <v>https://www.sparkfun.com/products/13086</v>
      </c>
    </row>
    <row r="584" spans="2:13" hidden="1" x14ac:dyDescent="0.3">
      <c r="B584" s="50" t="str">
        <f>RawList!A553</f>
        <v>Tools</v>
      </c>
      <c r="C584" s="50" t="str">
        <f>RawList!B553</f>
        <v>Solder/SMD Rework Tools</v>
      </c>
      <c r="D584" s="50" t="str">
        <f>RawList!C553</f>
        <v>Adafruit</v>
      </c>
      <c r="E584" s="50" t="str">
        <f>RawList!H553</f>
        <v>Ladyada's Electronics Toolkit</v>
      </c>
      <c r="F584" s="50" t="str">
        <f>RawList!D553</f>
        <v>136</v>
      </c>
      <c r="G584" s="137">
        <f>RawList!E553</f>
        <v>0</v>
      </c>
      <c r="H584" s="50" t="str">
        <f>IF(EquipmentTable[[#This Row],[Units]]&gt;0,"Quantity &gt; 0 Items","Quantity = 0 Items")</f>
        <v>Quantity = 0 Items</v>
      </c>
      <c r="I584" s="141">
        <f>RawList!J553</f>
        <v>100</v>
      </c>
      <c r="J584" s="24">
        <f>VALUE(EquipmentTable[[#This Row],[Units]]*EquipmentTable[[#This Row],[Unit
 Price]])</f>
        <v>0</v>
      </c>
      <c r="K584" s="50">
        <f>RawList!G553</f>
        <v>0</v>
      </c>
      <c r="L584" s="50"/>
      <c r="M584" s="50">
        <f>RawList!F553</f>
        <v>0</v>
      </c>
    </row>
    <row r="585" spans="2:13" hidden="1" x14ac:dyDescent="0.3">
      <c r="B585" s="50" t="str">
        <f>RawList!A554</f>
        <v>Tools</v>
      </c>
      <c r="C585" s="50" t="str">
        <f>RawList!B554</f>
        <v>Solder/SMD Rework Tools</v>
      </c>
      <c r="D585" s="50" t="str">
        <f>RawList!C554</f>
        <v>SparkFun</v>
      </c>
      <c r="E585" s="50" t="str">
        <f>RawList!H554</f>
        <v>Weller Portasol Butane Soldering Iron Kit</v>
      </c>
      <c r="F585" s="50" t="str">
        <f>RawList!D554</f>
        <v>TOL-14226</v>
      </c>
      <c r="G585" s="137">
        <f>RawList!E554</f>
        <v>0</v>
      </c>
      <c r="H585" s="50" t="str">
        <f>IF(EquipmentTable[[#This Row],[Units]]&gt;0,"Quantity &gt; 0 Items","Quantity = 0 Items")</f>
        <v>Quantity = 0 Items</v>
      </c>
      <c r="I585" s="141">
        <f>RawList!J554</f>
        <v>59.95</v>
      </c>
      <c r="J585" s="24">
        <f>VALUE(EquipmentTable[[#This Row],[Units]]*EquipmentTable[[#This Row],[Unit
 Price]])</f>
        <v>0</v>
      </c>
      <c r="K585" s="50" t="str">
        <f>RawList!G554</f>
        <v>https://cdn.sparkfun.com/r/92-92/assets/parts/1/2/1/7/1/14226-02.jpg</v>
      </c>
      <c r="L585" s="50"/>
      <c r="M585" s="50" t="str">
        <f>RawList!F554</f>
        <v>https://www.sparkfun.com/products/14226</v>
      </c>
    </row>
    <row r="586" spans="2:13" hidden="1" x14ac:dyDescent="0.3">
      <c r="B586" s="50" t="str">
        <f>RawList!A555</f>
        <v>Tools</v>
      </c>
      <c r="C586" s="50" t="str">
        <f>RawList!B555</f>
        <v>Solder/SMD Rework Tools</v>
      </c>
      <c r="D586" s="50" t="str">
        <f>RawList!C555</f>
        <v>SparkFun</v>
      </c>
      <c r="E586" s="50" t="str">
        <f>RawList!H555</f>
        <v>Solder Vacuum</v>
      </c>
      <c r="F586" s="50" t="str">
        <f>RawList!D555</f>
        <v>TOL-13203</v>
      </c>
      <c r="G586" s="137">
        <f>RawList!E555</f>
        <v>0</v>
      </c>
      <c r="H586" s="50" t="str">
        <f>IF(EquipmentTable[[#This Row],[Units]]&gt;0,"Quantity &gt; 0 Items","Quantity = 0 Items")</f>
        <v>Quantity = 0 Items</v>
      </c>
      <c r="I586" s="141">
        <f>RawList!J555</f>
        <v>4.95</v>
      </c>
      <c r="J586" s="24">
        <f>VALUE(EquipmentTable[[#This Row],[Units]]*EquipmentTable[[#This Row],[Unit
 Price]])</f>
        <v>0</v>
      </c>
      <c r="K586" s="50" t="str">
        <f>RawList!G555</f>
        <v>https://cdn.sparkfun.com/r/92-92/assets/parts/1/0/3/4/4/13203-01.jpg</v>
      </c>
      <c r="L586" s="50"/>
      <c r="M586" s="50" t="str">
        <f>RawList!F555</f>
        <v>https://www.sparkfun.com/products/13203</v>
      </c>
    </row>
    <row r="587" spans="2:13" hidden="1" x14ac:dyDescent="0.3">
      <c r="B587" s="50" t="str">
        <f>RawList!A556</f>
        <v>Tools</v>
      </c>
      <c r="C587" s="50" t="str">
        <f>RawList!B556</f>
        <v>Solder/SMD Rework Tools</v>
      </c>
      <c r="D587" s="50" t="str">
        <f>RawList!C556</f>
        <v>SparkFun</v>
      </c>
      <c r="E587" s="50" t="str">
        <f>RawList!H556</f>
        <v>Brass Sponge</v>
      </c>
      <c r="F587" s="50" t="str">
        <f>RawList!D556</f>
        <v>TOL-08964</v>
      </c>
      <c r="G587" s="137">
        <f>RawList!E556</f>
        <v>0</v>
      </c>
      <c r="H587" s="50" t="str">
        <f>IF(EquipmentTable[[#This Row],[Units]]&gt;0,"Quantity &gt; 0 Items","Quantity = 0 Items")</f>
        <v>Quantity = 0 Items</v>
      </c>
      <c r="I587" s="141">
        <f>RawList!J556</f>
        <v>2.95</v>
      </c>
      <c r="J587" s="24">
        <f>VALUE(EquipmentTable[[#This Row],[Units]]*EquipmentTable[[#This Row],[Unit
 Price]])</f>
        <v>0</v>
      </c>
      <c r="K587" s="50" t="str">
        <f>RawList!G556</f>
        <v>https://cdn.sparkfun.com/r/92-92/assets/parts/2/2/6/8/08964-02-L.jpg</v>
      </c>
      <c r="L587" s="50"/>
      <c r="M587" s="50" t="str">
        <f>RawList!F556</f>
        <v>https://www.sparkfun.com/products/8964</v>
      </c>
    </row>
    <row r="588" spans="2:13" hidden="1" x14ac:dyDescent="0.3">
      <c r="B588" s="50" t="str">
        <f>RawList!A557</f>
        <v>Tools</v>
      </c>
      <c r="C588" s="50" t="str">
        <f>RawList!B557</f>
        <v>Solder/SMD Rework Tools</v>
      </c>
      <c r="D588" s="50" t="str">
        <f>RawList!C557</f>
        <v>SparkFun</v>
      </c>
      <c r="E588" s="50" t="str">
        <f>RawList!H557</f>
        <v>Solder Paste - 50g (Lead Free)</v>
      </c>
      <c r="F588" s="50" t="str">
        <f>RawList!D557</f>
        <v>TOL-12878</v>
      </c>
      <c r="G588" s="137">
        <f>RawList!E557</f>
        <v>1</v>
      </c>
      <c r="H588" s="50" t="str">
        <f>IF(EquipmentTable[[#This Row],[Units]]&gt;0,"Quantity &gt; 0 Items","Quantity = 0 Items")</f>
        <v>Quantity &gt; 0 Items</v>
      </c>
      <c r="I588" s="141">
        <f>RawList!J557</f>
        <v>16.95</v>
      </c>
      <c r="J588" s="24">
        <f>VALUE(EquipmentTable[[#This Row],[Units]]*EquipmentTable[[#This Row],[Unit
 Price]])</f>
        <v>16.95</v>
      </c>
      <c r="K588" s="50" t="str">
        <f>RawList!G557</f>
        <v>https://cdn.sparkfun.com/r/92-92/assets/parts/9/7/6/3/12878-01.jpg</v>
      </c>
      <c r="L588" s="50"/>
      <c r="M588" s="50" t="str">
        <f>RawList!F557</f>
        <v>https://www.sparkfun.com/products/12878</v>
      </c>
    </row>
    <row r="589" spans="2:13" hidden="1" x14ac:dyDescent="0.3">
      <c r="B589" s="50" t="str">
        <f>RawList!A558</f>
        <v>Tools</v>
      </c>
      <c r="C589" s="50" t="str">
        <f>RawList!B558</f>
        <v>Solder/SMD Rework Tools</v>
      </c>
      <c r="D589" s="50" t="str">
        <f>RawList!C558</f>
        <v>SparkFun</v>
      </c>
      <c r="E589" s="50" t="str">
        <f>RawList!H558</f>
        <v>Hot-air Rework Station - 303D</v>
      </c>
      <c r="F589" s="50" t="str">
        <f>RawList!D558</f>
        <v>TOL-10706</v>
      </c>
      <c r="G589" s="137">
        <f>RawList!E558</f>
        <v>0</v>
      </c>
      <c r="H589" s="50" t="str">
        <f>IF(EquipmentTable[[#This Row],[Units]]&gt;0,"Quantity &gt; 0 Items","Quantity = 0 Items")</f>
        <v>Quantity = 0 Items</v>
      </c>
      <c r="I589" s="141">
        <f>RawList!J558</f>
        <v>114.95</v>
      </c>
      <c r="J589" s="24">
        <f>VALUE(EquipmentTable[[#This Row],[Units]]*EquipmentTable[[#This Row],[Unit
 Price]])</f>
        <v>0</v>
      </c>
      <c r="K589" s="50" t="str">
        <f>RawList!G558</f>
        <v>https://cdn.sparkfun.com/r/92-92/assets/parts/5/5/3/8/10706-02.jpg</v>
      </c>
      <c r="L589" s="50"/>
      <c r="M589" s="50" t="str">
        <f>RawList!F558</f>
        <v>https://www.sparkfun.com/products/10706</v>
      </c>
    </row>
    <row r="590" spans="2:13" hidden="1" x14ac:dyDescent="0.3">
      <c r="B590" s="50" t="str">
        <f>RawList!A559</f>
        <v>Tools</v>
      </c>
      <c r="C590" s="50" t="str">
        <f>RawList!B559</f>
        <v>Solder/SMD Rework Tools</v>
      </c>
      <c r="D590" s="50" t="str">
        <f>RawList!C559</f>
        <v>Adafruit</v>
      </c>
      <c r="E590" s="50" t="str">
        <f>RawList!H559</f>
        <v xml:space="preserve">Hot Air Soldering Rework Station w/ Three Nozzles - Quick 957D </v>
      </c>
      <c r="F590" s="50" t="str">
        <f>RawList!D559</f>
        <v>1869</v>
      </c>
      <c r="G590" s="137">
        <f>RawList!E559</f>
        <v>0</v>
      </c>
      <c r="H590" s="50" t="str">
        <f>IF(EquipmentTable[[#This Row],[Units]]&gt;0,"Quantity &gt; 0 Items","Quantity = 0 Items")</f>
        <v>Quantity = 0 Items</v>
      </c>
      <c r="I590" s="141">
        <f>RawList!J559</f>
        <v>97.5</v>
      </c>
      <c r="J590" s="24">
        <f>VALUE(EquipmentTable[[#This Row],[Units]]*EquipmentTable[[#This Row],[Unit
 Price]])</f>
        <v>0</v>
      </c>
      <c r="K590" s="50">
        <f>RawList!G559</f>
        <v>0</v>
      </c>
      <c r="L590" s="50"/>
      <c r="M590" s="50">
        <f>RawList!F559</f>
        <v>0</v>
      </c>
    </row>
    <row r="591" spans="2:13" hidden="1" x14ac:dyDescent="0.3">
      <c r="B591" s="50" t="str">
        <f>RawList!A560</f>
        <v>Tools</v>
      </c>
      <c r="C591" s="50" t="str">
        <f>RawList!B560</f>
        <v>Solder/SMD Rework Tools</v>
      </c>
      <c r="D591" s="50" t="str">
        <f>RawList!C560</f>
        <v>SparkFun</v>
      </c>
      <c r="E591" s="50" t="str">
        <f>RawList!H560</f>
        <v>Hot-air Rework Nozzles - Y1126</v>
      </c>
      <c r="F591" s="50" t="str">
        <f>RawList!D560</f>
        <v>TOL-07925</v>
      </c>
      <c r="G591" s="137">
        <f>RawList!E560</f>
        <v>0</v>
      </c>
      <c r="H591" s="50" t="str">
        <f>IF(EquipmentTable[[#This Row],[Units]]&gt;0,"Quantity &gt; 0 Items","Quantity = 0 Items")</f>
        <v>Quantity = 0 Items</v>
      </c>
      <c r="I591" s="141">
        <f>RawList!J560</f>
        <v>14.95</v>
      </c>
      <c r="J591" s="24">
        <f>VALUE(EquipmentTable[[#This Row],[Units]]*EquipmentTable[[#This Row],[Unit
 Price]])</f>
        <v>0</v>
      </c>
      <c r="K591" s="50" t="str">
        <f>RawList!G560</f>
        <v>https://cdn.sparkfun.com/r/92-92/assets/parts/6/0/7/07925-01.jpg</v>
      </c>
      <c r="L591" s="50"/>
      <c r="M591" s="50" t="str">
        <f>RawList!F560</f>
        <v>https://www.sparkfun.com/products/7925</v>
      </c>
    </row>
    <row r="592" spans="2:13" hidden="1" x14ac:dyDescent="0.3">
      <c r="B592" s="50" t="str">
        <f>RawList!A561</f>
        <v>Tools</v>
      </c>
      <c r="C592" s="50" t="str">
        <f>RawList!B561</f>
        <v>Solder/SMD Rework Tools</v>
      </c>
      <c r="D592" s="50" t="str">
        <f>RawList!C561</f>
        <v>SparkFun</v>
      </c>
      <c r="E592" s="50" t="str">
        <f>RawList!H561</f>
        <v>Heaterizer XL-3000 Heat Gun</v>
      </c>
      <c r="F592" s="50" t="str">
        <f>RawList!D561</f>
        <v>TOL-10326</v>
      </c>
      <c r="G592" s="137">
        <f>RawList!E561</f>
        <v>0</v>
      </c>
      <c r="H592" s="50" t="str">
        <f>IF(EquipmentTable[[#This Row],[Units]]&gt;0,"Quantity &gt; 0 Items","Quantity = 0 Items")</f>
        <v>Quantity = 0 Items</v>
      </c>
      <c r="I592" s="141">
        <f>RawList!J561</f>
        <v>13.95</v>
      </c>
      <c r="J592" s="24">
        <f>VALUE(EquipmentTable[[#This Row],[Units]]*EquipmentTable[[#This Row],[Unit
 Price]])</f>
        <v>0</v>
      </c>
      <c r="K592" s="50" t="str">
        <f>RawList!G561</f>
        <v>https://cdn.sparkfun.com/r/92-92/assets/parts/4/7/3/4/10326-02.jpg</v>
      </c>
      <c r="L592" s="50"/>
      <c r="M592" s="50" t="str">
        <f>RawList!F561</f>
        <v>https://www.sparkfun.com/products/10326</v>
      </c>
    </row>
    <row r="593" spans="2:13" hidden="1" x14ac:dyDescent="0.3">
      <c r="B593" s="50" t="str">
        <f>RawList!A562</f>
        <v>Tools</v>
      </c>
      <c r="C593" s="50" t="str">
        <f>RawList!B562</f>
        <v>Solder/SMD Rework Tools</v>
      </c>
      <c r="D593" s="50" t="str">
        <f>RawList!C562</f>
        <v>Adafruit</v>
      </c>
      <c r="E593" s="50" t="str">
        <f>RawList!H562</f>
        <v>Insulated Silicone Rework Mat - 34cm x 23cm x 4mm Work Surface</v>
      </c>
      <c r="F593" s="50" t="str">
        <f>RawList!D562</f>
        <v>3536</v>
      </c>
      <c r="G593" s="137">
        <f>RawList!E562</f>
        <v>0</v>
      </c>
      <c r="H593" s="50" t="str">
        <f>IF(EquipmentTable[[#This Row],[Units]]&gt;0,"Quantity &gt; 0 Items","Quantity = 0 Items")</f>
        <v>Quantity = 0 Items</v>
      </c>
      <c r="I593" s="141">
        <f>RawList!J562</f>
        <v>9.9499999999999993</v>
      </c>
      <c r="J593" s="24">
        <f>VALUE(EquipmentTable[[#This Row],[Units]]*EquipmentTable[[#This Row],[Unit
 Price]])</f>
        <v>0</v>
      </c>
      <c r="K593" s="50">
        <f>RawList!G562</f>
        <v>0</v>
      </c>
      <c r="L593" s="50"/>
      <c r="M593" s="50">
        <f>RawList!F562</f>
        <v>0</v>
      </c>
    </row>
    <row r="594" spans="2:13" x14ac:dyDescent="0.3">
      <c r="B594" s="50" t="str">
        <f>RawList!A563</f>
        <v>Tools</v>
      </c>
      <c r="C594" s="50" t="str">
        <f>RawList!B563</f>
        <v>PCB/Breadboard Work Tools</v>
      </c>
      <c r="D594" s="50" t="str">
        <f>RawList!C563</f>
        <v>SparkFun</v>
      </c>
      <c r="E594" s="50" t="str">
        <f>RawList!H563</f>
        <v>Panavise Jr. - Vacuum Base</v>
      </c>
      <c r="F594" s="50" t="str">
        <f>RawList!D563</f>
        <v>TOL-10410</v>
      </c>
      <c r="G594" s="137">
        <f>RawList!E563</f>
        <v>0</v>
      </c>
      <c r="H594" s="50" t="str">
        <f>IF(EquipmentTable[[#This Row],[Units]]&gt;0,"Quantity &gt; 0 Items","Quantity = 0 Items")</f>
        <v>Quantity = 0 Items</v>
      </c>
      <c r="I594" s="141">
        <f>RawList!J563</f>
        <v>32.950000000000003</v>
      </c>
      <c r="J594" s="24">
        <f>VALUE(EquipmentTable[[#This Row],[Units]]*EquipmentTable[[#This Row],[Unit
 Price]])</f>
        <v>0</v>
      </c>
      <c r="K594" s="50" t="str">
        <f>RawList!G563</f>
        <v>https://cdn.sparkfun.com/r/92-92/assets/parts/4/8/8/1/10410-01.jpg</v>
      </c>
      <c r="L594" s="50"/>
      <c r="M594" s="50" t="str">
        <f>RawList!F563</f>
        <v>https://www.sparkfun.com/products/10410</v>
      </c>
    </row>
    <row r="595" spans="2:13" x14ac:dyDescent="0.3">
      <c r="B595" s="50" t="str">
        <f>RawList!A564</f>
        <v>Tools</v>
      </c>
      <c r="C595" s="50" t="str">
        <f>RawList!B564</f>
        <v>PCB/Breadboard Work Tools</v>
      </c>
      <c r="D595" s="50" t="str">
        <f>RawList!C564</f>
        <v>SparkFun</v>
      </c>
      <c r="E595" s="50" t="str">
        <f>RawList!H564</f>
        <v>SparkFun Third Hand Kit</v>
      </c>
      <c r="F595" s="50" t="str">
        <f>RawList!D564</f>
        <v>TOL-11784</v>
      </c>
      <c r="G595" s="137">
        <f>RawList!E564</f>
        <v>0</v>
      </c>
      <c r="H595" s="50" t="str">
        <f>IF(EquipmentTable[[#This Row],[Units]]&gt;0,"Quantity &gt; 0 Items","Quantity = 0 Items")</f>
        <v>Quantity = 0 Items</v>
      </c>
      <c r="I595" s="141">
        <f>RawList!J564</f>
        <v>29.95</v>
      </c>
      <c r="J595" s="24">
        <f>VALUE(EquipmentTable[[#This Row],[Units]]*EquipmentTable[[#This Row],[Unit
 Price]])</f>
        <v>0</v>
      </c>
      <c r="K595" s="50" t="str">
        <f>RawList!G564</f>
        <v>https://cdn.sparkfun.com/r/92-92/assets/parts/8/0/3/1/11784-05.jpg</v>
      </c>
      <c r="L595" s="50"/>
      <c r="M595" s="50" t="str">
        <f>RawList!F564</f>
        <v>https://www.sparkfun.com/products/11784</v>
      </c>
    </row>
    <row r="596" spans="2:13" x14ac:dyDescent="0.3">
      <c r="B596" s="50" t="str">
        <f>RawList!A565</f>
        <v>Tools</v>
      </c>
      <c r="C596" s="50" t="str">
        <f>RawList!B565</f>
        <v>PCB/Breadboard Work Tools</v>
      </c>
      <c r="D596" s="50" t="str">
        <f>RawList!C565</f>
        <v>SparkFun</v>
      </c>
      <c r="E596" s="50" t="str">
        <f>RawList!H565</f>
        <v>Third Hand</v>
      </c>
      <c r="F596" s="50" t="str">
        <f>RawList!D565</f>
        <v>TOL-09317</v>
      </c>
      <c r="G596" s="137">
        <f>RawList!E565</f>
        <v>0</v>
      </c>
      <c r="H596" s="50" t="str">
        <f>IF(EquipmentTable[[#This Row],[Units]]&gt;0,"Quantity &gt; 0 Items","Quantity = 0 Items")</f>
        <v>Quantity = 0 Items</v>
      </c>
      <c r="I596" s="141">
        <f>RawList!J565</f>
        <v>9.9499999999999993</v>
      </c>
      <c r="J596" s="24">
        <f>VALUE(EquipmentTable[[#This Row],[Units]]*EquipmentTable[[#This Row],[Unit
 Price]])</f>
        <v>0</v>
      </c>
      <c r="K596" s="50" t="str">
        <f>RawList!G565</f>
        <v>https://cdn.sparkfun.com/r/92-92/assets/parts/2/8/5/8/09317-01.jpg</v>
      </c>
      <c r="L596" s="50"/>
      <c r="M596" s="50" t="str">
        <f>RawList!F565</f>
        <v>https://www.sparkfun.com/products/9317</v>
      </c>
    </row>
    <row r="597" spans="2:13" x14ac:dyDescent="0.3">
      <c r="B597" s="50" t="str">
        <f>RawList!A566</f>
        <v>Tools</v>
      </c>
      <c r="C597" s="50" t="str">
        <f>RawList!B566</f>
        <v>PCB/Breadboard Work Tools</v>
      </c>
      <c r="D597" s="50" t="str">
        <f>RawList!C566</f>
        <v>Adafruit</v>
      </c>
      <c r="E597" s="50" t="str">
        <f>RawList!H566</f>
        <v>Third Hand Pana Hand Workstation Add-On for Panavise</v>
      </c>
      <c r="F597" s="50" t="str">
        <f>RawList!D566</f>
        <v>3019</v>
      </c>
      <c r="G597" s="137">
        <f>RawList!E566</f>
        <v>1</v>
      </c>
      <c r="H597" s="50" t="str">
        <f>IF(EquipmentTable[[#This Row],[Units]]&gt;0,"Quantity &gt; 0 Items","Quantity = 0 Items")</f>
        <v>Quantity &gt; 0 Items</v>
      </c>
      <c r="I597" s="141">
        <f>RawList!J566</f>
        <v>54.95</v>
      </c>
      <c r="J597" s="24">
        <f>VALUE(EquipmentTable[[#This Row],[Units]]*EquipmentTable[[#This Row],[Unit
 Price]])</f>
        <v>54.95</v>
      </c>
      <c r="K597" s="50">
        <f>RawList!G566</f>
        <v>0</v>
      </c>
      <c r="L597" s="50"/>
      <c r="M597" s="50">
        <f>RawList!F566</f>
        <v>0</v>
      </c>
    </row>
    <row r="598" spans="2:13" x14ac:dyDescent="0.3">
      <c r="B598" s="50" t="str">
        <f>RawList!A567</f>
        <v>Tools</v>
      </c>
      <c r="C598" s="50" t="str">
        <f>RawList!B567</f>
        <v>PCB/Breadboard Work Tools</v>
      </c>
      <c r="D598" s="50" t="str">
        <f>RawList!C567</f>
        <v>SparkFun</v>
      </c>
      <c r="E598" s="50" t="str">
        <f>RawList!H567</f>
        <v>Monocle Magnifier - Illuminated</v>
      </c>
      <c r="F598" s="50" t="str">
        <f>RawList!D567</f>
        <v>TOL-09316</v>
      </c>
      <c r="G598" s="137">
        <f>RawList!E567</f>
        <v>1</v>
      </c>
      <c r="H598" s="50" t="str">
        <f>IF(EquipmentTable[[#This Row],[Units]]&gt;0,"Quantity &gt; 0 Items","Quantity = 0 Items")</f>
        <v>Quantity &gt; 0 Items</v>
      </c>
      <c r="I598" s="141">
        <f>RawList!J567</f>
        <v>9.9499999999999993</v>
      </c>
      <c r="J598" s="24">
        <f>VALUE(EquipmentTable[[#This Row],[Units]]*EquipmentTable[[#This Row],[Unit
 Price]])</f>
        <v>9.9499999999999993</v>
      </c>
      <c r="K598" s="50" t="str">
        <f>RawList!G567</f>
        <v>https://cdn.sparkfun.com/r/92-92/assets/parts/2/8/5/7/09316-1.jpg</v>
      </c>
      <c r="L598" s="50"/>
      <c r="M598" s="50" t="str">
        <f>RawList!F567</f>
        <v>https://www.sparkfun.com/products/9316</v>
      </c>
    </row>
    <row r="599" spans="2:13" x14ac:dyDescent="0.3">
      <c r="B599" s="50" t="str">
        <f>RawList!A568</f>
        <v>Tools</v>
      </c>
      <c r="C599" s="50" t="str">
        <f>RawList!B568</f>
        <v>PCB/Breadboard Work Tools</v>
      </c>
      <c r="D599" s="50" t="str">
        <f>RawList!C568</f>
        <v>SparkFun</v>
      </c>
      <c r="E599" s="50" t="str">
        <f>RawList!H568</f>
        <v>Laser Module - Green</v>
      </c>
      <c r="F599" s="50" t="str">
        <f>RawList!D568</f>
        <v>COM-09906</v>
      </c>
      <c r="G599" s="137">
        <f>RawList!E568</f>
        <v>1</v>
      </c>
      <c r="H599" s="50" t="str">
        <f>IF(EquipmentTable[[#This Row],[Units]]&gt;0,"Quantity &gt; 0 Items","Quantity = 0 Items")</f>
        <v>Quantity &gt; 0 Items</v>
      </c>
      <c r="I599" s="141">
        <f>RawList!J568</f>
        <v>14.95</v>
      </c>
      <c r="J599" s="24">
        <f>VALUE(EquipmentTable[[#This Row],[Units]]*EquipmentTable[[#This Row],[Unit
 Price]])</f>
        <v>14.95</v>
      </c>
      <c r="K599" s="50" t="str">
        <f>RawList!G568</f>
        <v>https://cdn.sparkfun.com/r/92-92/assets/parts/4/0/0/3/09906-01a.jpg</v>
      </c>
      <c r="L599" s="50"/>
      <c r="M599" s="50" t="str">
        <f>RawList!F568</f>
        <v>https://www.sparkfun.com/products/9906</v>
      </c>
    </row>
    <row r="600" spans="2:13" x14ac:dyDescent="0.3">
      <c r="B600" s="50" t="str">
        <f>RawList!A569</f>
        <v>Tools</v>
      </c>
      <c r="C600" s="50" t="str">
        <f>RawList!B569</f>
        <v>PCB/Breadboard Work Tools</v>
      </c>
      <c r="D600" s="50" t="str">
        <f>RawList!C569</f>
        <v>SparkFun</v>
      </c>
      <c r="E600" s="50" t="str">
        <f>RawList!H569</f>
        <v>Laser Module Mount</v>
      </c>
      <c r="F600" s="50" t="str">
        <f>RawList!D569</f>
        <v>COM-08674</v>
      </c>
      <c r="G600" s="137">
        <f>RawList!E569</f>
        <v>1</v>
      </c>
      <c r="H600" s="50" t="str">
        <f>IF(EquipmentTable[[#This Row],[Units]]&gt;0,"Quantity &gt; 0 Items","Quantity = 0 Items")</f>
        <v>Quantity &gt; 0 Items</v>
      </c>
      <c r="I600" s="141">
        <f>RawList!J569</f>
        <v>0.1</v>
      </c>
      <c r="J600" s="24">
        <f>VALUE(EquipmentTable[[#This Row],[Units]]*EquipmentTable[[#This Row],[Unit
 Price]])</f>
        <v>0.1</v>
      </c>
      <c r="K600" s="50" t="str">
        <f>RawList!G569</f>
        <v>https://cdn.sparkfun.com/r/92-92/assets/parts/1/8/3/1/08674-03-L.jpg</v>
      </c>
      <c r="L600" s="50"/>
      <c r="M600" s="50" t="str">
        <f>RawList!F569</f>
        <v>https://www.sparkfun.com/products/8674</v>
      </c>
    </row>
    <row r="601" spans="2:13" x14ac:dyDescent="0.3">
      <c r="B601" s="50" t="str">
        <f>RawList!A570</f>
        <v>Tools</v>
      </c>
      <c r="C601" s="50" t="str">
        <f>RawList!B570</f>
        <v>Hand Tools</v>
      </c>
      <c r="D601" s="50" t="str">
        <f>RawList!C570</f>
        <v>SparkFun</v>
      </c>
      <c r="E601" s="50" t="str">
        <f>RawList!H570</f>
        <v>Multimeter Probes - Needle Tipped</v>
      </c>
      <c r="F601" s="50" t="str">
        <f>RawList!D570</f>
        <v>TOL-12078</v>
      </c>
      <c r="G601" s="137">
        <f>RawList!E570</f>
        <v>1</v>
      </c>
      <c r="H601" s="50" t="str">
        <f>IF(EquipmentTable[[#This Row],[Units]]&gt;0,"Quantity &gt; 0 Items","Quantity = 0 Items")</f>
        <v>Quantity &gt; 0 Items</v>
      </c>
      <c r="I601" s="141">
        <f>RawList!J570</f>
        <v>4.95</v>
      </c>
      <c r="J601" s="24">
        <f>VALUE(EquipmentTable[[#This Row],[Units]]*EquipmentTable[[#This Row],[Unit
 Price]])</f>
        <v>4.95</v>
      </c>
      <c r="K601" s="50" t="str">
        <f>RawList!G570</f>
        <v>https://cdn.sparkfun.com/r/92-92/assets/parts/8/6/9/5/12078-01.jpg</v>
      </c>
      <c r="L601" s="50"/>
      <c r="M601" s="50" t="str">
        <f>RawList!F570</f>
        <v>https://www.sparkfun.com/products/12078</v>
      </c>
    </row>
    <row r="602" spans="2:13" x14ac:dyDescent="0.3">
      <c r="B602" s="50" t="str">
        <f>RawList!A571</f>
        <v>Tools</v>
      </c>
      <c r="C602" s="50" t="str">
        <f>RawList!B571</f>
        <v>Hand Tools</v>
      </c>
      <c r="D602" s="50" t="str">
        <f>RawList!C571</f>
        <v>SparkFun</v>
      </c>
      <c r="E602" s="50" t="str">
        <f>RawList!H571</f>
        <v>Multimeter Probes - Tweezers</v>
      </c>
      <c r="F602" s="50" t="str">
        <f>RawList!D571</f>
        <v>TOL-11060</v>
      </c>
      <c r="G602" s="137">
        <f>RawList!E571</f>
        <v>1</v>
      </c>
      <c r="H602" s="50" t="str">
        <f>IF(EquipmentTable[[#This Row],[Units]]&gt;0,"Quantity &gt; 0 Items","Quantity = 0 Items")</f>
        <v>Quantity &gt; 0 Items</v>
      </c>
      <c r="I602" s="141">
        <f>RawList!J571</f>
        <v>4.95</v>
      </c>
      <c r="J602" s="24">
        <f>VALUE(EquipmentTable[[#This Row],[Units]]*EquipmentTable[[#This Row],[Unit
 Price]])</f>
        <v>4.95</v>
      </c>
      <c r="K602" s="50" t="str">
        <f>RawList!G571</f>
        <v>https://cdn.sparkfun.com/r/92-92/assets/parts/6/4/3/2/11060-01.jpg</v>
      </c>
      <c r="L602" s="50"/>
      <c r="M602" s="50" t="str">
        <f>RawList!F571</f>
        <v>https://www.sparkfun.com/products/11060</v>
      </c>
    </row>
    <row r="603" spans="2:13" x14ac:dyDescent="0.3">
      <c r="B603" s="50" t="str">
        <f>RawList!A572</f>
        <v>Tools</v>
      </c>
      <c r="C603" s="50" t="str">
        <f>RawList!B572</f>
        <v>Hand Tools</v>
      </c>
      <c r="D603" s="50" t="str">
        <f>RawList!C572</f>
        <v>SparkFun</v>
      </c>
      <c r="E603" s="50" t="str">
        <f>RawList!H572</f>
        <v>Tweezers - Straight (cross-lock, ESD Safe)</v>
      </c>
      <c r="F603" s="50" t="str">
        <f>RawList!D572</f>
        <v>TOL-12573</v>
      </c>
      <c r="G603" s="137">
        <f>RawList!E572</f>
        <v>1</v>
      </c>
      <c r="H603" s="50" t="str">
        <f>IF(EquipmentTable[[#This Row],[Units]]&gt;0,"Quantity &gt; 0 Items","Quantity = 0 Items")</f>
        <v>Quantity &gt; 0 Items</v>
      </c>
      <c r="I603" s="141">
        <f>RawList!J572</f>
        <v>3.95</v>
      </c>
      <c r="J603" s="24">
        <f>VALUE(EquipmentTable[[#This Row],[Units]]*EquipmentTable[[#This Row],[Unit
 Price]])</f>
        <v>3.95</v>
      </c>
      <c r="K603" s="50" t="str">
        <f>RawList!G572</f>
        <v>https://cdn.sparkfun.com/r/92-92/assets/parts/9/2/2/3/12573-02.jpg</v>
      </c>
      <c r="L603" s="50"/>
      <c r="M603" s="50" t="str">
        <f>RawList!F572</f>
        <v>https://www.sparkfun.com/products/12573</v>
      </c>
    </row>
    <row r="604" spans="2:13" x14ac:dyDescent="0.3">
      <c r="B604" s="50" t="str">
        <f>RawList!A573</f>
        <v>Tools</v>
      </c>
      <c r="C604" s="50" t="str">
        <f>RawList!B573</f>
        <v>Hand Tools</v>
      </c>
      <c r="D604" s="50" t="str">
        <f>RawList!C573</f>
        <v>SparkFun</v>
      </c>
      <c r="E604" s="50" t="str">
        <f>RawList!H573</f>
        <v>Tweezers - Curved (ESD Safe)</v>
      </c>
      <c r="F604" s="50" t="str">
        <f>RawList!D573</f>
        <v>TOL-10602</v>
      </c>
      <c r="G604" s="137">
        <f>RawList!E573</f>
        <v>1</v>
      </c>
      <c r="H604" s="50" t="str">
        <f>IF(EquipmentTable[[#This Row],[Units]]&gt;0,"Quantity &gt; 0 Items","Quantity = 0 Items")</f>
        <v>Quantity &gt; 0 Items</v>
      </c>
      <c r="I604" s="141">
        <f>RawList!J573</f>
        <v>3.95</v>
      </c>
      <c r="J604" s="24">
        <f>VALUE(EquipmentTable[[#This Row],[Units]]*EquipmentTable[[#This Row],[Unit
 Price]])</f>
        <v>3.95</v>
      </c>
      <c r="K604" s="50" t="str">
        <f>RawList!G573</f>
        <v>https://cdn.sparkfun.com/r/92-92/assets/parts/5/2/4/5/10602-01.jpg</v>
      </c>
      <c r="L604" s="50"/>
      <c r="M604" s="50" t="str">
        <f>RawList!F573</f>
        <v>https://www.sparkfun.com/products/10602</v>
      </c>
    </row>
    <row r="605" spans="2:13" x14ac:dyDescent="0.3">
      <c r="B605" s="50" t="str">
        <f>RawList!A574</f>
        <v>Tools</v>
      </c>
      <c r="C605" s="50" t="str">
        <f>RawList!B574</f>
        <v>Hand Tools</v>
      </c>
      <c r="D605" s="50" t="str">
        <f>RawList!C574</f>
        <v>SparkFun</v>
      </c>
      <c r="E605" s="50" t="str">
        <f>RawList!H574</f>
        <v>Tweezers - Curved (cross-lock, ESD Safe)</v>
      </c>
      <c r="F605" s="50" t="str">
        <f>RawList!D574</f>
        <v>TOL-12572</v>
      </c>
      <c r="G605" s="137">
        <f>RawList!E574</f>
        <v>1</v>
      </c>
      <c r="H605" s="50" t="str">
        <f>IF(EquipmentTable[[#This Row],[Units]]&gt;0,"Quantity &gt; 0 Items","Quantity = 0 Items")</f>
        <v>Quantity &gt; 0 Items</v>
      </c>
      <c r="I605" s="141">
        <f>RawList!J574</f>
        <v>3.95</v>
      </c>
      <c r="J605" s="24">
        <f>VALUE(EquipmentTable[[#This Row],[Units]]*EquipmentTable[[#This Row],[Unit
 Price]])</f>
        <v>3.95</v>
      </c>
      <c r="K605" s="50" t="str">
        <f>RawList!G574</f>
        <v>https://cdn.sparkfun.com/r/92-92/assets/parts/9/2/2/2/12572-01.jpg</v>
      </c>
      <c r="L605" s="50"/>
      <c r="M605" s="50" t="str">
        <f>RawList!F574</f>
        <v>https://www.sparkfun.com/products/12572</v>
      </c>
    </row>
    <row r="606" spans="2:13" x14ac:dyDescent="0.3">
      <c r="B606" s="50" t="str">
        <f>RawList!A575</f>
        <v>Tools</v>
      </c>
      <c r="C606" s="50" t="str">
        <f>RawList!B575</f>
        <v>Hand Tools</v>
      </c>
      <c r="D606" s="50" t="str">
        <f>RawList!C575</f>
        <v>SparkFun</v>
      </c>
      <c r="E606" s="50" t="str">
        <f>RawList!H575</f>
        <v>Needle Nose Pliers</v>
      </c>
      <c r="F606" s="50" t="str">
        <f>RawList!D575</f>
        <v>TOL-08793</v>
      </c>
      <c r="G606" s="137">
        <f>RawList!E575</f>
        <v>0</v>
      </c>
      <c r="H606" s="50" t="str">
        <f>IF(EquipmentTable[[#This Row],[Units]]&gt;0,"Quantity &gt; 0 Items","Quantity = 0 Items")</f>
        <v>Quantity = 0 Items</v>
      </c>
      <c r="I606" s="141">
        <f>RawList!J575</f>
        <v>1.95</v>
      </c>
      <c r="J606" s="24">
        <f>VALUE(EquipmentTable[[#This Row],[Units]]*EquipmentTable[[#This Row],[Unit
 Price]])</f>
        <v>0</v>
      </c>
      <c r="K606" s="50" t="str">
        <f>RawList!G575</f>
        <v>https://cdn.sparkfun.com/r/92-92/assets/parts/2/0/3/3/08793-03-L.jpg</v>
      </c>
      <c r="L606" s="50"/>
      <c r="M606" s="50" t="str">
        <f>RawList!F575</f>
        <v>https://www.sparkfun.com/products/8793</v>
      </c>
    </row>
    <row r="607" spans="2:13" x14ac:dyDescent="0.3">
      <c r="B607" s="50" t="str">
        <f>RawList!A576</f>
        <v>Tools</v>
      </c>
      <c r="C607" s="50" t="str">
        <f>RawList!B576</f>
        <v>Hand Tools</v>
      </c>
      <c r="D607" s="50" t="str">
        <f>RawList!C576</f>
        <v>Adafruit</v>
      </c>
      <c r="E607" s="50" t="str">
        <f>RawList!H576</f>
        <v>Hakko Precision Flat Pliers</v>
      </c>
      <c r="F607" s="50" t="str">
        <f>RawList!D576</f>
        <v>1368</v>
      </c>
      <c r="G607" s="137">
        <f>RawList!E576</f>
        <v>0</v>
      </c>
      <c r="H607" s="50" t="str">
        <f>IF(EquipmentTable[[#This Row],[Units]]&gt;0,"Quantity &gt; 0 Items","Quantity = 0 Items")</f>
        <v>Quantity = 0 Items</v>
      </c>
      <c r="I607" s="141">
        <f>RawList!J576</f>
        <v>11.95</v>
      </c>
      <c r="J607" s="24">
        <f>VALUE(EquipmentTable[[#This Row],[Units]]*EquipmentTable[[#This Row],[Unit
 Price]])</f>
        <v>0</v>
      </c>
      <c r="K607" s="50">
        <f>RawList!G576</f>
        <v>0</v>
      </c>
      <c r="L607" s="50"/>
      <c r="M607" s="50">
        <f>RawList!F576</f>
        <v>0</v>
      </c>
    </row>
    <row r="608" spans="2:13" x14ac:dyDescent="0.3">
      <c r="B608" s="50" t="str">
        <f>RawList!A577</f>
        <v>Tools</v>
      </c>
      <c r="C608" s="50" t="str">
        <f>RawList!B577</f>
        <v>Hand Tools</v>
      </c>
      <c r="D608" s="50" t="str">
        <f>RawList!C577</f>
        <v>Adafruit</v>
      </c>
      <c r="E608" s="50" t="str">
        <f>RawList!H577</f>
        <v>Professional IC Extraction Tool</v>
      </c>
      <c r="F608" s="50" t="str">
        <f>RawList!D577</f>
        <v>1598</v>
      </c>
      <c r="G608" s="137">
        <f>RawList!E577</f>
        <v>0</v>
      </c>
      <c r="H608" s="50" t="str">
        <f>IF(EquipmentTable[[#This Row],[Units]]&gt;0,"Quantity &gt; 0 Items","Quantity = 0 Items")</f>
        <v>Quantity = 0 Items</v>
      </c>
      <c r="I608" s="141">
        <f>RawList!J577</f>
        <v>14.95</v>
      </c>
      <c r="J608" s="24">
        <f>VALUE(EquipmentTable[[#This Row],[Units]]*EquipmentTable[[#This Row],[Unit
 Price]])</f>
        <v>0</v>
      </c>
      <c r="K608" s="50">
        <f>RawList!G577</f>
        <v>0</v>
      </c>
      <c r="L608" s="50"/>
      <c r="M608" s="50">
        <f>RawList!F577</f>
        <v>0</v>
      </c>
    </row>
    <row r="609" spans="2:13" x14ac:dyDescent="0.3">
      <c r="B609" s="50" t="str">
        <f>RawList!A578</f>
        <v>Tools</v>
      </c>
      <c r="C609" s="50" t="str">
        <f>RawList!B578</f>
        <v>Hand Tools</v>
      </c>
      <c r="D609" s="50" t="str">
        <f>RawList!C578</f>
        <v>SparkFun</v>
      </c>
      <c r="E609" s="50" t="str">
        <f>RawList!H578</f>
        <v>Wire Strippers - 30AWG (Hakko)</v>
      </c>
      <c r="F609" s="50" t="str">
        <f>RawList!D578</f>
        <v>TOL-12630</v>
      </c>
      <c r="G609" s="137">
        <f>RawList!E578</f>
        <v>0</v>
      </c>
      <c r="H609" s="50" t="str">
        <f>IF(EquipmentTable[[#This Row],[Units]]&gt;0,"Quantity &gt; 0 Items","Quantity = 0 Items")</f>
        <v>Quantity = 0 Items</v>
      </c>
      <c r="I609" s="141">
        <f>RawList!J578</f>
        <v>9.9499999999999993</v>
      </c>
      <c r="J609" s="24">
        <f>VALUE(EquipmentTable[[#This Row],[Units]]*EquipmentTable[[#This Row],[Unit
 Price]])</f>
        <v>0</v>
      </c>
      <c r="K609" s="50" t="str">
        <f>RawList!G578</f>
        <v>https://cdn.sparkfun.com/r/92-92/assets/parts/9/3/1/2/12630-01.jpg</v>
      </c>
      <c r="L609" s="50"/>
      <c r="M609" s="50" t="str">
        <f>RawList!F578</f>
        <v>https://www.sparkfun.com/products/12630</v>
      </c>
    </row>
    <row r="610" spans="2:13" x14ac:dyDescent="0.3">
      <c r="B610" s="50" t="str">
        <f>RawList!A579</f>
        <v>Tools</v>
      </c>
      <c r="C610" s="50" t="str">
        <f>RawList!B579</f>
        <v>Hand Tools</v>
      </c>
      <c r="D610" s="50" t="str">
        <f>RawList!C579</f>
        <v>Adafruit</v>
      </c>
      <c r="E610" s="50" t="str">
        <f>RawList!H579</f>
        <v>Hakko Professsional Quality 20-30 AWG Wire Strippers - CSP-30-1</v>
      </c>
      <c r="F610" s="50" t="str">
        <f>RawList!D579</f>
        <v>527</v>
      </c>
      <c r="G610" s="137">
        <f>RawList!E579</f>
        <v>0</v>
      </c>
      <c r="H610" s="50" t="str">
        <f>IF(EquipmentTable[[#This Row],[Units]]&gt;0,"Quantity &gt; 0 Items","Quantity = 0 Items")</f>
        <v>Quantity = 0 Items</v>
      </c>
      <c r="I610" s="141">
        <f>RawList!J579</f>
        <v>14.95</v>
      </c>
      <c r="J610" s="24">
        <f>VALUE(EquipmentTable[[#This Row],[Units]]*EquipmentTable[[#This Row],[Unit
 Price]])</f>
        <v>0</v>
      </c>
      <c r="K610" s="50">
        <f>RawList!G579</f>
        <v>0</v>
      </c>
      <c r="L610" s="50"/>
      <c r="M610" s="50">
        <f>RawList!F579</f>
        <v>0</v>
      </c>
    </row>
    <row r="611" spans="2:13" x14ac:dyDescent="0.3">
      <c r="B611" s="50" t="str">
        <f>RawList!A580</f>
        <v>Tools</v>
      </c>
      <c r="C611" s="50" t="str">
        <f>RawList!B580</f>
        <v>Hand Tools</v>
      </c>
      <c r="D611" s="50" t="str">
        <f>RawList!C580</f>
        <v>SparkFun</v>
      </c>
      <c r="E611" s="50" t="str">
        <f>RawList!H580</f>
        <v>Diagonal Cutters</v>
      </c>
      <c r="F611" s="50" t="str">
        <f>RawList!D580</f>
        <v>TOL-08794</v>
      </c>
      <c r="G611" s="137">
        <f>RawList!E580</f>
        <v>0</v>
      </c>
      <c r="H611" s="50" t="str">
        <f>IF(EquipmentTable[[#This Row],[Units]]&gt;0,"Quantity &gt; 0 Items","Quantity = 0 Items")</f>
        <v>Quantity = 0 Items</v>
      </c>
      <c r="I611" s="141">
        <f>RawList!J580</f>
        <v>1.95</v>
      </c>
      <c r="J611" s="24">
        <f>VALUE(EquipmentTable[[#This Row],[Units]]*EquipmentTable[[#This Row],[Unit
 Price]])</f>
        <v>0</v>
      </c>
      <c r="K611" s="50" t="str">
        <f>RawList!G580</f>
        <v>https://cdn.sparkfun.com/r/92-92/assets/parts/2/0/3/4/08794-03-L.jpg</v>
      </c>
      <c r="L611" s="50"/>
      <c r="M611" s="50" t="str">
        <f>RawList!F580</f>
        <v>https://www.sparkfun.com/products/8794</v>
      </c>
    </row>
    <row r="612" spans="2:13" x14ac:dyDescent="0.3">
      <c r="B612" s="50" t="str">
        <f>RawList!A581</f>
        <v>Tools</v>
      </c>
      <c r="C612" s="50" t="str">
        <f>RawList!B581</f>
        <v>Hand Tools</v>
      </c>
      <c r="D612" s="50" t="str">
        <f>RawList!C581</f>
        <v>SparkFun</v>
      </c>
      <c r="E612" s="50" t="str">
        <f>RawList!H581</f>
        <v>Flush Cutters - Hakko</v>
      </c>
      <c r="F612" s="50" t="str">
        <f>RawList!D581</f>
        <v>TOL-11952</v>
      </c>
      <c r="G612" s="137">
        <f>RawList!E581</f>
        <v>0</v>
      </c>
      <c r="H612" s="50" t="str">
        <f>IF(EquipmentTable[[#This Row],[Units]]&gt;0,"Quantity &gt; 0 Items","Quantity = 0 Items")</f>
        <v>Quantity = 0 Items</v>
      </c>
      <c r="I612" s="141">
        <f>RawList!J581</f>
        <v>6.95</v>
      </c>
      <c r="J612" s="24">
        <f>VALUE(EquipmentTable[[#This Row],[Units]]*EquipmentTable[[#This Row],[Unit
 Price]])</f>
        <v>0</v>
      </c>
      <c r="K612" s="50" t="str">
        <f>RawList!G581</f>
        <v>https://cdn.sparkfun.com/r/92-92/assets/parts/8/4/2/2/11952-01.jpg</v>
      </c>
      <c r="L612" s="50"/>
      <c r="M612" s="50" t="str">
        <f>RawList!F581</f>
        <v>https://www.sparkfun.com/products/11952</v>
      </c>
    </row>
    <row r="613" spans="2:13" x14ac:dyDescent="0.3">
      <c r="B613" s="50" t="str">
        <f>RawList!A582</f>
        <v>Tools</v>
      </c>
      <c r="C613" s="50" t="str">
        <f>RawList!B582</f>
        <v>Hand Tools</v>
      </c>
      <c r="D613" s="50" t="str">
        <f>RawList!C582</f>
        <v>SparkFun</v>
      </c>
      <c r="E613" s="50" t="str">
        <f>RawList!H582</f>
        <v>Hobby Knife</v>
      </c>
      <c r="F613" s="50" t="str">
        <f>RawList!D582</f>
        <v>TOL-09200</v>
      </c>
      <c r="G613" s="137">
        <f>RawList!E582</f>
        <v>0</v>
      </c>
      <c r="H613" s="50" t="str">
        <f>IF(EquipmentTable[[#This Row],[Units]]&gt;0,"Quantity &gt; 0 Items","Quantity = 0 Items")</f>
        <v>Quantity = 0 Items</v>
      </c>
      <c r="I613" s="141">
        <f>RawList!J582</f>
        <v>2.95</v>
      </c>
      <c r="J613" s="24">
        <f>VALUE(EquipmentTable[[#This Row],[Units]]*EquipmentTable[[#This Row],[Unit
 Price]])</f>
        <v>0</v>
      </c>
      <c r="K613" s="50" t="str">
        <f>RawList!G582</f>
        <v>https://cdn.sparkfun.com/r/92-92/assets/parts/2/6/4/6/09200-03.jpg</v>
      </c>
      <c r="L613" s="50"/>
      <c r="M613" s="50" t="str">
        <f>RawList!F582</f>
        <v>https://www.sparkfun.com/products/9200</v>
      </c>
    </row>
    <row r="614" spans="2:13" x14ac:dyDescent="0.3">
      <c r="B614" s="50" t="str">
        <f>RawList!A583</f>
        <v>Tools</v>
      </c>
      <c r="C614" s="50" t="str">
        <f>RawList!B583</f>
        <v>Hand Tools</v>
      </c>
      <c r="D614" s="50" t="str">
        <f>RawList!C583</f>
        <v>SparkFun</v>
      </c>
      <c r="E614" s="50" t="str">
        <f>RawList!H583</f>
        <v>Hobby Knife Replacement Blades</v>
      </c>
      <c r="F614" s="50" t="str">
        <f>RawList!D583</f>
        <v>TOL-10325</v>
      </c>
      <c r="G614" s="137">
        <f>RawList!E583</f>
        <v>0</v>
      </c>
      <c r="H614" s="50" t="str">
        <f>IF(EquipmentTable[[#This Row],[Units]]&gt;0,"Quantity &gt; 0 Items","Quantity = 0 Items")</f>
        <v>Quantity = 0 Items</v>
      </c>
      <c r="I614" s="141">
        <f>RawList!J583</f>
        <v>1.95</v>
      </c>
      <c r="J614" s="24">
        <f>VALUE(EquipmentTable[[#This Row],[Units]]*EquipmentTable[[#This Row],[Unit
 Price]])</f>
        <v>0</v>
      </c>
      <c r="K614" s="50" t="str">
        <f>RawList!G583</f>
        <v>https://cdn.sparkfun.com/r/92-92/assets/parts/4/7/3/3/10325-02.jpg</v>
      </c>
      <c r="L614" s="50"/>
      <c r="M614" s="50" t="str">
        <f>RawList!F583</f>
        <v>https://www.sparkfun.com/products/10325</v>
      </c>
    </row>
    <row r="615" spans="2:13" x14ac:dyDescent="0.3">
      <c r="B615" s="50" t="str">
        <f>RawList!A584</f>
        <v>Tools</v>
      </c>
      <c r="C615" s="50" t="str">
        <f>RawList!B584</f>
        <v>Hand Tools</v>
      </c>
      <c r="D615" s="50" t="str">
        <f>RawList!C584</f>
        <v>SparkFun</v>
      </c>
      <c r="E615" s="50" t="str">
        <f>RawList!H584</f>
        <v>Resistor Lead Bending Tool</v>
      </c>
      <c r="F615" s="50" t="str">
        <f>RawList!D584</f>
        <v>TOL-13114</v>
      </c>
      <c r="G615" s="137">
        <f>RawList!E584</f>
        <v>1</v>
      </c>
      <c r="H615" s="50" t="str">
        <f>IF(EquipmentTable[[#This Row],[Units]]&gt;0,"Quantity &gt; 0 Items","Quantity = 0 Items")</f>
        <v>Quantity &gt; 0 Items</v>
      </c>
      <c r="I615" s="141">
        <f>RawList!J584</f>
        <v>4.8</v>
      </c>
      <c r="J615" s="24">
        <f>VALUE(EquipmentTable[[#This Row],[Units]]*EquipmentTable[[#This Row],[Unit
 Price]])</f>
        <v>4.8</v>
      </c>
      <c r="K615" s="50" t="str">
        <f>RawList!G584</f>
        <v>https://cdn.sparkfun.com/r/92-92/assets/parts/1/0/1/6/6/13114-01.jpg</v>
      </c>
      <c r="L615" s="50"/>
      <c r="M615" s="50" t="str">
        <f>RawList!F584</f>
        <v>https://www.sparkfun.com/products/13114</v>
      </c>
    </row>
    <row r="616" spans="2:13" x14ac:dyDescent="0.3">
      <c r="B616" s="50" t="str">
        <f>RawList!A585</f>
        <v>Tools</v>
      </c>
      <c r="C616" s="50" t="str">
        <f>RawList!B585</f>
        <v>Storage/Organization</v>
      </c>
      <c r="D616" s="50" t="str">
        <f>RawList!C585</f>
        <v>SparkFun</v>
      </c>
      <c r="E616" s="50" t="str">
        <f>RawList!H585</f>
        <v>Modular Plastic Storage Box - Medium (4 pack)</v>
      </c>
      <c r="F616" s="50" t="str">
        <f>RawList!D585</f>
        <v>TOL-11528</v>
      </c>
      <c r="G616" s="137">
        <f>RawList!E585</f>
        <v>0</v>
      </c>
      <c r="H616" s="50" t="str">
        <f>IF(EquipmentTable[[#This Row],[Units]]&gt;0,"Quantity &gt; 0 Items","Quantity = 0 Items")</f>
        <v>Quantity = 0 Items</v>
      </c>
      <c r="I616" s="141">
        <f>RawList!J585</f>
        <v>3.95</v>
      </c>
      <c r="J616" s="24">
        <f>VALUE(EquipmentTable[[#This Row],[Units]]*EquipmentTable[[#This Row],[Unit
 Price]])</f>
        <v>0</v>
      </c>
      <c r="K616" s="50" t="str">
        <f>RawList!G585</f>
        <v>https://cdn.sparkfun.com/r/92-92/assets/parts/7/4/5/3/11528-01.jpg</v>
      </c>
      <c r="L616" s="50"/>
      <c r="M616" s="50" t="str">
        <f>RawList!F585</f>
        <v>https://www.sparkfun.com/products/11528</v>
      </c>
    </row>
    <row r="617" spans="2:13" x14ac:dyDescent="0.3">
      <c r="B617" s="50" t="str">
        <f>RawList!A586</f>
        <v>Tools</v>
      </c>
      <c r="C617" s="50" t="str">
        <f>RawList!B586</f>
        <v>Storage/Organization</v>
      </c>
      <c r="D617" s="50" t="str">
        <f>RawList!C586</f>
        <v>SparkFun</v>
      </c>
      <c r="E617" s="50" t="str">
        <f>RawList!H586</f>
        <v>Modular Plastic Storage Box - Small (10 pack)</v>
      </c>
      <c r="F617" s="50" t="str">
        <f>RawList!D586</f>
        <v>TOL-11527</v>
      </c>
      <c r="G617" s="137">
        <f>RawList!E586</f>
        <v>0</v>
      </c>
      <c r="H617" s="50" t="str">
        <f>IF(EquipmentTable[[#This Row],[Units]]&gt;0,"Quantity &gt; 0 Items","Quantity = 0 Items")</f>
        <v>Quantity = 0 Items</v>
      </c>
      <c r="I617" s="141">
        <f>RawList!J586</f>
        <v>3.95</v>
      </c>
      <c r="J617" s="24">
        <f>VALUE(EquipmentTable[[#This Row],[Units]]*EquipmentTable[[#This Row],[Unit
 Price]])</f>
        <v>0</v>
      </c>
      <c r="K617" s="50" t="str">
        <f>RawList!G586</f>
        <v>https://cdn.sparkfun.com/r/92-92/assets/parts/7/4/5/2/11527-01.jpg</v>
      </c>
      <c r="L617" s="50"/>
      <c r="M617" s="50" t="str">
        <f>RawList!F586</f>
        <v>https://www.sparkfun.com/products/11527</v>
      </c>
    </row>
    <row r="618" spans="2:13" x14ac:dyDescent="0.3">
      <c r="B618" s="50" t="str">
        <f>RawList!A587</f>
        <v>Tools</v>
      </c>
      <c r="C618" s="50" t="str">
        <f>RawList!B587</f>
        <v>Storage/Organization</v>
      </c>
      <c r="D618" s="50" t="str">
        <f>RawList!C587</f>
        <v>Adafruit</v>
      </c>
      <c r="E618" s="50" t="str">
        <f>RawList!H587</f>
        <v>Latching 5-Compartment Storage Box</v>
      </c>
      <c r="F618" s="50" t="str">
        <f>RawList!D587</f>
        <v>2938</v>
      </c>
      <c r="G618" s="137">
        <f>RawList!E587</f>
        <v>0</v>
      </c>
      <c r="H618" s="50" t="str">
        <f>IF(EquipmentTable[[#This Row],[Units]]&gt;0,"Quantity &gt; 0 Items","Quantity = 0 Items")</f>
        <v>Quantity = 0 Items</v>
      </c>
      <c r="I618" s="141">
        <f>RawList!J587</f>
        <v>2.5</v>
      </c>
      <c r="J618" s="24">
        <f>VALUE(EquipmentTable[[#This Row],[Units]]*EquipmentTable[[#This Row],[Unit
 Price]])</f>
        <v>0</v>
      </c>
      <c r="K618" s="50">
        <f>RawList!G587</f>
        <v>0</v>
      </c>
      <c r="L618" s="50"/>
      <c r="M618" s="50">
        <f>RawList!F587</f>
        <v>0</v>
      </c>
    </row>
    <row r="619" spans="2:13" x14ac:dyDescent="0.3">
      <c r="B619" s="50" t="str">
        <f>RawList!A588</f>
        <v>Tools</v>
      </c>
      <c r="C619" s="50" t="str">
        <f>RawList!B588</f>
        <v>Storage/Organization</v>
      </c>
      <c r="D619" s="50" t="str">
        <f>RawList!C588</f>
        <v>Adafruit</v>
      </c>
      <c r="E619" s="50" t="str">
        <f>RawList!H588</f>
        <v>Medium Modular Snap Boxes - SMD component storage - 2 pack - Pink</v>
      </c>
      <c r="F619" s="50" t="str">
        <f>RawList!D588</f>
        <v>433</v>
      </c>
      <c r="G619" s="137">
        <f>RawList!E588</f>
        <v>1</v>
      </c>
      <c r="H619" s="50" t="str">
        <f>IF(EquipmentTable[[#This Row],[Units]]&gt;0,"Quantity &gt; 0 Items","Quantity = 0 Items")</f>
        <v>Quantity &gt; 0 Items</v>
      </c>
      <c r="I619" s="141">
        <f>RawList!J588</f>
        <v>2.95</v>
      </c>
      <c r="J619" s="24">
        <f>VALUE(EquipmentTable[[#This Row],[Units]]*EquipmentTable[[#This Row],[Unit
 Price]])</f>
        <v>2.95</v>
      </c>
      <c r="K619" s="50">
        <f>RawList!G588</f>
        <v>0</v>
      </c>
      <c r="L619" s="50"/>
      <c r="M619" s="50">
        <f>RawList!F588</f>
        <v>0</v>
      </c>
    </row>
    <row r="620" spans="2:13" x14ac:dyDescent="0.3">
      <c r="B620" s="50" t="str">
        <f>RawList!A589</f>
        <v>Tools</v>
      </c>
      <c r="C620" s="50" t="str">
        <f>RawList!B589</f>
        <v>Storage/Organization</v>
      </c>
      <c r="D620" s="50" t="str">
        <f>RawList!C589</f>
        <v>Adafruit</v>
      </c>
      <c r="E620" s="50" t="str">
        <f>RawList!H589</f>
        <v>Small Modular Snap Boxes - SMD component storage - 3 pack - Green</v>
      </c>
      <c r="F620" s="50" t="str">
        <f>RawList!D589</f>
        <v>432</v>
      </c>
      <c r="G620" s="137">
        <f>RawList!E589</f>
        <v>1</v>
      </c>
      <c r="H620" s="50" t="str">
        <f>IF(EquipmentTable[[#This Row],[Units]]&gt;0,"Quantity &gt; 0 Items","Quantity = 0 Items")</f>
        <v>Quantity &gt; 0 Items</v>
      </c>
      <c r="I620" s="141">
        <f>RawList!J589</f>
        <v>2.95</v>
      </c>
      <c r="J620" s="24">
        <f>VALUE(EquipmentTable[[#This Row],[Units]]*EquipmentTable[[#This Row],[Unit
 Price]])</f>
        <v>2.95</v>
      </c>
      <c r="K620" s="50">
        <f>RawList!G589</f>
        <v>0</v>
      </c>
      <c r="L620" s="50"/>
      <c r="M620" s="50">
        <f>RawList!F589</f>
        <v>0</v>
      </c>
    </row>
    <row r="621" spans="2:13" x14ac:dyDescent="0.3">
      <c r="B621" s="50" t="str">
        <f>RawList!A590</f>
        <v>Tools</v>
      </c>
      <c r="C621" s="50" t="str">
        <f>RawList!B590</f>
        <v>Storage/Organization</v>
      </c>
      <c r="D621" s="50" t="str">
        <f>RawList!C590</f>
        <v>Adafruit</v>
      </c>
      <c r="E621" s="50" t="str">
        <f>RawList!H590</f>
        <v>Tiny Modular Snap Boxes - SMD component storage - 10 pack - Blue</v>
      </c>
      <c r="F621" s="50" t="str">
        <f>RawList!D590</f>
        <v>427</v>
      </c>
      <c r="G621" s="137">
        <f>RawList!E590</f>
        <v>1</v>
      </c>
      <c r="H621" s="50" t="str">
        <f>IF(EquipmentTable[[#This Row],[Units]]&gt;0,"Quantity &gt; 0 Items","Quantity = 0 Items")</f>
        <v>Quantity &gt; 0 Items</v>
      </c>
      <c r="I621" s="141">
        <f>RawList!J590</f>
        <v>3.95</v>
      </c>
      <c r="J621" s="24">
        <f>VALUE(EquipmentTable[[#This Row],[Units]]*EquipmentTable[[#This Row],[Unit
 Price]])</f>
        <v>3.95</v>
      </c>
      <c r="K621" s="50">
        <f>RawList!G590</f>
        <v>0</v>
      </c>
      <c r="L621" s="50"/>
      <c r="M621" s="50">
        <f>RawList!F590</f>
        <v>0</v>
      </c>
    </row>
    <row r="622" spans="2:13" x14ac:dyDescent="0.3">
      <c r="B622" s="50" t="str">
        <f>RawList!A591</f>
        <v>Tools</v>
      </c>
      <c r="C622" s="50" t="str">
        <f>RawList!B591</f>
        <v>Storage/Organization</v>
      </c>
      <c r="D622" s="50" t="str">
        <f>RawList!C591</f>
        <v>Adafruit</v>
      </c>
      <c r="E622" s="50" t="str">
        <f>RawList!H591</f>
        <v>Tiny Modular Snap Boxes - SMD component storage - 10 pack - White</v>
      </c>
      <c r="F622" s="50" t="str">
        <f>RawList!D591</f>
        <v>431</v>
      </c>
      <c r="G622" s="137">
        <f>RawList!E591</f>
        <v>1</v>
      </c>
      <c r="H622" s="50" t="str">
        <f>IF(EquipmentTable[[#This Row],[Units]]&gt;0,"Quantity &gt; 0 Items","Quantity = 0 Items")</f>
        <v>Quantity &gt; 0 Items</v>
      </c>
      <c r="I622" s="141">
        <f>RawList!J591</f>
        <v>3.95</v>
      </c>
      <c r="J622" s="24">
        <f>VALUE(EquipmentTable[[#This Row],[Units]]*EquipmentTable[[#This Row],[Unit
 Price]])</f>
        <v>3.95</v>
      </c>
      <c r="K622" s="50">
        <f>RawList!G591</f>
        <v>0</v>
      </c>
      <c r="L622" s="50"/>
      <c r="M622" s="50">
        <f>RawList!F591</f>
        <v>0</v>
      </c>
    </row>
    <row r="623" spans="2:13" ht="43.2" x14ac:dyDescent="0.3">
      <c r="B623" s="61" t="s">
        <v>0</v>
      </c>
      <c r="C623" s="50">
        <f>SUBTOTAL(103,RawListTable[Category])</f>
        <v>278</v>
      </c>
      <c r="D623" s="50"/>
      <c r="E623" s="50"/>
      <c r="F623" s="60" t="str">
        <f>"TOTAL ITEMS: "&amp;SUBTOTAL(103,EquipmentTable[Item SKU])</f>
        <v>TOTAL ITEMS: 451</v>
      </c>
      <c r="G623" s="60" t="str">
        <f>"TOTAL UNITS: "&amp;SUBTOTAL(109,EquipmentTable[Units])</f>
        <v>TOTAL UNITS: 914</v>
      </c>
      <c r="H623" s="60"/>
      <c r="I623" s="57">
        <f>SUBTOTAL(101,EquipmentTable[Unit
 Price])</f>
        <v>5.4695787139689571</v>
      </c>
      <c r="J623" s="57">
        <f>SUBTOTAL(109,EquipmentTable[Price])</f>
        <v>4345.7699999999904</v>
      </c>
      <c r="K623" s="50"/>
      <c r="L623" s="50"/>
      <c r="M623" s="50"/>
    </row>
    <row r="624" spans="2:13" x14ac:dyDescent="0.3">
      <c r="B624" s="50" t="str">
        <f>RawList!A592</f>
        <v>Total</v>
      </c>
      <c r="C624" s="50"/>
      <c r="D624" s="50"/>
      <c r="E624" s="50"/>
      <c r="F624" s="50"/>
      <c r="G624" s="137"/>
      <c r="H624" s="50"/>
      <c r="I624" s="141"/>
      <c r="J624" s="24"/>
      <c r="K624" s="50"/>
      <c r="L624" s="50"/>
      <c r="M624" s="50"/>
    </row>
    <row r="625" spans="2:13" x14ac:dyDescent="0.3">
      <c r="B625" s="50">
        <f>RawList!A593</f>
        <v>585</v>
      </c>
      <c r="C625" s="50"/>
      <c r="D625" s="50"/>
      <c r="E625" s="50"/>
      <c r="F625" s="50"/>
      <c r="G625" s="137"/>
      <c r="H625" s="50"/>
      <c r="I625" s="141"/>
      <c r="J625" s="24"/>
      <c r="K625" s="50"/>
      <c r="L625" s="50"/>
      <c r="M625" s="50"/>
    </row>
    <row r="626" spans="2:13" x14ac:dyDescent="0.3">
      <c r="B626" s="50"/>
      <c r="C626" s="50"/>
      <c r="D626" s="50"/>
      <c r="E626" s="50"/>
      <c r="F626" s="50"/>
      <c r="G626" s="137"/>
      <c r="H626" s="50"/>
      <c r="I626" s="141"/>
      <c r="J626" s="24"/>
      <c r="K626" s="50"/>
      <c r="L626" s="50"/>
      <c r="M626" s="50"/>
    </row>
    <row r="627" spans="2:13" x14ac:dyDescent="0.3">
      <c r="B627" s="50"/>
      <c r="C627" s="50"/>
      <c r="D627" s="50"/>
      <c r="E627" s="50"/>
      <c r="F627" s="50"/>
      <c r="G627" s="137"/>
      <c r="H627" s="50"/>
      <c r="I627" s="141"/>
      <c r="J627" s="24"/>
      <c r="K627" s="50"/>
      <c r="L627" s="50"/>
      <c r="M627" s="50"/>
    </row>
  </sheetData>
  <mergeCells count="4">
    <mergeCell ref="B1:C1"/>
    <mergeCell ref="F2:H2"/>
    <mergeCell ref="F1:J1"/>
    <mergeCell ref="I2:J2"/>
  </mergeCells>
  <conditionalFormatting sqref="J40:J627">
    <cfRule type="dataBar" priority="5021">
      <dataBar>
        <cfvo type="min"/>
        <cfvo type="max"/>
        <color theme="5"/>
      </dataBar>
      <extLst>
        <ext xmlns:x14="http://schemas.microsoft.com/office/spreadsheetml/2009/9/main" uri="{B025F937-C7B1-47D3-B67F-A62EFF666E3E}">
          <x14:id>{C7B4005D-DBE6-4102-A519-3A98C697EEB1}</x14:id>
        </ext>
      </extLst>
    </cfRule>
  </conditionalFormatting>
  <dataValidations xWindow="1260" yWindow="399" count="6">
    <dataValidation allowBlank="1" showInputMessage="1" showErrorMessage="1" prompt="Enter Inventory Date in cell at right" sqref="F2" xr:uid="{0C6D06B5-C350-4712-AB3F-0E33A732D8B5}"/>
    <dataValidation allowBlank="1" showInputMessage="1" showErrorMessage="1" prompt="Enter Inventory Date in this cell" sqref="I2" xr:uid="{C540F45E-8595-4BEF-A73C-8DC706FC9B5C}"/>
    <dataValidation allowBlank="1" showInputMessage="1" showErrorMessage="1" prompt="Total Estimated Value of All Items is automatically calculated in this cell. Enter Inventory Date in cell I2" sqref="C2:D3" xr:uid="{FD8BDF86-F53E-46EE-B178-AC891E2DFE75}"/>
    <dataValidation allowBlank="1" showInputMessage="1" showErrorMessage="1" prompt="Total Estimated Value of All Items is automatically calculated in cell at right. Enter Inventory Date in cell I2" sqref="B2:B3" xr:uid="{43ECEE50-9329-4CFF-B5AB-B3906477843C}"/>
    <dataValidation allowBlank="1" showInputMessage="1" showErrorMessage="1" prompt="Title of this worksheet is in cells B1 through D1" sqref="B1" xr:uid="{1F89321E-EFAA-420B-A372-189A65AC7576}"/>
    <dataValidation type="list" allowBlank="1" showInputMessage="1" showErrorMessage="1" sqref="B40:B622 B624:B627" xr:uid="{C546F80F-5009-4E98-917D-10CAD5F2E8FF}">
      <formula1>$C$6:$C$13</formula1>
    </dataValidation>
  </dataValidations>
  <pageMargins left="0.7" right="0.7" top="0.75" bottom="0.75" header="0.3" footer="0.3"/>
  <pageSetup orientation="portrait" horizontalDpi="4294967294"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C7B4005D-DBE6-4102-A519-3A98C697EEB1}">
            <x14:dataBar minLength="0" maxLength="100">
              <x14:cfvo type="autoMin"/>
              <x14:cfvo type="autoMax"/>
              <x14:negativeFillColor rgb="FFFF0000"/>
              <x14:axisColor rgb="FF000000"/>
            </x14:dataBar>
          </x14:cfRule>
          <xm:sqref>J40:J627</xm:sqref>
        </x14:conditionalFormatting>
      </x14:conditionalFormattings>
    </ext>
    <ext xmlns:x14="http://schemas.microsoft.com/office/spreadsheetml/2009/9/main" uri="{CCE6A557-97BC-4b89-ADB6-D9C93CAAB3DF}">
      <x14:dataValidations xmlns:xm="http://schemas.microsoft.com/office/excel/2006/main" xWindow="1260" yWindow="399" count="2">
        <x14:dataValidation type="list" allowBlank="1" showInputMessage="1" showErrorMessage="1" xr:uid="{B6FDD4A4-695D-4216-9131-F8604D1E599C}">
          <x14:formula1>
            <xm:f>'Category Lookup'!$B$4:$B$96</xm:f>
          </x14:formula1>
          <xm:sqref>C40:C622 C624:C627</xm:sqref>
        </x14:dataValidation>
        <x14:dataValidation type="list" allowBlank="1" showInputMessage="1" showErrorMessage="1" xr:uid="{CCB6D9F4-0C7B-4BF6-8BC0-F15F8E2502AF}">
          <x14:formula1>
            <xm:f>FilterSpecs!$A$6:$A$16</xm:f>
          </x14:formula1>
          <xm:sqref>D40:D622 D624:D627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249977111117893"/>
    <pageSetUpPr fitToPage="1"/>
  </sheetPr>
  <dimension ref="B1:F110"/>
  <sheetViews>
    <sheetView showGridLines="0" zoomScaleNormal="100" workbookViewId="0">
      <selection activeCell="B14" sqref="B14"/>
    </sheetView>
  </sheetViews>
  <sheetFormatPr defaultRowHeight="14.4" x14ac:dyDescent="0.3"/>
  <cols>
    <col min="1" max="1" width="1.109375" customWidth="1"/>
    <col min="2" max="2" width="45.21875" bestFit="1" customWidth="1"/>
    <col min="3" max="3" width="50.5546875" customWidth="1"/>
    <col min="4" max="4" width="36" customWidth="1"/>
    <col min="5" max="5" width="6.6640625" customWidth="1"/>
    <col min="6" max="6" width="46.77734375" customWidth="1"/>
    <col min="7" max="7" width="26.44140625" customWidth="1"/>
  </cols>
  <sheetData>
    <row r="1" spans="2:6" ht="67.2" customHeight="1" thickBot="1" x14ac:dyDescent="0.35">
      <c r="B1" s="8" t="s">
        <v>9</v>
      </c>
      <c r="C1" s="8"/>
    </row>
    <row r="2" spans="2:6" ht="6.6" customHeight="1" thickTop="1" x14ac:dyDescent="0.3">
      <c r="B2" s="66"/>
      <c r="C2" s="66"/>
      <c r="D2" s="66"/>
    </row>
    <row r="3" spans="2:6" ht="30" customHeight="1" x14ac:dyDescent="0.3">
      <c r="B3" t="s">
        <v>163</v>
      </c>
      <c r="C3" t="s">
        <v>893</v>
      </c>
      <c r="D3" t="s">
        <v>2048</v>
      </c>
    </row>
    <row r="4" spans="2:6" x14ac:dyDescent="0.3">
      <c r="B4" s="7" t="s">
        <v>1616</v>
      </c>
      <c r="C4" s="7" t="s">
        <v>894</v>
      </c>
      <c r="D4" s="7" t="s">
        <v>2053</v>
      </c>
    </row>
    <row r="5" spans="2:6" x14ac:dyDescent="0.3">
      <c r="B5" s="7" t="s">
        <v>1410</v>
      </c>
      <c r="C5" s="7" t="s">
        <v>894</v>
      </c>
      <c r="D5" s="7" t="s">
        <v>2059</v>
      </c>
      <c r="F5" t="s">
        <v>2047</v>
      </c>
    </row>
    <row r="6" spans="2:6" x14ac:dyDescent="0.3">
      <c r="B6" s="7" t="s">
        <v>2039</v>
      </c>
      <c r="C6" s="7" t="s">
        <v>894</v>
      </c>
      <c r="D6" s="7" t="s">
        <v>2059</v>
      </c>
      <c r="F6" t="s">
        <v>2047</v>
      </c>
    </row>
    <row r="7" spans="2:6" x14ac:dyDescent="0.3">
      <c r="B7" t="s">
        <v>2043</v>
      </c>
      <c r="C7" s="7" t="s">
        <v>894</v>
      </c>
      <c r="D7" s="7" t="s">
        <v>2049</v>
      </c>
      <c r="F7" t="s">
        <v>2046</v>
      </c>
    </row>
    <row r="8" spans="2:6" x14ac:dyDescent="0.3">
      <c r="B8" t="s">
        <v>2044</v>
      </c>
      <c r="C8" s="7" t="s">
        <v>894</v>
      </c>
      <c r="D8" s="7" t="s">
        <v>2049</v>
      </c>
      <c r="F8" t="s">
        <v>2046</v>
      </c>
    </row>
    <row r="9" spans="2:6" x14ac:dyDescent="0.3">
      <c r="B9" t="s">
        <v>2045</v>
      </c>
      <c r="C9" s="7" t="s">
        <v>894</v>
      </c>
      <c r="D9" s="7" t="s">
        <v>2059</v>
      </c>
      <c r="F9" t="s">
        <v>2046</v>
      </c>
    </row>
    <row r="10" spans="2:6" x14ac:dyDescent="0.3">
      <c r="B10" t="s">
        <v>2036</v>
      </c>
      <c r="C10" s="7" t="s">
        <v>894</v>
      </c>
      <c r="D10" s="2" t="s">
        <v>2063</v>
      </c>
      <c r="F10" t="s">
        <v>2046</v>
      </c>
    </row>
    <row r="11" spans="2:6" x14ac:dyDescent="0.3">
      <c r="B11" t="s">
        <v>2064</v>
      </c>
      <c r="C11" s="7" t="s">
        <v>894</v>
      </c>
      <c r="D11" s="7" t="s">
        <v>2059</v>
      </c>
      <c r="F11" t="s">
        <v>2046</v>
      </c>
    </row>
    <row r="12" spans="2:6" x14ac:dyDescent="0.3">
      <c r="B12" t="s">
        <v>2040</v>
      </c>
      <c r="C12" s="7" t="s">
        <v>894</v>
      </c>
      <c r="D12" s="7" t="s">
        <v>2053</v>
      </c>
      <c r="F12" t="s">
        <v>2046</v>
      </c>
    </row>
    <row r="13" spans="2:6" x14ac:dyDescent="0.3">
      <c r="B13" t="s">
        <v>2034</v>
      </c>
      <c r="C13" s="7" t="s">
        <v>894</v>
      </c>
      <c r="D13" s="7" t="s">
        <v>2049</v>
      </c>
      <c r="F13" t="s">
        <v>2046</v>
      </c>
    </row>
    <row r="14" spans="2:6" x14ac:dyDescent="0.3">
      <c r="B14" t="s">
        <v>2035</v>
      </c>
      <c r="C14" s="7" t="s">
        <v>894</v>
      </c>
      <c r="D14" s="2" t="s">
        <v>2052</v>
      </c>
      <c r="F14" t="s">
        <v>2046</v>
      </c>
    </row>
    <row r="15" spans="2:6" x14ac:dyDescent="0.3">
      <c r="B15" t="s">
        <v>2037</v>
      </c>
      <c r="C15" s="7" t="s">
        <v>894</v>
      </c>
      <c r="D15" s="2" t="s">
        <v>2052</v>
      </c>
      <c r="F15" t="s">
        <v>2046</v>
      </c>
    </row>
    <row r="16" spans="2:6" x14ac:dyDescent="0.3">
      <c r="B16" s="7" t="s">
        <v>12</v>
      </c>
      <c r="C16" s="7" t="s">
        <v>894</v>
      </c>
      <c r="D16" s="7" t="s">
        <v>2053</v>
      </c>
    </row>
    <row r="17" spans="2:6" x14ac:dyDescent="0.3">
      <c r="B17" s="7" t="s">
        <v>13</v>
      </c>
      <c r="C17" s="7" t="s">
        <v>894</v>
      </c>
      <c r="D17" s="7" t="s">
        <v>2053</v>
      </c>
    </row>
    <row r="18" spans="2:6" x14ac:dyDescent="0.3">
      <c r="B18" s="7" t="s">
        <v>14</v>
      </c>
      <c r="C18" s="7" t="s">
        <v>894</v>
      </c>
      <c r="D18" s="7" t="s">
        <v>2053</v>
      </c>
    </row>
    <row r="19" spans="2:6" x14ac:dyDescent="0.3">
      <c r="B19" s="7" t="s">
        <v>892</v>
      </c>
      <c r="C19" s="7" t="s">
        <v>894</v>
      </c>
      <c r="D19" s="7" t="s">
        <v>2053</v>
      </c>
    </row>
    <row r="20" spans="2:6" x14ac:dyDescent="0.3">
      <c r="B20" s="7" t="s">
        <v>15</v>
      </c>
      <c r="C20" s="7" t="s">
        <v>894</v>
      </c>
      <c r="D20" s="7" t="s">
        <v>2053</v>
      </c>
    </row>
    <row r="21" spans="2:6" x14ac:dyDescent="0.3">
      <c r="B21" t="s">
        <v>1896</v>
      </c>
      <c r="C21" s="7" t="s">
        <v>894</v>
      </c>
      <c r="D21" s="7" t="s">
        <v>2053</v>
      </c>
    </row>
    <row r="22" spans="2:6" x14ac:dyDescent="0.3">
      <c r="B22" t="s">
        <v>888</v>
      </c>
      <c r="C22" s="7" t="s">
        <v>894</v>
      </c>
      <c r="D22" s="7" t="s">
        <v>2053</v>
      </c>
    </row>
    <row r="23" spans="2:6" x14ac:dyDescent="0.3">
      <c r="B23" t="s">
        <v>2030</v>
      </c>
      <c r="C23" s="7" t="s">
        <v>894</v>
      </c>
      <c r="D23" s="7" t="s">
        <v>2053</v>
      </c>
    </row>
    <row r="24" spans="2:6" x14ac:dyDescent="0.3">
      <c r="B24" t="s">
        <v>2421</v>
      </c>
      <c r="C24" s="7" t="s">
        <v>894</v>
      </c>
      <c r="D24" s="2" t="s">
        <v>2051</v>
      </c>
    </row>
    <row r="25" spans="2:6" x14ac:dyDescent="0.3">
      <c r="B25" t="s">
        <v>2031</v>
      </c>
      <c r="C25" s="7" t="s">
        <v>894</v>
      </c>
      <c r="D25" s="2" t="s">
        <v>2051</v>
      </c>
    </row>
    <row r="26" spans="2:6" x14ac:dyDescent="0.3">
      <c r="B26" s="83" t="s">
        <v>2029</v>
      </c>
      <c r="C26" s="7" t="s">
        <v>894</v>
      </c>
      <c r="D26" s="7" t="s">
        <v>2053</v>
      </c>
      <c r="F26" t="s">
        <v>2046</v>
      </c>
    </row>
    <row r="27" spans="2:6" x14ac:dyDescent="0.3">
      <c r="B27" t="s">
        <v>887</v>
      </c>
      <c r="C27" s="7" t="s">
        <v>894</v>
      </c>
      <c r="D27" s="2" t="s">
        <v>2054</v>
      </c>
      <c r="F27" t="s">
        <v>2046</v>
      </c>
    </row>
    <row r="28" spans="2:6" x14ac:dyDescent="0.3">
      <c r="B28" t="s">
        <v>886</v>
      </c>
      <c r="C28" s="7" t="s">
        <v>894</v>
      </c>
      <c r="D28" s="2" t="s">
        <v>2054</v>
      </c>
      <c r="F28" t="s">
        <v>2046</v>
      </c>
    </row>
    <row r="29" spans="2:6" x14ac:dyDescent="0.3">
      <c r="B29" t="s">
        <v>898</v>
      </c>
      <c r="C29" s="7" t="s">
        <v>894</v>
      </c>
      <c r="D29" s="7" t="s">
        <v>2053</v>
      </c>
      <c r="F29" t="s">
        <v>2047</v>
      </c>
    </row>
    <row r="30" spans="2:6" x14ac:dyDescent="0.3">
      <c r="B30" s="7" t="s">
        <v>1604</v>
      </c>
      <c r="C30" s="7" t="s">
        <v>895</v>
      </c>
      <c r="D30" s="7" t="s">
        <v>2058</v>
      </c>
    </row>
    <row r="31" spans="2:6" x14ac:dyDescent="0.3">
      <c r="B31" s="7" t="s">
        <v>1605</v>
      </c>
      <c r="C31" s="7" t="s">
        <v>895</v>
      </c>
      <c r="D31" s="7" t="s">
        <v>2058</v>
      </c>
    </row>
    <row r="32" spans="2:6" x14ac:dyDescent="0.3">
      <c r="B32" t="s">
        <v>2041</v>
      </c>
      <c r="C32" s="7" t="s">
        <v>895</v>
      </c>
      <c r="D32" s="7"/>
    </row>
    <row r="33" spans="2:6" x14ac:dyDescent="0.3">
      <c r="B33" t="s">
        <v>1606</v>
      </c>
      <c r="C33" s="7" t="s">
        <v>895</v>
      </c>
      <c r="D33" s="7" t="s">
        <v>2053</v>
      </c>
      <c r="F33" t="s">
        <v>2047</v>
      </c>
    </row>
    <row r="34" spans="2:6" x14ac:dyDescent="0.3">
      <c r="B34" s="7" t="s">
        <v>899</v>
      </c>
      <c r="C34" s="7" t="s">
        <v>895</v>
      </c>
      <c r="D34" s="7" t="s">
        <v>2053</v>
      </c>
      <c r="F34" t="s">
        <v>2046</v>
      </c>
    </row>
    <row r="35" spans="2:6" x14ac:dyDescent="0.3">
      <c r="B35" s="7" t="s">
        <v>16</v>
      </c>
      <c r="C35" s="7" t="s">
        <v>895</v>
      </c>
      <c r="D35" s="2" t="s">
        <v>2054</v>
      </c>
    </row>
    <row r="36" spans="2:6" x14ac:dyDescent="0.3">
      <c r="B36" s="7" t="s">
        <v>1607</v>
      </c>
      <c r="C36" s="7" t="s">
        <v>895</v>
      </c>
      <c r="D36" s="2"/>
    </row>
    <row r="37" spans="2:6" x14ac:dyDescent="0.3">
      <c r="B37" t="s">
        <v>18</v>
      </c>
      <c r="C37" s="7" t="s">
        <v>895</v>
      </c>
      <c r="D37" s="7" t="s">
        <v>2058</v>
      </c>
    </row>
    <row r="38" spans="2:6" x14ac:dyDescent="0.3">
      <c r="B38" s="7" t="s">
        <v>2032</v>
      </c>
      <c r="C38" s="7" t="s">
        <v>895</v>
      </c>
      <c r="D38" s="2" t="s">
        <v>2050</v>
      </c>
    </row>
    <row r="39" spans="2:6" x14ac:dyDescent="0.3">
      <c r="B39" s="7" t="s">
        <v>889</v>
      </c>
      <c r="C39" s="7" t="s">
        <v>1046</v>
      </c>
      <c r="D39" s="2" t="s">
        <v>2050</v>
      </c>
    </row>
    <row r="40" spans="2:6" x14ac:dyDescent="0.3">
      <c r="B40" t="s">
        <v>1068</v>
      </c>
      <c r="C40" s="7" t="s">
        <v>1046</v>
      </c>
      <c r="D40" s="2" t="s">
        <v>2050</v>
      </c>
    </row>
    <row r="41" spans="2:6" x14ac:dyDescent="0.3">
      <c r="B41" t="s">
        <v>1043</v>
      </c>
      <c r="C41" s="7" t="s">
        <v>1046</v>
      </c>
      <c r="D41" s="2" t="s">
        <v>2050</v>
      </c>
      <c r="F41" t="s">
        <v>2046</v>
      </c>
    </row>
    <row r="42" spans="2:6" x14ac:dyDescent="0.3">
      <c r="B42" t="s">
        <v>1042</v>
      </c>
      <c r="C42" s="7" t="s">
        <v>1046</v>
      </c>
      <c r="D42" s="2" t="s">
        <v>2050</v>
      </c>
    </row>
    <row r="43" spans="2:6" x14ac:dyDescent="0.3">
      <c r="B43" s="1" t="s">
        <v>1409</v>
      </c>
      <c r="C43" s="7" t="s">
        <v>1047</v>
      </c>
      <c r="D43" s="2" t="s">
        <v>2050</v>
      </c>
    </row>
    <row r="44" spans="2:6" ht="16.2" x14ac:dyDescent="0.3">
      <c r="B44" s="1" t="s">
        <v>1619</v>
      </c>
      <c r="C44" s="7" t="s">
        <v>1047</v>
      </c>
      <c r="D44" s="2" t="s">
        <v>2050</v>
      </c>
    </row>
    <row r="45" spans="2:6" ht="16.2" x14ac:dyDescent="0.3">
      <c r="B45" s="1" t="s">
        <v>1620</v>
      </c>
      <c r="C45" s="7" t="s">
        <v>1047</v>
      </c>
      <c r="D45" s="2" t="s">
        <v>2050</v>
      </c>
    </row>
    <row r="46" spans="2:6" x14ac:dyDescent="0.3">
      <c r="B46" t="s">
        <v>1067</v>
      </c>
      <c r="C46" s="7" t="s">
        <v>1047</v>
      </c>
      <c r="D46" s="2" t="s">
        <v>2050</v>
      </c>
    </row>
    <row r="47" spans="2:6" x14ac:dyDescent="0.3">
      <c r="B47" s="7" t="s">
        <v>1618</v>
      </c>
      <c r="C47" s="7" t="s">
        <v>1047</v>
      </c>
      <c r="D47" s="2" t="s">
        <v>2050</v>
      </c>
    </row>
    <row r="48" spans="2:6" x14ac:dyDescent="0.3">
      <c r="B48" s="7" t="s">
        <v>1066</v>
      </c>
      <c r="C48" s="7" t="s">
        <v>1047</v>
      </c>
      <c r="D48" s="2" t="s">
        <v>2066</v>
      </c>
    </row>
    <row r="49" spans="2:6" x14ac:dyDescent="0.3">
      <c r="B49" t="s">
        <v>993</v>
      </c>
      <c r="C49" s="7" t="s">
        <v>1070</v>
      </c>
      <c r="D49" s="2" t="s">
        <v>2066</v>
      </c>
    </row>
    <row r="50" spans="2:6" x14ac:dyDescent="0.3">
      <c r="B50" t="s">
        <v>1439</v>
      </c>
      <c r="C50" s="7" t="s">
        <v>1070</v>
      </c>
      <c r="D50" s="2" t="s">
        <v>2066</v>
      </c>
    </row>
    <row r="51" spans="2:6" x14ac:dyDescent="0.3">
      <c r="B51" t="s">
        <v>1013</v>
      </c>
      <c r="C51" s="7" t="s">
        <v>1070</v>
      </c>
      <c r="D51" s="2" t="s">
        <v>2054</v>
      </c>
    </row>
    <row r="52" spans="2:6" x14ac:dyDescent="0.3">
      <c r="B52" s="7" t="s">
        <v>1014</v>
      </c>
      <c r="C52" s="7" t="s">
        <v>1070</v>
      </c>
      <c r="D52" s="2" t="s">
        <v>2051</v>
      </c>
    </row>
    <row r="53" spans="2:6" x14ac:dyDescent="0.3">
      <c r="B53" t="s">
        <v>2028</v>
      </c>
      <c r="C53" s="7" t="s">
        <v>1070</v>
      </c>
      <c r="D53" s="2" t="s">
        <v>2051</v>
      </c>
    </row>
    <row r="54" spans="2:6" x14ac:dyDescent="0.3">
      <c r="B54" s="7" t="s">
        <v>1437</v>
      </c>
      <c r="C54" s="7" t="s">
        <v>1070</v>
      </c>
      <c r="D54" s="2" t="s">
        <v>2067</v>
      </c>
    </row>
    <row r="55" spans="2:6" x14ac:dyDescent="0.3">
      <c r="B55" t="s">
        <v>2065</v>
      </c>
      <c r="C55" s="7" t="s">
        <v>1070</v>
      </c>
      <c r="D55" s="2" t="s">
        <v>2067</v>
      </c>
    </row>
    <row r="56" spans="2:6" x14ac:dyDescent="0.3">
      <c r="B56" t="s">
        <v>1071</v>
      </c>
      <c r="C56" s="7" t="s">
        <v>1070</v>
      </c>
      <c r="D56" s="2" t="s">
        <v>2054</v>
      </c>
      <c r="F56" t="s">
        <v>2046</v>
      </c>
    </row>
    <row r="57" spans="2:6" x14ac:dyDescent="0.3">
      <c r="B57" t="s">
        <v>1603</v>
      </c>
      <c r="C57" s="7" t="s">
        <v>1070</v>
      </c>
      <c r="D57" s="2" t="s">
        <v>2052</v>
      </c>
      <c r="F57" t="s">
        <v>2046</v>
      </c>
    </row>
    <row r="58" spans="2:6" x14ac:dyDescent="0.3">
      <c r="B58" t="s">
        <v>2023</v>
      </c>
      <c r="C58" s="7" t="s">
        <v>1070</v>
      </c>
      <c r="D58" s="2" t="s">
        <v>2052</v>
      </c>
    </row>
    <row r="59" spans="2:6" x14ac:dyDescent="0.3">
      <c r="B59" t="s">
        <v>994</v>
      </c>
      <c r="C59" s="2" t="s">
        <v>896</v>
      </c>
      <c r="D59" s="2" t="s">
        <v>2060</v>
      </c>
    </row>
    <row r="60" spans="2:6" x14ac:dyDescent="0.3">
      <c r="B60" s="7" t="s">
        <v>995</v>
      </c>
      <c r="C60" s="2" t="s">
        <v>896</v>
      </c>
      <c r="D60" s="2" t="s">
        <v>2060</v>
      </c>
    </row>
    <row r="61" spans="2:6" x14ac:dyDescent="0.3">
      <c r="B61" t="s">
        <v>1301</v>
      </c>
      <c r="C61" s="2" t="s">
        <v>896</v>
      </c>
      <c r="D61" s="2" t="s">
        <v>2060</v>
      </c>
      <c r="F61" t="s">
        <v>2046</v>
      </c>
    </row>
    <row r="62" spans="2:6" x14ac:dyDescent="0.3">
      <c r="B62" t="s">
        <v>890</v>
      </c>
      <c r="C62" s="2" t="s">
        <v>896</v>
      </c>
      <c r="D62" s="2" t="s">
        <v>2060</v>
      </c>
    </row>
    <row r="63" spans="2:6" x14ac:dyDescent="0.3">
      <c r="B63" t="s">
        <v>1302</v>
      </c>
      <c r="C63" s="2" t="s">
        <v>896</v>
      </c>
      <c r="D63" s="2" t="s">
        <v>2056</v>
      </c>
    </row>
    <row r="64" spans="2:6" x14ac:dyDescent="0.3">
      <c r="B64" t="s">
        <v>1303</v>
      </c>
      <c r="C64" s="2" t="s">
        <v>896</v>
      </c>
      <c r="D64" s="2" t="s">
        <v>2056</v>
      </c>
    </row>
    <row r="65" spans="2:6" x14ac:dyDescent="0.3">
      <c r="B65" t="s">
        <v>2026</v>
      </c>
      <c r="C65" s="2" t="s">
        <v>896</v>
      </c>
      <c r="D65" s="2" t="s">
        <v>2060</v>
      </c>
    </row>
    <row r="66" spans="2:6" x14ac:dyDescent="0.3">
      <c r="B66" s="7" t="s">
        <v>1612</v>
      </c>
      <c r="C66" s="7" t="s">
        <v>897</v>
      </c>
      <c r="D66" s="2" t="s">
        <v>2055</v>
      </c>
    </row>
    <row r="67" spans="2:6" x14ac:dyDescent="0.3">
      <c r="B67" t="s">
        <v>2434</v>
      </c>
      <c r="C67" s="7" t="s">
        <v>897</v>
      </c>
      <c r="D67" s="2" t="s">
        <v>2063</v>
      </c>
    </row>
    <row r="68" spans="2:6" x14ac:dyDescent="0.3">
      <c r="B68" t="s">
        <v>2435</v>
      </c>
      <c r="C68" s="7" t="s">
        <v>897</v>
      </c>
      <c r="D68" s="2" t="s">
        <v>2063</v>
      </c>
      <c r="F68" t="s">
        <v>2046</v>
      </c>
    </row>
    <row r="69" spans="2:6" x14ac:dyDescent="0.3">
      <c r="B69" t="s">
        <v>2436</v>
      </c>
      <c r="C69" s="7" t="s">
        <v>897</v>
      </c>
      <c r="D69" s="2" t="s">
        <v>2063</v>
      </c>
    </row>
    <row r="70" spans="2:6" x14ac:dyDescent="0.3">
      <c r="B70" t="s">
        <v>1611</v>
      </c>
      <c r="C70" s="7" t="s">
        <v>897</v>
      </c>
      <c r="D70" s="2" t="s">
        <v>2063</v>
      </c>
    </row>
    <row r="71" spans="2:6" x14ac:dyDescent="0.3">
      <c r="B71" t="s">
        <v>1883</v>
      </c>
      <c r="C71" s="7" t="s">
        <v>897</v>
      </c>
      <c r="D71" s="2" t="s">
        <v>2055</v>
      </c>
    </row>
    <row r="72" spans="2:6" x14ac:dyDescent="0.3">
      <c r="B72" t="s">
        <v>1608</v>
      </c>
      <c r="C72" s="7" t="s">
        <v>897</v>
      </c>
      <c r="D72" s="2" t="s">
        <v>2063</v>
      </c>
    </row>
    <row r="73" spans="2:6" x14ac:dyDescent="0.3">
      <c r="B73" t="s">
        <v>2025</v>
      </c>
      <c r="C73" s="7" t="s">
        <v>897</v>
      </c>
      <c r="D73" s="2" t="s">
        <v>2057</v>
      </c>
    </row>
    <row r="74" spans="2:6" x14ac:dyDescent="0.3">
      <c r="B74" t="s">
        <v>2024</v>
      </c>
      <c r="C74" s="7" t="s">
        <v>897</v>
      </c>
      <c r="D74" s="2" t="s">
        <v>2057</v>
      </c>
    </row>
    <row r="75" spans="2:6" x14ac:dyDescent="0.3">
      <c r="B75" s="7" t="s">
        <v>1891</v>
      </c>
      <c r="C75" s="7" t="s">
        <v>897</v>
      </c>
      <c r="D75" s="2" t="s">
        <v>2057</v>
      </c>
    </row>
    <row r="76" spans="2:6" x14ac:dyDescent="0.3">
      <c r="B76" s="7" t="s">
        <v>1892</v>
      </c>
      <c r="C76" s="7" t="s">
        <v>897</v>
      </c>
      <c r="D76" s="2" t="s">
        <v>2057</v>
      </c>
    </row>
    <row r="77" spans="2:6" x14ac:dyDescent="0.3">
      <c r="B77" s="7" t="s">
        <v>1893</v>
      </c>
      <c r="C77" s="7" t="s">
        <v>897</v>
      </c>
      <c r="D77" s="2" t="s">
        <v>2063</v>
      </c>
    </row>
    <row r="78" spans="2:6" x14ac:dyDescent="0.3">
      <c r="B78" t="s">
        <v>1890</v>
      </c>
      <c r="C78" s="7" t="s">
        <v>897</v>
      </c>
      <c r="D78" s="2" t="s">
        <v>2057</v>
      </c>
      <c r="F78" t="s">
        <v>2046</v>
      </c>
    </row>
    <row r="79" spans="2:6" x14ac:dyDescent="0.3">
      <c r="B79" t="s">
        <v>2022</v>
      </c>
      <c r="C79" s="7" t="s">
        <v>897</v>
      </c>
      <c r="D79" s="2" t="s">
        <v>2057</v>
      </c>
    </row>
    <row r="80" spans="2:6" x14ac:dyDescent="0.3">
      <c r="B80" s="7" t="s">
        <v>1894</v>
      </c>
      <c r="C80" s="7" t="s">
        <v>897</v>
      </c>
      <c r="D80" s="2" t="s">
        <v>2057</v>
      </c>
    </row>
    <row r="81" spans="2:6" x14ac:dyDescent="0.3">
      <c r="B81" s="7" t="s">
        <v>1895</v>
      </c>
      <c r="C81" s="7" t="s">
        <v>897</v>
      </c>
      <c r="D81" s="2" t="s">
        <v>2057</v>
      </c>
    </row>
    <row r="82" spans="2:6" x14ac:dyDescent="0.3">
      <c r="B82" t="s">
        <v>2027</v>
      </c>
      <c r="C82" s="7" t="s">
        <v>897</v>
      </c>
      <c r="D82" s="2" t="s">
        <v>2057</v>
      </c>
    </row>
    <row r="83" spans="2:6" x14ac:dyDescent="0.3">
      <c r="B83" t="s">
        <v>1884</v>
      </c>
      <c r="C83" s="7" t="s">
        <v>897</v>
      </c>
      <c r="D83" s="2" t="s">
        <v>2057</v>
      </c>
    </row>
    <row r="84" spans="2:6" x14ac:dyDescent="0.3">
      <c r="B84" t="s">
        <v>1886</v>
      </c>
      <c r="C84" s="7" t="s">
        <v>897</v>
      </c>
      <c r="D84" s="2" t="s">
        <v>2057</v>
      </c>
      <c r="F84" t="s">
        <v>2046</v>
      </c>
    </row>
    <row r="85" spans="2:6" x14ac:dyDescent="0.3">
      <c r="B85" t="s">
        <v>1885</v>
      </c>
      <c r="C85" s="7" t="s">
        <v>897</v>
      </c>
      <c r="D85" s="2" t="s">
        <v>2057</v>
      </c>
    </row>
    <row r="86" spans="2:6" x14ac:dyDescent="0.3">
      <c r="B86" t="s">
        <v>1888</v>
      </c>
      <c r="C86" s="7" t="s">
        <v>897</v>
      </c>
      <c r="D86" s="2" t="s">
        <v>2057</v>
      </c>
    </row>
    <row r="87" spans="2:6" x14ac:dyDescent="0.3">
      <c r="B87" t="s">
        <v>1887</v>
      </c>
      <c r="C87" s="7" t="s">
        <v>897</v>
      </c>
      <c r="D87" s="2" t="s">
        <v>2062</v>
      </c>
      <c r="F87" t="s">
        <v>2046</v>
      </c>
    </row>
    <row r="88" spans="2:6" x14ac:dyDescent="0.3">
      <c r="B88" s="7" t="s">
        <v>1889</v>
      </c>
      <c r="C88" s="7" t="s">
        <v>897</v>
      </c>
      <c r="D88" s="2" t="s">
        <v>2051</v>
      </c>
    </row>
    <row r="89" spans="2:6" x14ac:dyDescent="0.3">
      <c r="B89" s="7" t="s">
        <v>1012</v>
      </c>
      <c r="C89" s="7" t="s">
        <v>897</v>
      </c>
      <c r="D89" s="2" t="s">
        <v>2062</v>
      </c>
    </row>
    <row r="90" spans="2:6" x14ac:dyDescent="0.3">
      <c r="B90" s="7" t="s">
        <v>2033</v>
      </c>
      <c r="C90" s="7" t="s">
        <v>897</v>
      </c>
      <c r="D90" s="2" t="s">
        <v>2051</v>
      </c>
    </row>
    <row r="91" spans="2:6" x14ac:dyDescent="0.3">
      <c r="B91" s="7" t="s">
        <v>1617</v>
      </c>
      <c r="C91" s="7" t="s">
        <v>897</v>
      </c>
      <c r="D91" s="2" t="s">
        <v>2061</v>
      </c>
    </row>
    <row r="92" spans="2:6" x14ac:dyDescent="0.3">
      <c r="B92" s="7" t="s">
        <v>891</v>
      </c>
      <c r="C92" s="7" t="s">
        <v>897</v>
      </c>
      <c r="D92" s="2" t="s">
        <v>2061</v>
      </c>
    </row>
    <row r="93" spans="2:6" x14ac:dyDescent="0.3">
      <c r="B93" t="s">
        <v>1614</v>
      </c>
      <c r="C93" s="2" t="s">
        <v>17</v>
      </c>
      <c r="D93" s="2" t="s">
        <v>2061</v>
      </c>
    </row>
    <row r="94" spans="2:6" x14ac:dyDescent="0.3">
      <c r="B94" t="s">
        <v>1615</v>
      </c>
      <c r="C94" s="2" t="s">
        <v>17</v>
      </c>
      <c r="D94" s="2"/>
    </row>
    <row r="95" spans="2:6" x14ac:dyDescent="0.3">
      <c r="B95" t="s">
        <v>1613</v>
      </c>
      <c r="C95" s="2" t="s">
        <v>17</v>
      </c>
      <c r="D95" s="2"/>
      <c r="F95" t="s">
        <v>2046</v>
      </c>
    </row>
    <row r="96" spans="2:6" x14ac:dyDescent="0.3">
      <c r="B96" t="s">
        <v>1654</v>
      </c>
      <c r="C96" t="s">
        <v>17</v>
      </c>
      <c r="D96" s="2"/>
    </row>
    <row r="97" spans="3:4" x14ac:dyDescent="0.3">
      <c r="C97" s="2"/>
      <c r="D97" s="2"/>
    </row>
    <row r="98" spans="3:4" x14ac:dyDescent="0.3">
      <c r="C98" s="2"/>
      <c r="D98" s="2"/>
    </row>
    <row r="99" spans="3:4" x14ac:dyDescent="0.3">
      <c r="C99" s="2"/>
      <c r="D99" s="2"/>
    </row>
    <row r="100" spans="3:4" x14ac:dyDescent="0.3">
      <c r="C100" s="2"/>
      <c r="D100" s="2"/>
    </row>
    <row r="101" spans="3:4" x14ac:dyDescent="0.3">
      <c r="C101" s="2"/>
      <c r="D101" s="2"/>
    </row>
    <row r="102" spans="3:4" x14ac:dyDescent="0.3">
      <c r="C102" s="7"/>
      <c r="D102" s="2"/>
    </row>
    <row r="103" spans="3:4" x14ac:dyDescent="0.3">
      <c r="C103" s="7"/>
      <c r="D103" s="2"/>
    </row>
    <row r="104" spans="3:4" x14ac:dyDescent="0.3">
      <c r="C104" s="7"/>
      <c r="D104" s="2"/>
    </row>
    <row r="105" spans="3:4" x14ac:dyDescent="0.3">
      <c r="C105" s="2"/>
      <c r="D105" s="2"/>
    </row>
    <row r="106" spans="3:4" x14ac:dyDescent="0.3">
      <c r="C106" s="2"/>
      <c r="D106" s="2"/>
    </row>
    <row r="107" spans="3:4" x14ac:dyDescent="0.3">
      <c r="C107" s="2"/>
      <c r="D107" s="2"/>
    </row>
    <row r="108" spans="3:4" x14ac:dyDescent="0.3">
      <c r="C108" s="2"/>
      <c r="D108" s="2"/>
    </row>
    <row r="109" spans="3:4" x14ac:dyDescent="0.3">
      <c r="C109" s="2"/>
      <c r="D109" s="2"/>
    </row>
    <row r="110" spans="3:4" x14ac:dyDescent="0.3">
      <c r="C110" s="2"/>
      <c r="D110" s="2"/>
    </row>
  </sheetData>
  <dataConsolidate/>
  <dataValidations count="4">
    <dataValidation allowBlank="1" showInputMessage="1" showErrorMessage="1" prompt="Create a list of rooms or areas in this worksheet. Customize Room/Area selection in Inventory table by inserting or modifying Room/Area in Room Lookup table in this worksheet" sqref="A1" xr:uid="{25B41E84-4F74-4A95-9C95-8BEEDCA0377A}"/>
    <dataValidation allowBlank="1" showInputMessage="1" showErrorMessage="1" prompt="Title of this worksheet is in this cell" sqref="B1:C1" xr:uid="{05427FFF-6E30-4BBE-A714-7DE013A38AC1}"/>
    <dataValidation allowBlank="1" showInputMessage="1" showErrorMessage="1" prompt="Room or Areas are in this column under this heading" sqref="B3:D3" xr:uid="{CB092979-42AB-471A-B3D2-2B4CADF866FA}"/>
    <dataValidation type="list" allowBlank="1" showInputMessage="1" showErrorMessage="1" sqref="C4:C96" xr:uid="{0E2221C6-D04C-4918-A33A-F45981C07482}">
      <formula1>$C$6:$C$13</formula1>
    </dataValidation>
  </dataValidations>
  <printOptions horizontalCentered="1"/>
  <pageMargins left="0.7" right="0.7" top="0.75" bottom="0.75" header="0.3" footer="0.3"/>
  <pageSetup fitToHeight="0" orientation="portrait" r:id="rId1"/>
  <headerFooter differentFirst="1">
    <oddFooter>Page &amp;P of &amp;N</oddFooter>
  </headerFooter>
  <drawing r:id="rId2"/>
  <tableParts count="3">
    <tablePart r:id="rId3"/>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7EA8249D-FE3D-40F2-913C-B89EE627B148}">
          <x14:formula1>
            <xm:f>FilterSpecs!$C$6:$C$13</xm:f>
          </x14:formula1>
          <xm:sqref>C102:C104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BA246-5D07-4D59-959E-3740984E679F}">
  <sheetPr codeName="Sheet3">
    <tabColor theme="4"/>
  </sheetPr>
  <dimension ref="A1:O19"/>
  <sheetViews>
    <sheetView topLeftCell="C1" workbookViewId="0">
      <selection activeCell="B14" sqref="B14"/>
    </sheetView>
  </sheetViews>
  <sheetFormatPr defaultRowHeight="14.4" x14ac:dyDescent="0.3"/>
  <cols>
    <col min="1" max="1" width="53.88671875" bestFit="1" customWidth="1"/>
    <col min="2" max="2" width="53.88671875" customWidth="1"/>
    <col min="3" max="3" width="46.88671875" customWidth="1"/>
    <col min="4" max="4" width="48" customWidth="1"/>
    <col min="5" max="5" width="42.44140625" customWidth="1"/>
    <col min="6" max="10" width="32.88671875" customWidth="1"/>
    <col min="11" max="11" width="33" customWidth="1"/>
  </cols>
  <sheetData>
    <row r="1" spans="1:15" ht="67.8" thickBot="1" x14ac:dyDescent="0.35">
      <c r="A1" s="8" t="s">
        <v>1035</v>
      </c>
      <c r="B1" s="8"/>
    </row>
    <row r="2" spans="1:15" ht="6.6" customHeight="1" thickTop="1" thickBot="1" x14ac:dyDescent="0.35">
      <c r="A2" s="66"/>
      <c r="B2" s="66"/>
      <c r="C2" s="66"/>
    </row>
    <row r="3" spans="1:15" ht="30" customHeight="1" thickTop="1" thickBot="1" x14ac:dyDescent="0.35">
      <c r="A3" s="81" t="s">
        <v>2562</v>
      </c>
      <c r="B3" s="68">
        <v>5</v>
      </c>
      <c r="C3" s="68">
        <v>5</v>
      </c>
      <c r="E3" s="81" t="s">
        <v>1915</v>
      </c>
      <c r="F3" s="68" t="s">
        <v>1916</v>
      </c>
      <c r="K3" t="s">
        <v>1908</v>
      </c>
      <c r="N3" s="10"/>
      <c r="O3" s="3"/>
    </row>
    <row r="4" spans="1:15" ht="6.6" customHeight="1" thickTop="1" x14ac:dyDescent="0.3">
      <c r="A4" s="66"/>
      <c r="B4" s="154"/>
      <c r="C4" s="6"/>
      <c r="D4" s="6"/>
      <c r="E4" s="6"/>
      <c r="F4" s="6"/>
    </row>
    <row r="5" spans="1:15" x14ac:dyDescent="0.3">
      <c r="A5" t="s">
        <v>1897</v>
      </c>
      <c r="B5" t="s">
        <v>2555</v>
      </c>
      <c r="C5" t="s">
        <v>1036</v>
      </c>
      <c r="D5" t="s">
        <v>1037</v>
      </c>
      <c r="E5" t="s">
        <v>1920</v>
      </c>
      <c r="F5" t="s">
        <v>1917</v>
      </c>
      <c r="K5" t="s">
        <v>1910</v>
      </c>
    </row>
    <row r="6" spans="1:15" x14ac:dyDescent="0.3">
      <c r="A6" t="s">
        <v>8</v>
      </c>
      <c r="B6" t="s">
        <v>2556</v>
      </c>
      <c r="C6" t="s">
        <v>894</v>
      </c>
      <c r="D6" t="s">
        <v>1040</v>
      </c>
      <c r="E6" t="s">
        <v>1909</v>
      </c>
      <c r="F6" t="s">
        <v>1910</v>
      </c>
      <c r="K6" t="s">
        <v>1911</v>
      </c>
    </row>
    <row r="7" spans="1:15" x14ac:dyDescent="0.3">
      <c r="A7" t="s">
        <v>1898</v>
      </c>
      <c r="B7" t="s">
        <v>2557</v>
      </c>
      <c r="C7" t="s">
        <v>895</v>
      </c>
      <c r="D7" t="s">
        <v>1038</v>
      </c>
      <c r="E7" s="73" t="s">
        <v>1921</v>
      </c>
      <c r="F7" s="73" t="s">
        <v>1911</v>
      </c>
      <c r="K7" t="s">
        <v>1912</v>
      </c>
    </row>
    <row r="8" spans="1:15" x14ac:dyDescent="0.3">
      <c r="A8" t="s">
        <v>1906</v>
      </c>
      <c r="C8" t="s">
        <v>1070</v>
      </c>
      <c r="D8" t="s">
        <v>1039</v>
      </c>
      <c r="E8" s="76" t="s">
        <v>1919</v>
      </c>
      <c r="F8" s="76" t="s">
        <v>1912</v>
      </c>
      <c r="K8" t="s">
        <v>1910</v>
      </c>
    </row>
    <row r="9" spans="1:15" x14ac:dyDescent="0.3">
      <c r="A9" t="s">
        <v>2554</v>
      </c>
      <c r="B9" t="s">
        <v>2558</v>
      </c>
      <c r="C9" t="s">
        <v>1046</v>
      </c>
      <c r="D9" t="s">
        <v>1074</v>
      </c>
      <c r="E9" s="72" t="s">
        <v>1907</v>
      </c>
      <c r="F9" s="72" t="s">
        <v>1913</v>
      </c>
      <c r="K9" t="s">
        <v>1914</v>
      </c>
    </row>
    <row r="10" spans="1:15" x14ac:dyDescent="0.3">
      <c r="A10" t="s">
        <v>1899</v>
      </c>
      <c r="C10" t="s">
        <v>1047</v>
      </c>
      <c r="D10" t="s">
        <v>1041</v>
      </c>
      <c r="E10" s="74" t="s">
        <v>1922</v>
      </c>
      <c r="F10" s="74" t="s">
        <v>1914</v>
      </c>
      <c r="K10" t="s">
        <v>1910</v>
      </c>
    </row>
    <row r="11" spans="1:15" x14ac:dyDescent="0.3">
      <c r="A11" t="s">
        <v>1900</v>
      </c>
      <c r="C11" t="s">
        <v>896</v>
      </c>
      <c r="D11" t="s">
        <v>1013</v>
      </c>
      <c r="E11" s="75" t="s">
        <v>1923</v>
      </c>
      <c r="F11" s="75" t="s">
        <v>225</v>
      </c>
      <c r="K11" t="s">
        <v>1911</v>
      </c>
    </row>
    <row r="12" spans="1:15" x14ac:dyDescent="0.3">
      <c r="A12" t="s">
        <v>1901</v>
      </c>
      <c r="C12" t="s">
        <v>897</v>
      </c>
      <c r="D12" t="s">
        <v>1072</v>
      </c>
      <c r="E12" s="123" t="s">
        <v>2489</v>
      </c>
      <c r="F12" s="123" t="s">
        <v>2487</v>
      </c>
      <c r="K12" t="s">
        <v>1914</v>
      </c>
    </row>
    <row r="13" spans="1:15" x14ac:dyDescent="0.3">
      <c r="A13" t="s">
        <v>1902</v>
      </c>
      <c r="C13" t="s">
        <v>17</v>
      </c>
      <c r="D13" t="s">
        <v>1073</v>
      </c>
      <c r="E13" s="122" t="s">
        <v>2488</v>
      </c>
      <c r="F13" s="122" t="s">
        <v>2490</v>
      </c>
      <c r="K13" t="s">
        <v>1913</v>
      </c>
    </row>
    <row r="14" spans="1:15" x14ac:dyDescent="0.3">
      <c r="A14" t="s">
        <v>1903</v>
      </c>
      <c r="C14">
        <f>SUBTOTAL(103,EquipmentTypesTable[Equipment Types])</f>
        <v>8</v>
      </c>
      <c r="D14">
        <f>SUBTOTAL(103,FunctionsTable[Reminder Walker Functions])</f>
        <v>8</v>
      </c>
      <c r="K14" t="s">
        <v>1914</v>
      </c>
    </row>
    <row r="15" spans="1:15" x14ac:dyDescent="0.3">
      <c r="A15" t="s">
        <v>1904</v>
      </c>
      <c r="K15" t="s">
        <v>1910</v>
      </c>
    </row>
    <row r="16" spans="1:15" x14ac:dyDescent="0.3">
      <c r="A16" t="s">
        <v>1905</v>
      </c>
      <c r="K16" t="s">
        <v>1911</v>
      </c>
    </row>
    <row r="17" spans="1:11" x14ac:dyDescent="0.3">
      <c r="A17" t="s">
        <v>2573</v>
      </c>
      <c r="B17" t="s">
        <v>2575</v>
      </c>
      <c r="K17" t="s">
        <v>1912</v>
      </c>
    </row>
    <row r="18" spans="1:11" x14ac:dyDescent="0.3">
      <c r="A18">
        <f>SUBTOTAL(103,VendorList[Vendors])</f>
        <v>12</v>
      </c>
      <c r="B18">
        <f>SUBTOTAL(103,VendorList5[Mouser SKU Prefix])</f>
        <v>4</v>
      </c>
      <c r="K18" t="s">
        <v>1913</v>
      </c>
    </row>
    <row r="19" spans="1:11" x14ac:dyDescent="0.3">
      <c r="K19" t="s">
        <v>1914</v>
      </c>
    </row>
  </sheetData>
  <conditionalFormatting sqref="P2:R78">
    <cfRule type="expression" dxfId="370" priority="4968">
      <formula>$K1=$F$7</formula>
    </cfRule>
  </conditionalFormatting>
  <conditionalFormatting sqref="K1:P20">
    <cfRule type="expression" dxfId="369" priority="4969">
      <formula>$K1=$E$7</formula>
    </cfRule>
    <cfRule type="expression" dxfId="368" priority="4970">
      <formula>$K1=$E$8</formula>
    </cfRule>
    <cfRule type="expression" dxfId="367" priority="4971">
      <formula>$K1=$F$8</formula>
    </cfRule>
    <cfRule type="expression" dxfId="366" priority="4972">
      <formula>$K1=$E$9</formula>
    </cfRule>
    <cfRule type="expression" dxfId="365" priority="4973">
      <formula>$K1=$F$9</formula>
    </cfRule>
    <cfRule type="expression" dxfId="364" priority="4974">
      <formula>$K1=$E$10</formula>
    </cfRule>
    <cfRule type="expression" dxfId="363" priority="4975">
      <formula>$K1=$F$10</formula>
    </cfRule>
    <cfRule type="containsText" dxfId="362" priority="4976" operator="containsText" text="Standard Item">
      <formula>NOT(ISERROR(SEARCH("Standard Item",K1)))</formula>
    </cfRule>
  </conditionalFormatting>
  <dataValidations count="3">
    <dataValidation allowBlank="1" showInputMessage="1" showErrorMessage="1" prompt="Title of this worksheet is in this cell" sqref="A1:B1" xr:uid="{5D593B46-F6E6-413D-9E30-BE1C30B05627}"/>
    <dataValidation allowBlank="1" showInputMessage="1" showErrorMessage="1" prompt="Total Estimated Value of All Items is automatically calculated in cell at right. Enter Inventory Date in cell I2" sqref="E3 A3:C3" xr:uid="{74222B80-16BF-44B7-8E2B-96C9A2467BDF}"/>
    <dataValidation allowBlank="1" showInputMessage="1" showErrorMessage="1" prompt="Total Estimated Value of All Items is automatically calculated in this cell. Enter Inventory Date in cell I2" sqref="F3 B3:C3" xr:uid="{6F476ACA-0E03-45E8-A1E7-188588C52D6B}"/>
  </dataValidations>
  <pageMargins left="0.7" right="0.7" top="0.75" bottom="0.75" header="0.3" footer="0.3"/>
  <drawing r:id="rId1"/>
  <tableParts count="5">
    <tablePart r:id="rId2"/>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00F15-87C0-444D-BEB1-F0C3F094A8F2}">
  <sheetPr codeName="Sheet10"/>
  <dimension ref="A1:M16"/>
  <sheetViews>
    <sheetView topLeftCell="B1" zoomScale="115" zoomScaleNormal="115" workbookViewId="0">
      <selection activeCell="B21" sqref="B21"/>
    </sheetView>
  </sheetViews>
  <sheetFormatPr defaultRowHeight="14.4" x14ac:dyDescent="0.3"/>
  <cols>
    <col min="1" max="1" width="20" style="113" bestFit="1" customWidth="1"/>
    <col min="2" max="2" width="29.33203125" style="113" bestFit="1" customWidth="1"/>
    <col min="3" max="3" width="13.77734375" style="113" customWidth="1"/>
    <col min="4" max="4" width="12.44140625" style="113" customWidth="1"/>
    <col min="5" max="5" width="7.77734375" style="113" customWidth="1"/>
    <col min="6" max="6" width="8.77734375" style="143" hidden="1" customWidth="1"/>
    <col min="7" max="7" width="8.44140625" style="143" hidden="1" customWidth="1"/>
    <col min="8" max="8" width="64.21875" style="113" customWidth="1"/>
    <col min="9" max="9" width="0" style="113" hidden="1" customWidth="1"/>
    <col min="10" max="10" width="8.88671875" style="113"/>
    <col min="11" max="16384" width="8.88671875" style="82"/>
  </cols>
  <sheetData>
    <row r="1" spans="1:13" x14ac:dyDescent="0.3">
      <c r="A1" s="113" t="str">
        <f>Primary!A110</f>
        <v>Primary Component</v>
      </c>
      <c r="B1" s="113" t="str">
        <f>Primary!B110</f>
        <v>Proximity/Distance</v>
      </c>
      <c r="C1" s="113" t="str">
        <f>Primary!C110</f>
        <v>SparkFun</v>
      </c>
      <c r="D1" s="113" t="str">
        <f>Primary!D110</f>
        <v>SPX-14343</v>
      </c>
      <c r="E1" s="113">
        <v>1</v>
      </c>
      <c r="F1" s="143" t="str">
        <f>Primary!F110</f>
        <v>https://www.sparkfun.com/products/14343</v>
      </c>
      <c r="G1" s="143" t="str">
        <f>Primary!G110</f>
        <v>https://cdn.sparkfun.com/r/92-92/assets/parts/1/2/3/1/9/ToFQuarter.jpg</v>
      </c>
      <c r="H1" s="113" t="str">
        <f>Primary!H110</f>
        <v>Qwiic Distance Sensor - RFD77402</v>
      </c>
      <c r="I1" s="113">
        <f>Primary!I110</f>
        <v>1</v>
      </c>
      <c r="J1" s="113">
        <f>Primary!J110</f>
        <v>19.95</v>
      </c>
      <c r="K1" s="82">
        <f>SUMPRODUCT(E1,J1)</f>
        <v>19.95</v>
      </c>
    </row>
    <row r="2" spans="1:13" s="51" customFormat="1" x14ac:dyDescent="0.3">
      <c r="A2" s="113" t="str">
        <f>Secondary!A11</f>
        <v>Secondary Component</v>
      </c>
      <c r="B2" s="113" t="str">
        <f>Secondary!B11</f>
        <v>QWIIC System/Components</v>
      </c>
      <c r="C2" s="113" t="str">
        <f>Secondary!C11</f>
        <v>SparkFun</v>
      </c>
      <c r="D2" s="113" t="str">
        <f>Secondary!D11</f>
        <v>PRT-14425</v>
      </c>
      <c r="E2" s="113">
        <v>1</v>
      </c>
      <c r="F2" s="143" t="str">
        <f>Secondary!F11</f>
        <v>https://www.sparkfun.com/products/14425</v>
      </c>
      <c r="G2" s="143" t="str">
        <f>Secondary!G11</f>
        <v>https://cdn.sparkfun.com/r/92-92/assets/parts/1/2/4/5/1/14425-01.jpg</v>
      </c>
      <c r="H2" s="113" t="str">
        <f>Secondary!H11</f>
        <v>Qwiic Cable - Breadboard Jumper (4-pin)</v>
      </c>
      <c r="I2" s="113">
        <f>Secondary!I11</f>
        <v>0</v>
      </c>
      <c r="J2" s="113">
        <f>Secondary!J11</f>
        <v>1.5</v>
      </c>
      <c r="K2" s="82"/>
    </row>
    <row r="3" spans="1:13" x14ac:dyDescent="0.3">
      <c r="A3" s="113" t="str">
        <f>Secondary!A21</f>
        <v>Secondary Component</v>
      </c>
      <c r="B3" s="113" t="str">
        <f>Secondary!B21</f>
        <v>QWIIC System/Components</v>
      </c>
      <c r="C3" s="113" t="str">
        <f>Secondary!C21</f>
        <v>SparkFun</v>
      </c>
      <c r="D3" s="113" t="str">
        <f>Secondary!D21</f>
        <v>PRT-14429</v>
      </c>
      <c r="E3" s="113">
        <v>1</v>
      </c>
      <c r="F3" s="143" t="str">
        <f>Secondary!F21</f>
        <v>https://www.sparkfun.com/products/14429</v>
      </c>
      <c r="G3" s="143" t="str">
        <f>Secondary!G21</f>
        <v>https://cdn.sparkfun.com/r/92-92/assets/parts/1/2/4/5/5/14429-01.jpg</v>
      </c>
      <c r="H3" s="113" t="str">
        <f>Secondary!H21</f>
        <v>Qwiic Cable - 500mm</v>
      </c>
      <c r="I3" s="113">
        <f>Secondary!I21</f>
        <v>0</v>
      </c>
      <c r="J3" s="113">
        <f>Secondary!J21</f>
        <v>1.95</v>
      </c>
    </row>
    <row r="4" spans="1:13" x14ac:dyDescent="0.3">
      <c r="A4" s="113" t="str">
        <f>Primary!A114</f>
        <v>Primary Component</v>
      </c>
      <c r="B4" s="113" t="str">
        <f>Primary!B114</f>
        <v>Proximity/Distance</v>
      </c>
      <c r="C4" s="113" t="str">
        <f>Primary!C114</f>
        <v>Adafruit</v>
      </c>
      <c r="D4" s="113" t="str">
        <f>Primary!D114</f>
        <v>3317</v>
      </c>
      <c r="E4" s="113">
        <v>1</v>
      </c>
      <c r="F4" s="143">
        <f>Primary!F114</f>
        <v>0</v>
      </c>
      <c r="G4" s="143">
        <f>Primary!G114</f>
        <v>0</v>
      </c>
      <c r="H4" s="113" t="str">
        <f>Primary!H114</f>
        <v>Adafruit VL53L0X Time of Flight Distance Sensor - ~30 to 1000mm</v>
      </c>
      <c r="I4" s="113">
        <f>Primary!I114</f>
        <v>0</v>
      </c>
      <c r="J4" s="113">
        <f>Primary!J114</f>
        <v>14.95</v>
      </c>
      <c r="K4" s="82">
        <f>SUMPRODUCT(E1:E4,J1:J4)</f>
        <v>38.349999999999994</v>
      </c>
    </row>
    <row r="5" spans="1:13" s="105" customFormat="1" x14ac:dyDescent="0.3">
      <c r="A5" s="102" t="s">
        <v>895</v>
      </c>
      <c r="B5" s="102" t="s">
        <v>16</v>
      </c>
      <c r="C5" s="102" t="s">
        <v>8</v>
      </c>
      <c r="D5" s="103" t="s">
        <v>293</v>
      </c>
      <c r="E5" s="103">
        <v>2</v>
      </c>
      <c r="F5" s="103" t="s">
        <v>294</v>
      </c>
      <c r="G5" s="103" t="s">
        <v>295</v>
      </c>
      <c r="H5" s="103" t="s">
        <v>296</v>
      </c>
      <c r="I5" s="103">
        <v>1</v>
      </c>
      <c r="J5" s="139">
        <v>6.95</v>
      </c>
      <c r="K5" s="106" t="s">
        <v>1910</v>
      </c>
      <c r="M5" s="105">
        <f>E5*J5</f>
        <v>13.9</v>
      </c>
    </row>
    <row r="6" spans="1:13" s="105" customFormat="1" x14ac:dyDescent="0.3">
      <c r="A6" s="102" t="s">
        <v>895</v>
      </c>
      <c r="B6" s="102" t="s">
        <v>16</v>
      </c>
      <c r="C6" s="102" t="s">
        <v>8</v>
      </c>
      <c r="D6" s="103" t="s">
        <v>297</v>
      </c>
      <c r="E6" s="103">
        <v>3</v>
      </c>
      <c r="F6" s="103" t="s">
        <v>298</v>
      </c>
      <c r="G6" s="103" t="s">
        <v>299</v>
      </c>
      <c r="H6" s="103" t="s">
        <v>216</v>
      </c>
      <c r="I6" s="103">
        <v>1</v>
      </c>
      <c r="J6" s="139">
        <v>3.95</v>
      </c>
      <c r="K6" s="106" t="s">
        <v>1910</v>
      </c>
      <c r="M6" s="105">
        <f>E6*J6</f>
        <v>11.850000000000001</v>
      </c>
    </row>
    <row r="7" spans="1:13" s="146" customFormat="1" x14ac:dyDescent="0.3">
      <c r="A7" s="126" t="s">
        <v>895</v>
      </c>
      <c r="B7" s="126" t="s">
        <v>16</v>
      </c>
      <c r="C7" s="126" t="s">
        <v>8</v>
      </c>
      <c r="D7" s="103" t="s">
        <v>264</v>
      </c>
      <c r="E7" s="104">
        <f>2*FilterSpecs!$C$3</f>
        <v>10</v>
      </c>
      <c r="F7" s="103" t="s">
        <v>265</v>
      </c>
      <c r="G7" s="103" t="s">
        <v>266</v>
      </c>
      <c r="H7" s="103" t="s">
        <v>267</v>
      </c>
      <c r="I7" s="103">
        <v>1</v>
      </c>
      <c r="J7" s="104">
        <v>2.8</v>
      </c>
      <c r="K7" s="103" t="s">
        <v>1911</v>
      </c>
      <c r="L7" s="103"/>
      <c r="M7" s="103">
        <f>RawListTable[[#This Row],[Qty.]]*RawListTable[[#This Row],[Price (USD)]]</f>
        <v>0.75</v>
      </c>
    </row>
    <row r="8" spans="1:13" s="144" customFormat="1" x14ac:dyDescent="0.3">
      <c r="A8" s="143" t="str">
        <f>Primary!A105</f>
        <v>Primary Component</v>
      </c>
      <c r="B8" s="143" t="str">
        <f>Primary!B105</f>
        <v>Proximity/Distance</v>
      </c>
      <c r="C8" s="143" t="str">
        <f>Primary!C105</f>
        <v>SparkFun</v>
      </c>
      <c r="D8" s="143" t="str">
        <f>Primary!D105</f>
        <v>SEN-13968</v>
      </c>
      <c r="E8" s="143">
        <v>1</v>
      </c>
      <c r="F8" s="143" t="str">
        <f>Primary!F105</f>
        <v>https://www.sparkfun.com/products/13968</v>
      </c>
      <c r="G8" s="143" t="str">
        <f>Primary!G105</f>
        <v>https://cdn.sparkfun.com/r/92-92/assets/parts/1/1/7/0/6/13968-01.jpg</v>
      </c>
      <c r="H8" s="143" t="str">
        <f>Primary!H105</f>
        <v>SparkFun OpenPIR</v>
      </c>
      <c r="I8" s="143">
        <f>Primary!I105</f>
        <v>0</v>
      </c>
      <c r="J8" s="143">
        <f>Primary!J105</f>
        <v>14.95</v>
      </c>
      <c r="K8" s="144">
        <f>SUMPRODUCT(E1:E8,J1:J8)</f>
        <v>107.05</v>
      </c>
    </row>
    <row r="9" spans="1:13" x14ac:dyDescent="0.3">
      <c r="A9" s="113" t="str">
        <f>Primary!A104</f>
        <v>Primary Component</v>
      </c>
      <c r="B9" s="113" t="str">
        <f>Primary!B104</f>
        <v>Proximity/Distance</v>
      </c>
      <c r="C9" s="113" t="str">
        <f>Primary!C104</f>
        <v>SparkFun</v>
      </c>
      <c r="D9" s="113" t="str">
        <f>Primary!D104</f>
        <v>SEN-00241</v>
      </c>
      <c r="E9" s="113">
        <v>4</v>
      </c>
      <c r="F9" s="143" t="str">
        <f>Primary!F104</f>
        <v>https://www.sparkfun.com/products/241</v>
      </c>
      <c r="G9" s="143" t="str">
        <f>Primary!G104</f>
        <v>https://cdn.sparkfun.com/r/92-92/assets/parts/1/8/3/00241-02.jpg</v>
      </c>
      <c r="H9" s="113" t="str">
        <f>Primary!H104</f>
        <v>Infrared Emitters and Detectors</v>
      </c>
      <c r="I9" s="113">
        <f>Primary!I104</f>
        <v>1</v>
      </c>
      <c r="J9" s="113">
        <f>Primary!J104</f>
        <v>1.95</v>
      </c>
      <c r="K9" s="82">
        <f>SUMPRODUCT(E1:E9,J1:J9)</f>
        <v>114.85</v>
      </c>
    </row>
    <row r="10" spans="1:13" x14ac:dyDescent="0.3">
      <c r="A10" s="113" t="str">
        <f>Primary!A106</f>
        <v>Primary Component</v>
      </c>
      <c r="B10" s="113" t="str">
        <f>Primary!B106</f>
        <v>Proximity/Distance</v>
      </c>
      <c r="C10" s="113" t="str">
        <f>Primary!C106</f>
        <v>SparkFun</v>
      </c>
      <c r="D10" s="113" t="str">
        <f>Primary!D106</f>
        <v>SEN-13959</v>
      </c>
      <c r="E10" s="113">
        <v>1</v>
      </c>
      <c r="F10" s="143" t="str">
        <f>Primary!F106</f>
        <v>https://www.sparkfun.com/products/13959</v>
      </c>
      <c r="G10" s="143" t="str">
        <f>Primary!G106</f>
        <v>https://cdn.sparkfun.com/r/92-92/assets/parts/1/1/6/6/8/13959-01a.jpg</v>
      </c>
      <c r="H10" s="113" t="str">
        <f>Primary!H106</f>
        <v>Ultrasonic Sensor - HC-SR04</v>
      </c>
      <c r="I10" s="113">
        <f>Primary!I106</f>
        <v>1</v>
      </c>
      <c r="J10" s="113">
        <f>Primary!J106</f>
        <v>3.95</v>
      </c>
      <c r="K10" s="82">
        <f>SUMPRODUCT(E1:E10,J1:J10)</f>
        <v>118.8</v>
      </c>
    </row>
    <row r="11" spans="1:13" x14ac:dyDescent="0.3">
      <c r="A11" s="113" t="str">
        <f>Primary!A108</f>
        <v>Primary Component</v>
      </c>
      <c r="B11" s="113" t="str">
        <f>Primary!B108</f>
        <v>Proximity/Distance</v>
      </c>
      <c r="C11" s="113" t="str">
        <f>Primary!C108</f>
        <v>SparkFun</v>
      </c>
      <c r="D11" s="113" t="str">
        <f>Primary!D108</f>
        <v>SEN-13162</v>
      </c>
      <c r="E11" s="113">
        <v>1</v>
      </c>
      <c r="F11" s="143" t="str">
        <f>Primary!F108</f>
        <v>https://www.sparkfun.com/products/13162</v>
      </c>
      <c r="G11" s="143" t="str">
        <f>Primary!G108</f>
        <v>https://cdn.sparkfun.com/r/92-92/assets/parts/1/0/2/7/9/13162-01a.jpg</v>
      </c>
      <c r="H11" s="113" t="str">
        <f>Primary!H108</f>
        <v>ZX Distance and Gesture Sensor</v>
      </c>
      <c r="I11" s="113">
        <f>Primary!I108</f>
        <v>0</v>
      </c>
      <c r="J11" s="113">
        <f>Primary!J108</f>
        <v>24.95</v>
      </c>
      <c r="K11" s="82">
        <f>SUMPRODUCT(E3:E11,J3:J11)</f>
        <v>122.30000000000001</v>
      </c>
    </row>
    <row r="12" spans="1:13" x14ac:dyDescent="0.3">
      <c r="A12" s="113" t="str">
        <f>Primary!A103</f>
        <v>Primary Component</v>
      </c>
      <c r="B12" s="113" t="str">
        <f>Primary!B103</f>
        <v>Proximity/Distance</v>
      </c>
      <c r="C12" s="113" t="str">
        <f>Primary!C103</f>
        <v>SparkFun</v>
      </c>
      <c r="D12" s="113" t="str">
        <f>Primary!D103</f>
        <v>SEN-00246</v>
      </c>
      <c r="E12" s="113">
        <v>1</v>
      </c>
      <c r="F12" s="143" t="str">
        <f>Primary!F103</f>
        <v>https://www.sparkfun.com/products/246</v>
      </c>
      <c r="G12" s="143" t="str">
        <f>Primary!G103</f>
        <v>https://cdn.sparkfun.com/r/92-92/assets/parts/1/8/8/00246a-01.jpg</v>
      </c>
      <c r="H12" s="113" t="str">
        <f>Primary!H103</f>
        <v>Optical Detector / Phototransistor - QRD1114</v>
      </c>
      <c r="I12" s="113">
        <f>Primary!I103</f>
        <v>1</v>
      </c>
      <c r="J12" s="113">
        <f>Primary!J103</f>
        <v>0.95</v>
      </c>
      <c r="K12" s="82">
        <f>SUMPRODUCT(E1:E12,J1:J12)</f>
        <v>144.69999999999999</v>
      </c>
    </row>
    <row r="13" spans="1:13" x14ac:dyDescent="0.3">
      <c r="A13" s="113" t="str">
        <f>Primary!A107</f>
        <v>Primary Component</v>
      </c>
      <c r="B13" s="113" t="str">
        <f>Primary!B107</f>
        <v>Proximity/Distance</v>
      </c>
      <c r="C13" s="113" t="str">
        <f>Primary!C107</f>
        <v>SparkFun</v>
      </c>
      <c r="D13" s="113" t="str">
        <f>Primary!D107</f>
        <v>SEN-12785</v>
      </c>
      <c r="E13" s="113">
        <v>0</v>
      </c>
      <c r="F13" s="143" t="str">
        <f>Primary!F107</f>
        <v>https://www.sparkfun.com/products/12785</v>
      </c>
      <c r="G13" s="143" t="str">
        <f>Primary!G107</f>
        <v>https://cdn.sparkfun.com/r/92-92/assets/parts/9/5/9/7/12785-01.jpg</v>
      </c>
      <c r="H13" s="113" t="str">
        <f>Primary!H107</f>
        <v>SparkFun ToF Range Finder Sensor - VL6180</v>
      </c>
      <c r="I13" s="113">
        <f>Primary!I107</f>
        <v>1</v>
      </c>
      <c r="J13" s="113">
        <f>Primary!J107</f>
        <v>24.95</v>
      </c>
      <c r="K13" s="82">
        <f>SUMPRODUCT(E1:E13,J1:J13)</f>
        <v>144.69999999999999</v>
      </c>
    </row>
    <row r="14" spans="1:13" x14ac:dyDescent="0.3">
      <c r="A14" s="113" t="str">
        <f>Primary!A109</f>
        <v>Primary Component</v>
      </c>
      <c r="B14" s="113" t="str">
        <f>Primary!B109</f>
        <v>Proximity/Distance</v>
      </c>
      <c r="C14" s="113" t="str">
        <f>Primary!C109</f>
        <v>SparkFun</v>
      </c>
      <c r="D14" s="113" t="str">
        <f>Primary!D109</f>
        <v>SEN-12787</v>
      </c>
      <c r="E14" s="113">
        <v>0</v>
      </c>
      <c r="F14" s="143" t="str">
        <f>Primary!F109</f>
        <v>https://www.sparkfun.com/products/12787</v>
      </c>
      <c r="G14" s="143" t="str">
        <f>Primary!G109</f>
        <v>https://cdn.sparkfun.com/r/92-92/assets/parts/9/6/0/3/12787-01.jpg</v>
      </c>
      <c r="H14" s="113" t="str">
        <f>Primary!H109</f>
        <v>SparkFun RGB and Gesture Sensor - APDS-9960</v>
      </c>
      <c r="I14" s="113">
        <f>Primary!I109</f>
        <v>1</v>
      </c>
      <c r="J14" s="113">
        <f>Primary!J109</f>
        <v>14.95</v>
      </c>
      <c r="K14" s="82">
        <f>SUMPRODUCT(E1:E14,J1:J14)</f>
        <v>144.69999999999999</v>
      </c>
    </row>
    <row r="15" spans="1:13" x14ac:dyDescent="0.3">
      <c r="A15" s="113" t="str">
        <f>Primary!A113</f>
        <v>Primary Component</v>
      </c>
      <c r="B15" s="113" t="str">
        <f>Primary!B113</f>
        <v>Proximity/Distance</v>
      </c>
      <c r="C15" s="113" t="str">
        <f>Primary!C113</f>
        <v>Adafruit</v>
      </c>
      <c r="D15" s="113" t="str">
        <f>Primary!D113</f>
        <v>3538</v>
      </c>
      <c r="E15" s="113">
        <v>1</v>
      </c>
      <c r="F15" s="143">
        <f>Primary!F113</f>
        <v>0</v>
      </c>
      <c r="G15" s="143">
        <f>Primary!G113</f>
        <v>0</v>
      </c>
      <c r="H15" s="113" t="str">
        <f>Primary!H113</f>
        <v xml:space="preserve">Adafruit AMG8833 IR Thermal Camera Breakout </v>
      </c>
      <c r="I15" s="113">
        <f>Primary!I113</f>
        <v>0</v>
      </c>
      <c r="J15" s="113">
        <f>Primary!J113</f>
        <v>39.950000000000003</v>
      </c>
      <c r="K15" s="82">
        <f>SUMPRODUCT(E1:E15,J1:J15)</f>
        <v>184.64999999999998</v>
      </c>
    </row>
    <row r="16" spans="1:13" x14ac:dyDescent="0.3">
      <c r="A16" s="113" t="str">
        <f>Primary!A115</f>
        <v>Primary Component</v>
      </c>
      <c r="B16" s="113" t="str">
        <f>Primary!B115</f>
        <v>Proximity/Distance</v>
      </c>
      <c r="C16" s="113" t="str">
        <f>Primary!C115</f>
        <v>Adafruit</v>
      </c>
      <c r="D16" s="113" t="str">
        <f>Primary!D115</f>
        <v>3316</v>
      </c>
      <c r="E16" s="113">
        <v>0</v>
      </c>
      <c r="F16" s="143">
        <f>Primary!F115</f>
        <v>0</v>
      </c>
      <c r="G16" s="143">
        <f>Primary!G115</f>
        <v>0</v>
      </c>
      <c r="H16" s="113" t="str">
        <f>Primary!H115</f>
        <v>Adafruit VL6180X Time of Flight Distance Ranging Sensor (VL6180)</v>
      </c>
      <c r="I16" s="113">
        <f>Primary!I115</f>
        <v>0</v>
      </c>
      <c r="J16" s="113">
        <f>Primary!J115</f>
        <v>13.95</v>
      </c>
      <c r="K16" s="82">
        <f>SUMPRODUCT(E1:E16,J1:J16)</f>
        <v>184.64999999999998</v>
      </c>
    </row>
  </sheetData>
  <conditionalFormatting sqref="A7:M7">
    <cfRule type="expression" dxfId="361" priority="5">
      <formula>AND($E7=0,NOT(ISBLANK($E7)))</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5" id="{F26B47E5-0DD3-48B6-B2F3-F0C025D89F2B}">
            <xm:f>AND((Secondary!$E5=0),NOT(ISBLANK(Secondary!$E5)))</xm:f>
            <x14:dxf>
              <font>
                <b/>
                <i val="0"/>
                <color theme="0"/>
              </font>
              <fill>
                <patternFill>
                  <bgColor rgb="FF00B050"/>
                </patternFill>
              </fill>
            </x14:dxf>
          </x14:cfRule>
          <xm:sqref>A5:M6</xm:sqref>
        </x14:conditionalFormatting>
        <x14:conditionalFormatting xmlns:xm="http://schemas.microsoft.com/office/excel/2006/main">
          <x14:cfRule type="expression" priority="12" id="{4B7F76E5-71D9-48C4-8D26-3710701DDF96}">
            <xm:f>Secondary!$K5=FilterSpecs!$F$13</xm:f>
            <x14:dxf>
              <font>
                <b/>
                <i val="0"/>
                <color theme="0"/>
              </font>
              <fill>
                <patternFill>
                  <bgColor theme="9" tint="-0.499984740745262"/>
                </patternFill>
              </fill>
            </x14:dxf>
          </x14:cfRule>
          <x14:cfRule type="expression" priority="13" id="{0B6E234C-AFB1-4885-A5FD-F58366276C88}">
            <xm:f>Secondary!$K5=FilterSpecs!$F$12</xm:f>
            <x14:dxf>
              <font>
                <b/>
                <i val="0"/>
                <color theme="0"/>
              </font>
              <fill>
                <patternFill>
                  <bgColor rgb="FFFF4F4F"/>
                </patternFill>
              </fill>
            </x14:dxf>
          </x14:cfRule>
          <x14:cfRule type="expression" priority="14" id="{094E4926-AAA3-4185-8996-92362F2692E5}">
            <xm:f>Secondary!$K5=FilterSpecs!$F$9</xm:f>
            <x14:dxf>
              <font>
                <b/>
                <i val="0"/>
                <color theme="0"/>
              </font>
              <fill>
                <patternFill>
                  <bgColor rgb="FFFF0000"/>
                </patternFill>
              </fill>
            </x14:dxf>
          </x14:cfRule>
          <x14:cfRule type="expression" priority="16" id="{2E53F514-CD53-4979-9D28-21A474A6AF2F}">
            <xm:f>Secondary!$K5=FilterSpecs!$F$7</xm:f>
            <x14:dxf>
              <font>
                <b/>
                <i val="0"/>
                <color theme="0"/>
              </font>
              <fill>
                <patternFill>
                  <bgColor rgb="FF00B0F0"/>
                </patternFill>
              </fill>
            </x14:dxf>
          </x14:cfRule>
          <x14:cfRule type="expression" priority="17" id="{A74BB7AF-87D0-4B71-A895-A561C84383C0}">
            <xm:f>Secondary!$K5=FilterSpecs!$F$8</xm:f>
            <x14:dxf>
              <font>
                <b/>
                <i val="0"/>
                <color theme="0"/>
              </font>
              <fill>
                <patternFill>
                  <bgColor rgb="FFFFC000"/>
                </patternFill>
              </fill>
            </x14:dxf>
          </x14:cfRule>
          <x14:cfRule type="expression" priority="18" id="{30F6ABA0-921E-4073-8054-E88B84AF6D19}">
            <xm:f>Secondary!$K5=FilterSpecs!$F$10</xm:f>
            <x14:dxf>
              <font>
                <b/>
                <i val="0"/>
                <color theme="0"/>
              </font>
              <fill>
                <patternFill>
                  <bgColor rgb="FF002060"/>
                </patternFill>
              </fill>
            </x14:dxf>
          </x14:cfRule>
          <xm:sqref>A5:M6</xm:sqref>
        </x14:conditionalFormatting>
        <x14:conditionalFormatting xmlns:xm="http://schemas.microsoft.com/office/excel/2006/main">
          <x14:cfRule type="expression" priority="1" id="{E3C36041-0DC8-4BF4-B786-270F6DA503F5}">
            <xm:f>$K7=FilterSpecs!$F$13</xm:f>
            <x14:dxf>
              <font>
                <b/>
                <i val="0"/>
                <color theme="0"/>
              </font>
              <fill>
                <patternFill>
                  <bgColor theme="9" tint="-0.499984740745262"/>
                </patternFill>
              </fill>
            </x14:dxf>
          </x14:cfRule>
          <x14:cfRule type="expression" priority="2" id="{706834B1-1D3F-4C47-A957-1022C6641D84}">
            <xm:f>$K7=FilterSpecs!$E$13</xm:f>
            <x14:dxf>
              <font>
                <b/>
                <i val="0"/>
                <color theme="0"/>
              </font>
              <fill>
                <patternFill>
                  <bgColor theme="9" tint="-0.499984740745262"/>
                </patternFill>
              </fill>
            </x14:dxf>
          </x14:cfRule>
          <x14:cfRule type="expression" priority="3" id="{CCE4709B-98A3-40A4-B42E-FC978A84CA19}">
            <xm:f>$K7=FilterSpecs!$F$12</xm:f>
            <x14:dxf>
              <font>
                <b/>
                <i val="0"/>
                <color theme="0"/>
              </font>
              <fill>
                <patternFill>
                  <bgColor rgb="FFFF4F4F"/>
                </patternFill>
              </fill>
            </x14:dxf>
          </x14:cfRule>
          <x14:cfRule type="expression" priority="4" id="{B39A41E2-A73C-48F0-BA83-D49540131CEB}">
            <xm:f>$K7=FilterSpecs!$F$9</xm:f>
            <x14:dxf>
              <font>
                <b/>
                <i val="0"/>
                <color theme="0"/>
              </font>
              <fill>
                <patternFill>
                  <bgColor rgb="FFFF0000"/>
                </patternFill>
              </fill>
            </x14:dxf>
          </x14:cfRule>
          <x14:cfRule type="expression" priority="6" id="{4705D358-94C3-4C21-BE1D-B9B56C0EFA78}">
            <xm:f>$K7=FilterSpecs!$F$7</xm:f>
            <x14:dxf>
              <font>
                <b/>
                <i val="0"/>
                <color theme="0"/>
              </font>
              <fill>
                <patternFill>
                  <bgColor rgb="FF00B0F0"/>
                </patternFill>
              </fill>
            </x14:dxf>
          </x14:cfRule>
          <x14:cfRule type="expression" priority="7" id="{E6DDF8D5-A622-439F-8EB5-2D2C37DAFABB}">
            <xm:f>$K7=FilterSpecs!$F$10</xm:f>
            <x14:dxf>
              <font>
                <b/>
                <i val="0"/>
                <color theme="0"/>
              </font>
              <fill>
                <patternFill>
                  <bgColor rgb="FF002060"/>
                </patternFill>
              </fill>
            </x14:dxf>
          </x14:cfRule>
          <x14:cfRule type="expression" priority="8" id="{011FD00F-D09E-4E56-AE68-AD2D2641BAFE}">
            <xm:f>$K7=FilterSpecs!$F$8</xm:f>
            <x14:dxf>
              <font>
                <b/>
                <i val="0"/>
                <color theme="0"/>
              </font>
              <fill>
                <patternFill>
                  <bgColor rgb="FFFFC000"/>
                </patternFill>
              </fill>
            </x14:dxf>
          </x14:cfRule>
          <x14:cfRule type="expression" priority="9" id="{83058B29-5F92-40BF-9905-AE70589D39EB}">
            <xm:f>$K7=FilterSpecs!$F$10</xm:f>
            <x14:dxf>
              <font>
                <b/>
                <i val="0"/>
                <color theme="0"/>
              </font>
              <fill>
                <patternFill>
                  <bgColor rgb="FF002060"/>
                </patternFill>
              </fill>
            </x14:dxf>
          </x14:cfRule>
          <x14:cfRule type="expression" priority="10" id="{25A246B9-0DE5-4F12-881B-ED3F47E9FD0C}">
            <xm:f>$K7=FilterSpecs!$F$8</xm:f>
            <x14:dxf>
              <font>
                <b/>
                <i val="0"/>
                <color theme="0"/>
              </font>
              <fill>
                <patternFill>
                  <bgColor rgb="FFFFC000"/>
                </patternFill>
              </fill>
            </x14:dxf>
          </x14:cfRule>
          <x14:cfRule type="expression" priority="11" id="{E542EC01-54ED-43C7-B408-DBA66C23EC2D}">
            <xm:f>$K7=FilterSpecs!$F$7</xm:f>
            <x14:dxf>
              <font>
                <b/>
                <i val="0"/>
                <color theme="0"/>
              </font>
              <fill>
                <patternFill>
                  <bgColor rgb="FF00B0F0"/>
                </patternFill>
              </fill>
            </x14:dxf>
          </x14:cfRule>
          <xm:sqref>A7:M7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A94D7-4026-42CB-A8B4-23E885857CC4}">
  <sheetPr codeName="Sheet4">
    <tabColor rgb="FF002060"/>
  </sheetPr>
  <dimension ref="A1:N611"/>
  <sheetViews>
    <sheetView topLeftCell="E1" zoomScale="70" zoomScaleNormal="70" workbookViewId="0">
      <selection activeCell="E3" sqref="E3"/>
    </sheetView>
  </sheetViews>
  <sheetFormatPr defaultRowHeight="14.4" x14ac:dyDescent="0.3"/>
  <cols>
    <col min="1" max="1" width="45.33203125" style="51" bestFit="1" customWidth="1"/>
    <col min="2" max="2" width="43.21875" style="51" bestFit="1" customWidth="1"/>
    <col min="3" max="3" width="10.77734375" style="51" bestFit="1" customWidth="1"/>
    <col min="4" max="4" width="16.6640625" style="51" bestFit="1" customWidth="1"/>
    <col min="5" max="5" width="10.5546875" style="51" bestFit="1" customWidth="1"/>
    <col min="6" max="6" width="4.6640625" hidden="1" customWidth="1"/>
    <col min="7" max="7" width="0.109375" customWidth="1"/>
    <col min="8" max="8" width="79.109375" style="51" bestFit="1" customWidth="1"/>
    <col min="9" max="9" width="2.88671875" hidden="1" customWidth="1"/>
    <col min="10" max="10" width="12.6640625" style="51" bestFit="1" customWidth="1"/>
    <col min="11" max="11" width="6.44140625" style="51" customWidth="1"/>
    <col min="12" max="12" width="141.77734375" customWidth="1"/>
    <col min="13" max="13" width="12" bestFit="1" customWidth="1"/>
  </cols>
  <sheetData>
    <row r="1" spans="1:14" ht="213.6" customHeight="1" thickBot="1" x14ac:dyDescent="0.7">
      <c r="A1" s="147" t="s">
        <v>2486</v>
      </c>
    </row>
    <row r="2" spans="1:14" ht="6.6" customHeight="1" thickTop="1" x14ac:dyDescent="0.3">
      <c r="A2" s="108"/>
      <c r="B2" s="108"/>
      <c r="C2" s="108"/>
      <c r="D2" s="108"/>
      <c r="E2" s="108"/>
      <c r="H2" s="108"/>
      <c r="J2" s="108"/>
      <c r="K2" s="108"/>
      <c r="L2" s="66"/>
      <c r="M2" s="66"/>
      <c r="N2" s="66"/>
    </row>
    <row r="3" spans="1:14" s="12" customFormat="1" x14ac:dyDescent="0.3">
      <c r="A3" s="51" t="s">
        <v>893</v>
      </c>
      <c r="B3" s="97" t="s">
        <v>163</v>
      </c>
      <c r="C3" s="97" t="s">
        <v>7</v>
      </c>
      <c r="D3" s="12" t="s">
        <v>25</v>
      </c>
      <c r="E3" s="12" t="s">
        <v>2549</v>
      </c>
      <c r="F3" s="12" t="s">
        <v>27</v>
      </c>
      <c r="G3" s="12" t="s">
        <v>28</v>
      </c>
      <c r="H3" s="12" t="s">
        <v>29</v>
      </c>
      <c r="I3" s="12" t="s">
        <v>30</v>
      </c>
      <c r="J3" s="12" t="s">
        <v>31</v>
      </c>
      <c r="K3" s="12" t="s">
        <v>1918</v>
      </c>
      <c r="L3" s="12" t="s">
        <v>1621</v>
      </c>
      <c r="M3" s="12" t="s">
        <v>1412</v>
      </c>
      <c r="N3" s="12" t="s">
        <v>2548</v>
      </c>
    </row>
    <row r="4" spans="1:14" s="69" customFormat="1" x14ac:dyDescent="0.3">
      <c r="A4" s="51" t="s">
        <v>894</v>
      </c>
      <c r="B4" s="51" t="s">
        <v>888</v>
      </c>
      <c r="C4" s="51" t="s">
        <v>8</v>
      </c>
      <c r="D4" s="12" t="s">
        <v>136</v>
      </c>
      <c r="E4" s="89">
        <v>1</v>
      </c>
      <c r="F4" s="12" t="s">
        <v>137</v>
      </c>
      <c r="G4" s="12" t="s">
        <v>138</v>
      </c>
      <c r="H4" s="12" t="s">
        <v>139</v>
      </c>
      <c r="I4" s="12">
        <v>1</v>
      </c>
      <c r="J4" s="89">
        <v>49.95</v>
      </c>
      <c r="K4" s="12" t="s">
        <v>1910</v>
      </c>
      <c r="L4" t="s">
        <v>1489</v>
      </c>
      <c r="M4">
        <f t="shared" ref="M4:M67" si="0">E4*J4</f>
        <v>49.95</v>
      </c>
      <c r="N4" s="69">
        <f t="shared" ref="N4:N67" si="1">IF($N3="List #",1,$N3+1)</f>
        <v>1</v>
      </c>
    </row>
    <row r="5" spans="1:14" s="103" customFormat="1" x14ac:dyDescent="0.3">
      <c r="A5" s="102" t="s">
        <v>894</v>
      </c>
      <c r="B5" s="102" t="s">
        <v>888</v>
      </c>
      <c r="C5" s="102" t="s">
        <v>8</v>
      </c>
      <c r="D5" s="103" t="s">
        <v>148</v>
      </c>
      <c r="E5" s="104">
        <v>1</v>
      </c>
      <c r="F5" s="103" t="s">
        <v>149</v>
      </c>
      <c r="G5" s="103" t="s">
        <v>150</v>
      </c>
      <c r="H5" s="103" t="s">
        <v>151</v>
      </c>
      <c r="J5" s="104">
        <v>4.95</v>
      </c>
      <c r="K5" s="103" t="s">
        <v>1910</v>
      </c>
      <c r="L5" s="105"/>
      <c r="M5">
        <f t="shared" si="0"/>
        <v>4.95</v>
      </c>
      <c r="N5" s="103">
        <f t="shared" si="1"/>
        <v>2</v>
      </c>
    </row>
    <row r="6" spans="1:14" s="103" customFormat="1" x14ac:dyDescent="0.3">
      <c r="A6" s="102" t="s">
        <v>894</v>
      </c>
      <c r="B6" s="102" t="s">
        <v>888</v>
      </c>
      <c r="C6" s="102" t="s">
        <v>8</v>
      </c>
      <c r="D6" s="103" t="s">
        <v>152</v>
      </c>
      <c r="E6" s="104">
        <v>2</v>
      </c>
      <c r="F6" s="103" t="s">
        <v>153</v>
      </c>
      <c r="G6" s="103" t="s">
        <v>154</v>
      </c>
      <c r="H6" s="103" t="s">
        <v>155</v>
      </c>
      <c r="I6" s="103">
        <v>1</v>
      </c>
      <c r="J6" s="104">
        <v>1.95</v>
      </c>
      <c r="K6" s="103" t="s">
        <v>1910</v>
      </c>
      <c r="L6" s="105"/>
      <c r="M6">
        <f t="shared" si="0"/>
        <v>3.9</v>
      </c>
      <c r="N6" s="103">
        <f t="shared" si="1"/>
        <v>3</v>
      </c>
    </row>
    <row r="7" spans="1:14" s="103" customFormat="1" x14ac:dyDescent="0.3">
      <c r="A7" s="102" t="s">
        <v>894</v>
      </c>
      <c r="B7" s="102" t="s">
        <v>888</v>
      </c>
      <c r="C7" s="102" t="s">
        <v>8</v>
      </c>
      <c r="D7" s="103" t="s">
        <v>156</v>
      </c>
      <c r="E7" s="104">
        <v>1</v>
      </c>
      <c r="F7" s="103" t="s">
        <v>157</v>
      </c>
      <c r="G7" s="103" t="s">
        <v>158</v>
      </c>
      <c r="H7" s="103" t="s">
        <v>159</v>
      </c>
      <c r="J7" s="104">
        <v>0.75</v>
      </c>
      <c r="K7" s="103" t="s">
        <v>1910</v>
      </c>
      <c r="L7" s="105"/>
      <c r="M7">
        <f t="shared" si="0"/>
        <v>0.75</v>
      </c>
      <c r="N7" s="103">
        <f t="shared" si="1"/>
        <v>4</v>
      </c>
    </row>
    <row r="8" spans="1:14" s="103" customFormat="1" x14ac:dyDescent="0.3">
      <c r="A8" s="102" t="s">
        <v>894</v>
      </c>
      <c r="B8" s="102" t="s">
        <v>888</v>
      </c>
      <c r="C8" s="102" t="s">
        <v>8</v>
      </c>
      <c r="D8" s="103" t="s">
        <v>667</v>
      </c>
      <c r="E8" s="104">
        <v>2</v>
      </c>
      <c r="F8" s="103" t="s">
        <v>668</v>
      </c>
      <c r="G8" s="103" t="s">
        <v>669</v>
      </c>
      <c r="H8" s="103" t="s">
        <v>670</v>
      </c>
      <c r="I8" s="103">
        <v>1</v>
      </c>
      <c r="J8" s="104">
        <v>4.95</v>
      </c>
      <c r="K8" s="103" t="s">
        <v>1910</v>
      </c>
      <c r="L8" s="105"/>
      <c r="M8">
        <f t="shared" si="0"/>
        <v>9.9</v>
      </c>
      <c r="N8" s="103">
        <f t="shared" si="1"/>
        <v>5</v>
      </c>
    </row>
    <row r="9" spans="1:14" s="103" customFormat="1" x14ac:dyDescent="0.3">
      <c r="A9" s="102" t="s">
        <v>894</v>
      </c>
      <c r="B9" s="102" t="s">
        <v>888</v>
      </c>
      <c r="C9" s="102" t="s">
        <v>8</v>
      </c>
      <c r="D9" s="103" t="s">
        <v>140</v>
      </c>
      <c r="E9" s="104">
        <v>1</v>
      </c>
      <c r="F9" s="103" t="s">
        <v>141</v>
      </c>
      <c r="G9" s="103" t="s">
        <v>142</v>
      </c>
      <c r="H9" s="103" t="s">
        <v>143</v>
      </c>
      <c r="I9" s="103">
        <v>1</v>
      </c>
      <c r="J9" s="104">
        <v>59.95</v>
      </c>
      <c r="K9" s="103" t="s">
        <v>1910</v>
      </c>
      <c r="L9" s="105"/>
      <c r="M9">
        <f t="shared" si="0"/>
        <v>59.95</v>
      </c>
      <c r="N9" s="103">
        <f t="shared" si="1"/>
        <v>6</v>
      </c>
    </row>
    <row r="10" spans="1:14" s="103" customFormat="1" x14ac:dyDescent="0.3">
      <c r="A10" s="102" t="s">
        <v>894</v>
      </c>
      <c r="B10" s="102" t="s">
        <v>888</v>
      </c>
      <c r="C10" s="102" t="s">
        <v>8</v>
      </c>
      <c r="D10" s="103" t="s">
        <v>1498</v>
      </c>
      <c r="E10" s="104">
        <v>1</v>
      </c>
      <c r="F10" s="103" t="s">
        <v>1499</v>
      </c>
      <c r="G10" s="103" t="s">
        <v>1500</v>
      </c>
      <c r="H10" s="103" t="s">
        <v>1501</v>
      </c>
      <c r="I10" s="103">
        <v>1</v>
      </c>
      <c r="J10" s="104">
        <v>9.9499999999999993</v>
      </c>
      <c r="K10" s="103" t="s">
        <v>1910</v>
      </c>
      <c r="L10" s="105"/>
      <c r="M10">
        <f t="shared" si="0"/>
        <v>9.9499999999999993</v>
      </c>
      <c r="N10" s="103">
        <f t="shared" si="1"/>
        <v>7</v>
      </c>
    </row>
    <row r="11" spans="1:14" s="103" customFormat="1" x14ac:dyDescent="0.3">
      <c r="A11" s="102" t="s">
        <v>894</v>
      </c>
      <c r="B11" s="102" t="s">
        <v>888</v>
      </c>
      <c r="C11" s="102" t="s">
        <v>8</v>
      </c>
      <c r="D11" s="103" t="s">
        <v>1519</v>
      </c>
      <c r="E11" s="104">
        <v>1</v>
      </c>
      <c r="F11" s="103" t="s">
        <v>1520</v>
      </c>
      <c r="G11" s="103" t="s">
        <v>1521</v>
      </c>
      <c r="H11" s="103" t="s">
        <v>1522</v>
      </c>
      <c r="I11" s="103">
        <v>1</v>
      </c>
      <c r="J11" s="104">
        <v>0.95</v>
      </c>
      <c r="K11" s="103" t="s">
        <v>1910</v>
      </c>
      <c r="L11" s="105"/>
      <c r="M11">
        <f t="shared" si="0"/>
        <v>0.95</v>
      </c>
      <c r="N11" s="103">
        <f t="shared" si="1"/>
        <v>8</v>
      </c>
    </row>
    <row r="12" spans="1:14" s="103" customFormat="1" x14ac:dyDescent="0.3">
      <c r="A12" s="102" t="s">
        <v>894</v>
      </c>
      <c r="B12" s="102" t="s">
        <v>888</v>
      </c>
      <c r="C12" s="102" t="s">
        <v>8</v>
      </c>
      <c r="D12" s="103" t="s">
        <v>1851</v>
      </c>
      <c r="E12" s="104">
        <v>1</v>
      </c>
      <c r="F12" s="103" t="s">
        <v>1852</v>
      </c>
      <c r="G12" s="103" t="s">
        <v>1853</v>
      </c>
      <c r="H12" s="103" t="s">
        <v>1854</v>
      </c>
      <c r="I12" s="103">
        <v>1</v>
      </c>
      <c r="J12" s="104">
        <v>5.95</v>
      </c>
      <c r="K12" s="103" t="s">
        <v>1910</v>
      </c>
      <c r="L12" s="105"/>
      <c r="M12">
        <f t="shared" si="0"/>
        <v>5.95</v>
      </c>
      <c r="N12" s="103">
        <f t="shared" si="1"/>
        <v>9</v>
      </c>
    </row>
    <row r="13" spans="1:14" s="103" customFormat="1" hidden="1" x14ac:dyDescent="0.3">
      <c r="A13" s="102" t="s">
        <v>894</v>
      </c>
      <c r="B13" s="102" t="s">
        <v>888</v>
      </c>
      <c r="C13" s="102" t="s">
        <v>8</v>
      </c>
      <c r="D13" s="103" t="s">
        <v>144</v>
      </c>
      <c r="E13" s="104">
        <v>0</v>
      </c>
      <c r="F13" s="103" t="s">
        <v>145</v>
      </c>
      <c r="G13" s="103" t="s">
        <v>146</v>
      </c>
      <c r="H13" s="103" t="s">
        <v>147</v>
      </c>
      <c r="I13" s="103">
        <v>1</v>
      </c>
      <c r="J13" s="104">
        <v>10.95</v>
      </c>
      <c r="K13" s="103" t="s">
        <v>1910</v>
      </c>
      <c r="L13" s="105"/>
      <c r="M13">
        <f t="shared" si="0"/>
        <v>0</v>
      </c>
      <c r="N13" s="103">
        <f t="shared" si="1"/>
        <v>10</v>
      </c>
    </row>
    <row r="14" spans="1:14" s="103" customFormat="1" hidden="1" x14ac:dyDescent="0.3">
      <c r="A14" s="103" t="s">
        <v>894</v>
      </c>
      <c r="B14" s="103" t="s">
        <v>888</v>
      </c>
      <c r="C14" s="103" t="s">
        <v>1898</v>
      </c>
      <c r="D14" s="103" t="s">
        <v>2251</v>
      </c>
      <c r="E14" s="104">
        <v>0</v>
      </c>
      <c r="H14" s="102" t="s">
        <v>2252</v>
      </c>
      <c r="I14" s="105"/>
      <c r="J14" s="111">
        <v>22</v>
      </c>
      <c r="K14" s="102" t="s">
        <v>1910</v>
      </c>
      <c r="L14" s="105"/>
      <c r="M14">
        <f t="shared" si="0"/>
        <v>0</v>
      </c>
      <c r="N14" s="103">
        <f t="shared" si="1"/>
        <v>11</v>
      </c>
    </row>
    <row r="15" spans="1:14" s="103" customFormat="1" hidden="1" x14ac:dyDescent="0.3">
      <c r="A15" s="103" t="s">
        <v>894</v>
      </c>
      <c r="B15" s="103" t="s">
        <v>888</v>
      </c>
      <c r="C15" s="103" t="s">
        <v>1898</v>
      </c>
      <c r="D15" s="103" t="s">
        <v>2253</v>
      </c>
      <c r="E15" s="104">
        <v>0</v>
      </c>
      <c r="H15" s="102" t="s">
        <v>2254</v>
      </c>
      <c r="I15" s="105"/>
      <c r="J15" s="111">
        <v>12.5</v>
      </c>
      <c r="K15" s="102" t="s">
        <v>1910</v>
      </c>
      <c r="L15" s="105"/>
      <c r="M15">
        <f t="shared" si="0"/>
        <v>0</v>
      </c>
      <c r="N15" s="103">
        <f t="shared" si="1"/>
        <v>12</v>
      </c>
    </row>
    <row r="16" spans="1:14" s="103" customFormat="1" hidden="1" x14ac:dyDescent="0.3">
      <c r="A16" s="103" t="s">
        <v>894</v>
      </c>
      <c r="B16" s="103" t="s">
        <v>888</v>
      </c>
      <c r="C16" s="103" t="s">
        <v>1898</v>
      </c>
      <c r="D16" s="103" t="s">
        <v>2255</v>
      </c>
      <c r="E16" s="104">
        <v>0</v>
      </c>
      <c r="H16" s="102" t="s">
        <v>2256</v>
      </c>
      <c r="I16" s="105"/>
      <c r="J16" s="111">
        <v>5.95</v>
      </c>
      <c r="K16" s="102" t="s">
        <v>1910</v>
      </c>
      <c r="L16" s="105"/>
      <c r="M16">
        <f t="shared" si="0"/>
        <v>0</v>
      </c>
      <c r="N16" s="103">
        <f t="shared" si="1"/>
        <v>13</v>
      </c>
    </row>
    <row r="17" spans="1:14" s="103" customFormat="1" hidden="1" x14ac:dyDescent="0.3">
      <c r="A17" s="103" t="s">
        <v>894</v>
      </c>
      <c r="B17" s="103" t="s">
        <v>888</v>
      </c>
      <c r="C17" s="103" t="s">
        <v>1898</v>
      </c>
      <c r="D17" s="103" t="s">
        <v>2257</v>
      </c>
      <c r="E17" s="104">
        <v>0</v>
      </c>
      <c r="H17" s="102" t="s">
        <v>2258</v>
      </c>
      <c r="I17" s="105"/>
      <c r="J17" s="111">
        <v>3.95</v>
      </c>
      <c r="K17" s="102" t="s">
        <v>1910</v>
      </c>
      <c r="L17" s="105"/>
      <c r="M17">
        <f t="shared" si="0"/>
        <v>0</v>
      </c>
      <c r="N17" s="103">
        <f t="shared" si="1"/>
        <v>14</v>
      </c>
    </row>
    <row r="18" spans="1:14" s="103" customFormat="1" hidden="1" x14ac:dyDescent="0.3">
      <c r="A18" s="103" t="s">
        <v>894</v>
      </c>
      <c r="B18" s="103" t="s">
        <v>888</v>
      </c>
      <c r="C18" s="103" t="s">
        <v>1898</v>
      </c>
      <c r="D18" s="103" t="s">
        <v>2259</v>
      </c>
      <c r="E18" s="104">
        <v>0</v>
      </c>
      <c r="H18" s="102" t="s">
        <v>2260</v>
      </c>
      <c r="I18" s="105"/>
      <c r="J18" s="111">
        <v>1.95</v>
      </c>
      <c r="K18" s="102" t="s">
        <v>1910</v>
      </c>
      <c r="L18" s="105"/>
      <c r="M18">
        <f t="shared" si="0"/>
        <v>0</v>
      </c>
      <c r="N18" s="103">
        <f t="shared" si="1"/>
        <v>15</v>
      </c>
    </row>
    <row r="19" spans="1:14" s="103" customFormat="1" hidden="1" x14ac:dyDescent="0.3">
      <c r="A19" s="103" t="s">
        <v>894</v>
      </c>
      <c r="B19" s="103" t="s">
        <v>888</v>
      </c>
      <c r="C19" s="103" t="s">
        <v>1898</v>
      </c>
      <c r="D19" s="103" t="s">
        <v>2261</v>
      </c>
      <c r="E19" s="104">
        <v>0</v>
      </c>
      <c r="H19" s="102" t="s">
        <v>2262</v>
      </c>
      <c r="I19" s="105"/>
      <c r="J19" s="111">
        <v>1.95</v>
      </c>
      <c r="K19" s="102" t="s">
        <v>1913</v>
      </c>
      <c r="L19" s="105"/>
      <c r="M19">
        <f t="shared" si="0"/>
        <v>0</v>
      </c>
      <c r="N19" s="103">
        <f t="shared" si="1"/>
        <v>16</v>
      </c>
    </row>
    <row r="20" spans="1:14" s="103" customFormat="1" hidden="1" x14ac:dyDescent="0.3">
      <c r="A20" s="103" t="s">
        <v>894</v>
      </c>
      <c r="B20" s="103" t="s">
        <v>888</v>
      </c>
      <c r="C20" s="103" t="s">
        <v>1898</v>
      </c>
      <c r="D20" s="103" t="s">
        <v>2263</v>
      </c>
      <c r="E20" s="104">
        <v>0</v>
      </c>
      <c r="H20" s="102" t="s">
        <v>2264</v>
      </c>
      <c r="I20" s="105"/>
      <c r="J20" s="111">
        <v>7.5</v>
      </c>
      <c r="K20" s="102" t="s">
        <v>1913</v>
      </c>
      <c r="L20" s="105"/>
      <c r="M20">
        <f t="shared" si="0"/>
        <v>0</v>
      </c>
      <c r="N20" s="103">
        <f t="shared" si="1"/>
        <v>17</v>
      </c>
    </row>
    <row r="21" spans="1:14" s="103" customFormat="1" hidden="1" x14ac:dyDescent="0.3">
      <c r="A21" s="103" t="s">
        <v>894</v>
      </c>
      <c r="B21" s="103" t="s">
        <v>888</v>
      </c>
      <c r="C21" s="103" t="s">
        <v>1898</v>
      </c>
      <c r="D21" s="103" t="s">
        <v>2265</v>
      </c>
      <c r="E21" s="104">
        <v>0</v>
      </c>
      <c r="H21" s="102" t="s">
        <v>2266</v>
      </c>
      <c r="I21" s="105"/>
      <c r="J21" s="111">
        <v>9.9499999999999993</v>
      </c>
      <c r="K21" s="102" t="s">
        <v>1910</v>
      </c>
      <c r="L21" s="105"/>
      <c r="M21">
        <f t="shared" si="0"/>
        <v>0</v>
      </c>
      <c r="N21" s="103">
        <f t="shared" si="1"/>
        <v>18</v>
      </c>
    </row>
    <row r="22" spans="1:14" s="103" customFormat="1" x14ac:dyDescent="0.3">
      <c r="A22" s="102" t="s">
        <v>894</v>
      </c>
      <c r="B22" s="102" t="s">
        <v>12</v>
      </c>
      <c r="C22" s="102" t="s">
        <v>8</v>
      </c>
      <c r="D22" s="103" t="s">
        <v>56</v>
      </c>
      <c r="E22" s="104">
        <f>FilterSpecs!$C$3</f>
        <v>5</v>
      </c>
      <c r="F22" s="103" t="s">
        <v>57</v>
      </c>
      <c r="G22" s="103" t="s">
        <v>58</v>
      </c>
      <c r="H22" s="103" t="s">
        <v>59</v>
      </c>
      <c r="I22" s="103">
        <v>1</v>
      </c>
      <c r="J22" s="104">
        <v>9.9499999999999993</v>
      </c>
      <c r="K22" s="103" t="s">
        <v>1911</v>
      </c>
      <c r="L22" s="105"/>
      <c r="M22">
        <f t="shared" si="0"/>
        <v>49.75</v>
      </c>
      <c r="N22" s="103">
        <f t="shared" si="1"/>
        <v>19</v>
      </c>
    </row>
    <row r="23" spans="1:14" s="103" customFormat="1" x14ac:dyDescent="0.3">
      <c r="A23" s="102" t="s">
        <v>894</v>
      </c>
      <c r="B23" s="102" t="s">
        <v>12</v>
      </c>
      <c r="C23" s="102" t="s">
        <v>8</v>
      </c>
      <c r="D23" s="103" t="s">
        <v>60</v>
      </c>
      <c r="E23" s="104">
        <f>FilterSpecs!$C$3</f>
        <v>5</v>
      </c>
      <c r="F23" s="103" t="s">
        <v>61</v>
      </c>
      <c r="G23" s="103" t="s">
        <v>62</v>
      </c>
      <c r="H23" s="103" t="s">
        <v>63</v>
      </c>
      <c r="I23" s="103">
        <v>1</v>
      </c>
      <c r="J23" s="104">
        <v>24.95</v>
      </c>
      <c r="K23" s="103" t="s">
        <v>1911</v>
      </c>
      <c r="L23" s="105"/>
      <c r="M23">
        <f t="shared" si="0"/>
        <v>124.75</v>
      </c>
      <c r="N23" s="103">
        <f t="shared" si="1"/>
        <v>20</v>
      </c>
    </row>
    <row r="24" spans="1:14" s="103" customFormat="1" x14ac:dyDescent="0.3">
      <c r="A24" s="102" t="s">
        <v>894</v>
      </c>
      <c r="B24" s="102" t="s">
        <v>12</v>
      </c>
      <c r="C24" s="102" t="s">
        <v>8</v>
      </c>
      <c r="D24" s="103" t="s">
        <v>64</v>
      </c>
      <c r="E24" s="104">
        <f>FilterSpecs!$C$3</f>
        <v>5</v>
      </c>
      <c r="F24" s="103" t="s">
        <v>65</v>
      </c>
      <c r="G24" s="103" t="s">
        <v>66</v>
      </c>
      <c r="H24" s="103" t="s">
        <v>67</v>
      </c>
      <c r="J24" s="104">
        <v>10.95</v>
      </c>
      <c r="K24" s="103" t="s">
        <v>1911</v>
      </c>
      <c r="L24" s="105"/>
      <c r="M24">
        <f t="shared" si="0"/>
        <v>54.75</v>
      </c>
      <c r="N24" s="103">
        <f t="shared" si="1"/>
        <v>21</v>
      </c>
    </row>
    <row r="25" spans="1:14" s="103" customFormat="1" x14ac:dyDescent="0.3">
      <c r="A25" s="102" t="s">
        <v>894</v>
      </c>
      <c r="B25" s="102" t="s">
        <v>12</v>
      </c>
      <c r="C25" s="102" t="s">
        <v>8</v>
      </c>
      <c r="D25" s="103" t="s">
        <v>68</v>
      </c>
      <c r="E25" s="104">
        <f>2*FilterSpecs!$C$3</f>
        <v>10</v>
      </c>
      <c r="F25" s="103" t="s">
        <v>69</v>
      </c>
      <c r="G25" s="103" t="s">
        <v>70</v>
      </c>
      <c r="H25" s="103" t="s">
        <v>71</v>
      </c>
      <c r="I25" s="103">
        <v>1</v>
      </c>
      <c r="J25" s="104">
        <v>24.95</v>
      </c>
      <c r="K25" s="103" t="s">
        <v>1911</v>
      </c>
      <c r="L25" s="105"/>
      <c r="M25">
        <f t="shared" si="0"/>
        <v>249.5</v>
      </c>
      <c r="N25" s="103">
        <f t="shared" si="1"/>
        <v>22</v>
      </c>
    </row>
    <row r="26" spans="1:14" s="103" customFormat="1" x14ac:dyDescent="0.3">
      <c r="A26" s="102" t="s">
        <v>894</v>
      </c>
      <c r="B26" s="102" t="s">
        <v>1896</v>
      </c>
      <c r="C26" s="102" t="s">
        <v>8</v>
      </c>
      <c r="D26" s="103" t="s">
        <v>230</v>
      </c>
      <c r="E26" s="104">
        <v>1</v>
      </c>
      <c r="F26" s="103" t="s">
        <v>231</v>
      </c>
      <c r="G26" s="103" t="s">
        <v>232</v>
      </c>
      <c r="H26" s="103" t="s">
        <v>198</v>
      </c>
      <c r="I26" s="103">
        <v>1</v>
      </c>
      <c r="J26" s="104">
        <v>54.95</v>
      </c>
      <c r="K26" s="103" t="s">
        <v>1910</v>
      </c>
      <c r="L26" s="105"/>
      <c r="M26">
        <f t="shared" si="0"/>
        <v>54.95</v>
      </c>
      <c r="N26" s="103">
        <f t="shared" si="1"/>
        <v>23</v>
      </c>
    </row>
    <row r="27" spans="1:14" s="103" customFormat="1" x14ac:dyDescent="0.3">
      <c r="A27" s="102" t="s">
        <v>894</v>
      </c>
      <c r="B27" s="102" t="s">
        <v>1896</v>
      </c>
      <c r="C27" s="102" t="s">
        <v>8</v>
      </c>
      <c r="D27" s="103" t="s">
        <v>1831</v>
      </c>
      <c r="E27" s="104">
        <v>1</v>
      </c>
      <c r="F27" s="103" t="s">
        <v>1832</v>
      </c>
      <c r="G27" s="103" t="s">
        <v>1833</v>
      </c>
      <c r="H27" s="103" t="s">
        <v>1834</v>
      </c>
      <c r="I27" s="103">
        <v>1</v>
      </c>
      <c r="J27" s="104">
        <v>14.95</v>
      </c>
      <c r="K27" s="103" t="s">
        <v>1910</v>
      </c>
      <c r="L27" s="105"/>
      <c r="M27">
        <f t="shared" si="0"/>
        <v>14.95</v>
      </c>
      <c r="N27" s="103">
        <f t="shared" si="1"/>
        <v>24</v>
      </c>
    </row>
    <row r="28" spans="1:14" s="12" customFormat="1" x14ac:dyDescent="0.3">
      <c r="A28" s="102" t="s">
        <v>894</v>
      </c>
      <c r="B28" s="102" t="s">
        <v>1896</v>
      </c>
      <c r="C28" s="102" t="s">
        <v>8</v>
      </c>
      <c r="D28" s="12" t="s">
        <v>2507</v>
      </c>
      <c r="E28" s="12">
        <v>1</v>
      </c>
      <c r="F28" s="12" t="s">
        <v>2508</v>
      </c>
      <c r="G28" s="12" t="s">
        <v>2509</v>
      </c>
      <c r="H28" s="12" t="s">
        <v>2510</v>
      </c>
      <c r="I28" s="12">
        <v>1</v>
      </c>
      <c r="J28" s="89">
        <v>14.95</v>
      </c>
      <c r="K28" s="12" t="s">
        <v>1911</v>
      </c>
      <c r="M28">
        <f t="shared" si="0"/>
        <v>14.95</v>
      </c>
      <c r="N28" s="12">
        <f t="shared" si="1"/>
        <v>25</v>
      </c>
    </row>
    <row r="29" spans="1:14" s="103" customFormat="1" x14ac:dyDescent="0.3">
      <c r="A29" s="102" t="s">
        <v>894</v>
      </c>
      <c r="B29" s="102" t="s">
        <v>1896</v>
      </c>
      <c r="C29" s="102" t="s">
        <v>8</v>
      </c>
      <c r="D29" s="103" t="s">
        <v>233</v>
      </c>
      <c r="E29" s="104">
        <v>1</v>
      </c>
      <c r="F29" s="103" t="s">
        <v>234</v>
      </c>
      <c r="G29" s="103" t="s">
        <v>235</v>
      </c>
      <c r="H29" s="103" t="s">
        <v>205</v>
      </c>
      <c r="I29" s="103">
        <v>1</v>
      </c>
      <c r="J29" s="104">
        <v>9.9499999999999993</v>
      </c>
      <c r="K29" s="103" t="s">
        <v>1914</v>
      </c>
      <c r="L29" s="105"/>
      <c r="M29">
        <f t="shared" si="0"/>
        <v>9.9499999999999993</v>
      </c>
      <c r="N29" s="103">
        <f t="shared" si="1"/>
        <v>26</v>
      </c>
    </row>
    <row r="30" spans="1:14" s="103" customFormat="1" hidden="1" x14ac:dyDescent="0.3">
      <c r="A30" s="102" t="s">
        <v>894</v>
      </c>
      <c r="B30" s="102" t="s">
        <v>1896</v>
      </c>
      <c r="C30" s="102" t="s">
        <v>8</v>
      </c>
      <c r="D30" s="103" t="s">
        <v>286</v>
      </c>
      <c r="E30" s="104">
        <v>0</v>
      </c>
      <c r="F30" s="103" t="s">
        <v>287</v>
      </c>
      <c r="G30" s="103" t="s">
        <v>288</v>
      </c>
      <c r="H30" s="103" t="s">
        <v>203</v>
      </c>
      <c r="I30" s="103">
        <v>1</v>
      </c>
      <c r="J30" s="104">
        <v>9.9499999999999993</v>
      </c>
      <c r="K30" s="103" t="s">
        <v>1911</v>
      </c>
      <c r="L30" s="105"/>
      <c r="M30">
        <f t="shared" si="0"/>
        <v>0</v>
      </c>
      <c r="N30" s="103">
        <f t="shared" si="1"/>
        <v>27</v>
      </c>
    </row>
    <row r="31" spans="1:14" s="103" customFormat="1" x14ac:dyDescent="0.3">
      <c r="A31" s="102" t="s">
        <v>894</v>
      </c>
      <c r="B31" s="102" t="s">
        <v>1896</v>
      </c>
      <c r="C31" s="102" t="s">
        <v>8</v>
      </c>
      <c r="D31" s="103" t="s">
        <v>414</v>
      </c>
      <c r="E31" s="104">
        <f>FilterSpecs!$C$3</f>
        <v>5</v>
      </c>
      <c r="F31" s="103" t="s">
        <v>415</v>
      </c>
      <c r="G31" s="103" t="s">
        <v>416</v>
      </c>
      <c r="H31" s="103" t="s">
        <v>223</v>
      </c>
      <c r="I31" s="103">
        <v>1</v>
      </c>
      <c r="J31" s="104">
        <v>4.95</v>
      </c>
      <c r="K31" s="103" t="s">
        <v>1911</v>
      </c>
      <c r="L31" s="105"/>
      <c r="M31">
        <f t="shared" si="0"/>
        <v>24.75</v>
      </c>
      <c r="N31" s="103">
        <f t="shared" si="1"/>
        <v>28</v>
      </c>
    </row>
    <row r="32" spans="1:14" s="103" customFormat="1" x14ac:dyDescent="0.3">
      <c r="A32" s="102" t="s">
        <v>894</v>
      </c>
      <c r="B32" s="102" t="s">
        <v>1896</v>
      </c>
      <c r="C32" s="102" t="s">
        <v>8</v>
      </c>
      <c r="D32" s="103" t="s">
        <v>635</v>
      </c>
      <c r="E32" s="104">
        <f>FilterSpecs!$C$3+1</f>
        <v>6</v>
      </c>
      <c r="F32" s="103" t="s">
        <v>636</v>
      </c>
      <c r="G32" s="103" t="s">
        <v>637</v>
      </c>
      <c r="H32" s="103" t="s">
        <v>638</v>
      </c>
      <c r="I32" s="103">
        <v>1</v>
      </c>
      <c r="J32" s="104">
        <v>19.95</v>
      </c>
      <c r="K32" s="103" t="s">
        <v>1911</v>
      </c>
      <c r="L32" s="105"/>
      <c r="M32">
        <f t="shared" si="0"/>
        <v>119.69999999999999</v>
      </c>
      <c r="N32" s="103">
        <f t="shared" si="1"/>
        <v>29</v>
      </c>
    </row>
    <row r="33" spans="1:14" s="103" customFormat="1" x14ac:dyDescent="0.3">
      <c r="A33" s="102" t="s">
        <v>894</v>
      </c>
      <c r="B33" s="102" t="s">
        <v>1896</v>
      </c>
      <c r="C33" s="102" t="s">
        <v>1898</v>
      </c>
      <c r="D33" s="103" t="s">
        <v>2267</v>
      </c>
      <c r="E33" s="104">
        <v>2</v>
      </c>
      <c r="H33" s="103" t="s">
        <v>2268</v>
      </c>
      <c r="J33" s="104">
        <v>7.95</v>
      </c>
      <c r="K33" s="103" t="s">
        <v>1910</v>
      </c>
      <c r="L33" s="105"/>
      <c r="M33">
        <f t="shared" si="0"/>
        <v>15.9</v>
      </c>
      <c r="N33" s="103">
        <f t="shared" si="1"/>
        <v>30</v>
      </c>
    </row>
    <row r="34" spans="1:14" s="103" customFormat="1" x14ac:dyDescent="0.3">
      <c r="A34" s="102" t="s">
        <v>894</v>
      </c>
      <c r="B34" s="102" t="s">
        <v>1896</v>
      </c>
      <c r="C34" s="102" t="s">
        <v>1898</v>
      </c>
      <c r="D34" s="103" t="s">
        <v>2079</v>
      </c>
      <c r="E34" s="104">
        <v>1</v>
      </c>
      <c r="H34" s="103" t="s">
        <v>2078</v>
      </c>
      <c r="J34" s="104">
        <v>2.95</v>
      </c>
      <c r="K34" s="103" t="s">
        <v>1910</v>
      </c>
      <c r="L34" s="105"/>
      <c r="M34">
        <f t="shared" si="0"/>
        <v>2.95</v>
      </c>
      <c r="N34" s="103">
        <f t="shared" si="1"/>
        <v>31</v>
      </c>
    </row>
    <row r="35" spans="1:14" s="103" customFormat="1" hidden="1" x14ac:dyDescent="0.3">
      <c r="A35" s="102" t="s">
        <v>894</v>
      </c>
      <c r="B35" s="102" t="s">
        <v>1896</v>
      </c>
      <c r="C35" s="102" t="s">
        <v>1898</v>
      </c>
      <c r="D35" s="103" t="s">
        <v>2269</v>
      </c>
      <c r="E35" s="104">
        <v>0</v>
      </c>
      <c r="H35" s="103" t="s">
        <v>2270</v>
      </c>
      <c r="J35" s="104">
        <v>19.95</v>
      </c>
      <c r="K35" s="103" t="s">
        <v>1913</v>
      </c>
      <c r="L35" s="105"/>
      <c r="M35">
        <f t="shared" si="0"/>
        <v>0</v>
      </c>
      <c r="N35" s="103">
        <f t="shared" si="1"/>
        <v>32</v>
      </c>
    </row>
    <row r="36" spans="1:14" s="103" customFormat="1" hidden="1" x14ac:dyDescent="0.3">
      <c r="A36" s="103" t="s">
        <v>894</v>
      </c>
      <c r="B36" s="103" t="s">
        <v>1896</v>
      </c>
      <c r="C36" s="103" t="s">
        <v>1898</v>
      </c>
      <c r="D36" s="103" t="s">
        <v>2271</v>
      </c>
      <c r="E36" s="104">
        <v>0</v>
      </c>
      <c r="H36" s="102" t="s">
        <v>2272</v>
      </c>
      <c r="I36" s="105"/>
      <c r="J36" s="111">
        <v>9.9499999999999993</v>
      </c>
      <c r="K36" s="102" t="s">
        <v>1910</v>
      </c>
      <c r="L36" s="105"/>
      <c r="M36">
        <f t="shared" si="0"/>
        <v>0</v>
      </c>
      <c r="N36" s="103">
        <f t="shared" si="1"/>
        <v>33</v>
      </c>
    </row>
    <row r="37" spans="1:14" s="103" customFormat="1" x14ac:dyDescent="0.3">
      <c r="A37" s="103" t="s">
        <v>894</v>
      </c>
      <c r="B37" s="103" t="s">
        <v>1896</v>
      </c>
      <c r="C37" s="103" t="s">
        <v>8</v>
      </c>
      <c r="D37" s="103" t="s">
        <v>332</v>
      </c>
      <c r="E37" s="104">
        <v>0</v>
      </c>
      <c r="F37" s="103" t="s">
        <v>333</v>
      </c>
      <c r="G37" s="103" t="s">
        <v>334</v>
      </c>
      <c r="H37" s="102" t="s">
        <v>335</v>
      </c>
      <c r="I37" s="105">
        <v>1</v>
      </c>
      <c r="J37" s="111">
        <v>54.95</v>
      </c>
      <c r="K37" s="102" t="s">
        <v>2490</v>
      </c>
      <c r="L37" s="105"/>
      <c r="M37">
        <f t="shared" si="0"/>
        <v>0</v>
      </c>
      <c r="N37" s="103">
        <f t="shared" si="1"/>
        <v>34</v>
      </c>
    </row>
    <row r="38" spans="1:14" s="103" customFormat="1" x14ac:dyDescent="0.3">
      <c r="A38" s="103" t="s">
        <v>894</v>
      </c>
      <c r="B38" s="103" t="s">
        <v>1896</v>
      </c>
      <c r="C38" s="103" t="s">
        <v>8</v>
      </c>
      <c r="D38" s="103" t="s">
        <v>347</v>
      </c>
      <c r="E38" s="104">
        <f>FilterSpecs!$C$3</f>
        <v>5</v>
      </c>
      <c r="F38" s="103" t="s">
        <v>348</v>
      </c>
      <c r="G38" s="103" t="s">
        <v>349</v>
      </c>
      <c r="H38" s="102" t="s">
        <v>350</v>
      </c>
      <c r="I38" s="105"/>
      <c r="J38" s="111">
        <v>4.95</v>
      </c>
      <c r="K38" s="102" t="s">
        <v>1911</v>
      </c>
      <c r="L38" s="105"/>
      <c r="M38">
        <f t="shared" si="0"/>
        <v>24.75</v>
      </c>
      <c r="N38" s="103">
        <f t="shared" si="1"/>
        <v>35</v>
      </c>
    </row>
    <row r="39" spans="1:14" s="103" customFormat="1" x14ac:dyDescent="0.3">
      <c r="A39" s="103" t="s">
        <v>894</v>
      </c>
      <c r="B39" s="103" t="s">
        <v>1896</v>
      </c>
      <c r="C39" s="103" t="s">
        <v>8</v>
      </c>
      <c r="D39" s="103" t="s">
        <v>925</v>
      </c>
      <c r="E39" s="104">
        <v>1</v>
      </c>
      <c r="F39" s="103" t="s">
        <v>926</v>
      </c>
      <c r="G39" s="103" t="s">
        <v>927</v>
      </c>
      <c r="H39" s="102" t="s">
        <v>928</v>
      </c>
      <c r="I39" s="105">
        <v>1</v>
      </c>
      <c r="J39" s="111">
        <v>19.95</v>
      </c>
      <c r="K39" s="102" t="s">
        <v>1914</v>
      </c>
      <c r="L39" s="105"/>
      <c r="M39">
        <f t="shared" si="0"/>
        <v>19.95</v>
      </c>
      <c r="N39" s="103">
        <f t="shared" si="1"/>
        <v>36</v>
      </c>
    </row>
    <row r="40" spans="1:14" s="103" customFormat="1" x14ac:dyDescent="0.3">
      <c r="A40" s="102" t="s">
        <v>894</v>
      </c>
      <c r="B40" s="102" t="s">
        <v>2030</v>
      </c>
      <c r="C40" s="102" t="s">
        <v>8</v>
      </c>
      <c r="D40" s="103" t="s">
        <v>1140</v>
      </c>
      <c r="E40" s="104">
        <v>1</v>
      </c>
      <c r="F40" s="103" t="s">
        <v>1141</v>
      </c>
      <c r="G40" s="103" t="s">
        <v>1142</v>
      </c>
      <c r="H40" s="103" t="s">
        <v>1143</v>
      </c>
      <c r="I40" s="103">
        <v>1</v>
      </c>
      <c r="J40" s="104">
        <v>3.95</v>
      </c>
      <c r="K40" s="103" t="s">
        <v>1910</v>
      </c>
      <c r="L40" s="105"/>
      <c r="M40">
        <f t="shared" si="0"/>
        <v>3.95</v>
      </c>
      <c r="N40" s="103">
        <f t="shared" si="1"/>
        <v>37</v>
      </c>
    </row>
    <row r="41" spans="1:14" s="103" customFormat="1" x14ac:dyDescent="0.3">
      <c r="A41" s="102" t="s">
        <v>894</v>
      </c>
      <c r="B41" s="102" t="s">
        <v>2030</v>
      </c>
      <c r="C41" s="102" t="s">
        <v>8</v>
      </c>
      <c r="D41" s="103" t="s">
        <v>1729</v>
      </c>
      <c r="E41" s="104">
        <v>1</v>
      </c>
      <c r="F41" s="103" t="s">
        <v>1730</v>
      </c>
      <c r="G41" s="103" t="s">
        <v>1731</v>
      </c>
      <c r="H41" s="103" t="s">
        <v>1732</v>
      </c>
      <c r="I41" s="103">
        <v>1</v>
      </c>
      <c r="J41" s="104">
        <v>2.95</v>
      </c>
      <c r="K41" s="103" t="s">
        <v>1910</v>
      </c>
      <c r="L41" s="105"/>
      <c r="M41">
        <f t="shared" si="0"/>
        <v>2.95</v>
      </c>
      <c r="N41" s="103">
        <f t="shared" si="1"/>
        <v>38</v>
      </c>
    </row>
    <row r="42" spans="1:14" s="103" customFormat="1" x14ac:dyDescent="0.3">
      <c r="A42" s="102" t="s">
        <v>894</v>
      </c>
      <c r="B42" s="102" t="s">
        <v>2030</v>
      </c>
      <c r="C42" s="102" t="s">
        <v>8</v>
      </c>
      <c r="D42" s="103" t="s">
        <v>1673</v>
      </c>
      <c r="E42" s="104">
        <v>1</v>
      </c>
      <c r="F42" s="103" t="s">
        <v>1674</v>
      </c>
      <c r="G42" s="103" t="s">
        <v>1675</v>
      </c>
      <c r="H42" s="103" t="s">
        <v>1676</v>
      </c>
      <c r="J42" s="104">
        <v>3.95</v>
      </c>
      <c r="K42" s="103" t="s">
        <v>1910</v>
      </c>
      <c r="L42" s="105"/>
      <c r="M42">
        <f t="shared" si="0"/>
        <v>3.95</v>
      </c>
      <c r="N42" s="103">
        <f t="shared" si="1"/>
        <v>39</v>
      </c>
    </row>
    <row r="43" spans="1:14" s="103" customFormat="1" x14ac:dyDescent="0.3">
      <c r="A43" s="102" t="s">
        <v>894</v>
      </c>
      <c r="B43" s="102" t="s">
        <v>2030</v>
      </c>
      <c r="C43" s="102" t="s">
        <v>8</v>
      </c>
      <c r="D43" s="103" t="s">
        <v>1445</v>
      </c>
      <c r="E43" s="104">
        <f>2*FilterSpecs!$C$3</f>
        <v>10</v>
      </c>
      <c r="F43" s="103" t="s">
        <v>1446</v>
      </c>
      <c r="G43" s="103" t="s">
        <v>1447</v>
      </c>
      <c r="H43" s="103" t="s">
        <v>1448</v>
      </c>
      <c r="I43" s="103">
        <v>1</v>
      </c>
      <c r="J43" s="104">
        <v>1.95</v>
      </c>
      <c r="K43" s="103" t="s">
        <v>1911</v>
      </c>
      <c r="L43" s="105"/>
      <c r="M43">
        <f t="shared" si="0"/>
        <v>19.5</v>
      </c>
      <c r="N43" s="103">
        <f t="shared" si="1"/>
        <v>40</v>
      </c>
    </row>
    <row r="44" spans="1:14" s="103" customFormat="1" x14ac:dyDescent="0.3">
      <c r="A44" s="102" t="s">
        <v>894</v>
      </c>
      <c r="B44" s="102" t="s">
        <v>2030</v>
      </c>
      <c r="C44" s="102" t="s">
        <v>8</v>
      </c>
      <c r="D44" s="103" t="s">
        <v>1136</v>
      </c>
      <c r="E44" s="104">
        <v>2</v>
      </c>
      <c r="F44" s="103" t="s">
        <v>1137</v>
      </c>
      <c r="G44" s="103" t="s">
        <v>1138</v>
      </c>
      <c r="H44" s="103" t="s">
        <v>1139</v>
      </c>
      <c r="I44" s="103">
        <v>1</v>
      </c>
      <c r="J44" s="104">
        <v>2.95</v>
      </c>
      <c r="K44" s="103" t="s">
        <v>1910</v>
      </c>
      <c r="L44" s="105"/>
      <c r="M44">
        <f t="shared" si="0"/>
        <v>5.9</v>
      </c>
      <c r="N44" s="103">
        <f t="shared" si="1"/>
        <v>41</v>
      </c>
    </row>
    <row r="45" spans="1:14" s="103" customFormat="1" x14ac:dyDescent="0.3">
      <c r="A45" s="102" t="s">
        <v>894</v>
      </c>
      <c r="B45" s="102" t="s">
        <v>2030</v>
      </c>
      <c r="C45" s="102" t="s">
        <v>8</v>
      </c>
      <c r="D45" s="103" t="s">
        <v>1132</v>
      </c>
      <c r="E45" s="104">
        <f>FilterSpecs!$C$3</f>
        <v>5</v>
      </c>
      <c r="F45" s="103" t="s">
        <v>1133</v>
      </c>
      <c r="G45" s="103" t="s">
        <v>1134</v>
      </c>
      <c r="H45" s="103" t="s">
        <v>1135</v>
      </c>
      <c r="I45" s="103">
        <v>1</v>
      </c>
      <c r="J45" s="104">
        <v>7.95</v>
      </c>
      <c r="K45" s="103" t="s">
        <v>1911</v>
      </c>
      <c r="L45" s="105"/>
      <c r="M45">
        <f t="shared" si="0"/>
        <v>39.75</v>
      </c>
      <c r="N45" s="103">
        <f t="shared" si="1"/>
        <v>42</v>
      </c>
    </row>
    <row r="46" spans="1:14" s="103" customFormat="1" x14ac:dyDescent="0.3">
      <c r="A46" s="102" t="s">
        <v>894</v>
      </c>
      <c r="B46" s="102" t="s">
        <v>2030</v>
      </c>
      <c r="C46" s="102" t="s">
        <v>8</v>
      </c>
      <c r="D46" s="103" t="s">
        <v>120</v>
      </c>
      <c r="E46" s="104">
        <v>1</v>
      </c>
      <c r="F46" s="103" t="s">
        <v>121</v>
      </c>
      <c r="G46" s="103" t="s">
        <v>122</v>
      </c>
      <c r="H46" s="103" t="s">
        <v>123</v>
      </c>
      <c r="I46" s="103">
        <v>1</v>
      </c>
      <c r="J46" s="104">
        <v>5.95</v>
      </c>
      <c r="K46" s="103" t="s">
        <v>1910</v>
      </c>
      <c r="L46" s="105"/>
      <c r="M46">
        <f t="shared" si="0"/>
        <v>5.95</v>
      </c>
      <c r="N46" s="103">
        <f t="shared" si="1"/>
        <v>43</v>
      </c>
    </row>
    <row r="47" spans="1:14" s="103" customFormat="1" x14ac:dyDescent="0.3">
      <c r="A47" s="102" t="s">
        <v>894</v>
      </c>
      <c r="B47" s="102" t="s">
        <v>2030</v>
      </c>
      <c r="C47" s="102" t="s">
        <v>8</v>
      </c>
      <c r="D47" s="103" t="s">
        <v>124</v>
      </c>
      <c r="E47" s="104">
        <v>3</v>
      </c>
      <c r="F47" s="103" t="s">
        <v>125</v>
      </c>
      <c r="G47" s="103" t="s">
        <v>126</v>
      </c>
      <c r="H47" s="103" t="s">
        <v>127</v>
      </c>
      <c r="I47" s="103">
        <v>1</v>
      </c>
      <c r="J47" s="104">
        <v>4.95</v>
      </c>
      <c r="K47" s="103" t="s">
        <v>1910</v>
      </c>
      <c r="L47" s="105"/>
      <c r="M47">
        <f t="shared" si="0"/>
        <v>14.850000000000001</v>
      </c>
      <c r="N47" s="103">
        <f t="shared" si="1"/>
        <v>44</v>
      </c>
    </row>
    <row r="48" spans="1:14" s="103" customFormat="1" hidden="1" x14ac:dyDescent="0.3">
      <c r="A48" s="103" t="s">
        <v>894</v>
      </c>
      <c r="B48" s="103" t="s">
        <v>2030</v>
      </c>
      <c r="C48" s="103" t="s">
        <v>1898</v>
      </c>
      <c r="D48" s="103" t="s">
        <v>2344</v>
      </c>
      <c r="E48" s="104">
        <v>0</v>
      </c>
      <c r="H48" s="102" t="s">
        <v>2345</v>
      </c>
      <c r="I48" s="105"/>
      <c r="J48" s="111">
        <v>2.95</v>
      </c>
      <c r="K48" s="102" t="s">
        <v>1910</v>
      </c>
      <c r="L48" s="105"/>
      <c r="M48">
        <f t="shared" si="0"/>
        <v>0</v>
      </c>
      <c r="N48" s="103">
        <f t="shared" si="1"/>
        <v>45</v>
      </c>
    </row>
    <row r="49" spans="1:14" s="103" customFormat="1" hidden="1" x14ac:dyDescent="0.3">
      <c r="A49" s="103" t="s">
        <v>894</v>
      </c>
      <c r="B49" s="103" t="s">
        <v>2030</v>
      </c>
      <c r="C49" s="103" t="s">
        <v>1898</v>
      </c>
      <c r="D49" s="103" t="s">
        <v>2346</v>
      </c>
      <c r="E49" s="104">
        <v>0</v>
      </c>
      <c r="H49" s="102" t="s">
        <v>2347</v>
      </c>
      <c r="I49" s="105"/>
      <c r="J49" s="111">
        <v>2.5</v>
      </c>
      <c r="K49" s="102" t="s">
        <v>1910</v>
      </c>
      <c r="L49" s="105"/>
      <c r="M49">
        <f t="shared" si="0"/>
        <v>0</v>
      </c>
      <c r="N49" s="103">
        <f t="shared" si="1"/>
        <v>46</v>
      </c>
    </row>
    <row r="50" spans="1:14" s="103" customFormat="1" x14ac:dyDescent="0.3">
      <c r="A50" s="102" t="s">
        <v>894</v>
      </c>
      <c r="B50" s="102" t="s">
        <v>1616</v>
      </c>
      <c r="C50" s="102" t="s">
        <v>8</v>
      </c>
      <c r="D50" s="103" t="s">
        <v>32</v>
      </c>
      <c r="E50" s="104">
        <f>FilterSpecs!$C$3</f>
        <v>5</v>
      </c>
      <c r="F50" s="103" t="s">
        <v>33</v>
      </c>
      <c r="G50" s="103" t="s">
        <v>34</v>
      </c>
      <c r="H50" s="103" t="s">
        <v>35</v>
      </c>
      <c r="I50" s="103">
        <v>1</v>
      </c>
      <c r="J50" s="104">
        <v>45.95</v>
      </c>
      <c r="K50" s="103" t="s">
        <v>1911</v>
      </c>
      <c r="L50" s="105"/>
      <c r="M50">
        <f t="shared" si="0"/>
        <v>229.75</v>
      </c>
      <c r="N50" s="103">
        <f t="shared" si="1"/>
        <v>47</v>
      </c>
    </row>
    <row r="51" spans="1:14" s="103" customFormat="1" hidden="1" x14ac:dyDescent="0.3">
      <c r="A51" s="102" t="s">
        <v>894</v>
      </c>
      <c r="B51" s="102" t="s">
        <v>2039</v>
      </c>
      <c r="C51" s="102" t="s">
        <v>8</v>
      </c>
      <c r="D51" s="103" t="s">
        <v>791</v>
      </c>
      <c r="E51" s="104">
        <v>0</v>
      </c>
      <c r="F51" s="103" t="s">
        <v>792</v>
      </c>
      <c r="G51" s="103" t="s">
        <v>793</v>
      </c>
      <c r="H51" s="103" t="s">
        <v>794</v>
      </c>
      <c r="I51" s="103">
        <v>1</v>
      </c>
      <c r="J51" s="104">
        <v>5.95</v>
      </c>
      <c r="K51" s="103" t="s">
        <v>1911</v>
      </c>
      <c r="L51" s="105"/>
      <c r="M51">
        <f t="shared" si="0"/>
        <v>0</v>
      </c>
      <c r="N51" s="103">
        <f t="shared" si="1"/>
        <v>48</v>
      </c>
    </row>
    <row r="52" spans="1:14" s="103" customFormat="1" hidden="1" x14ac:dyDescent="0.3">
      <c r="A52" s="102" t="s">
        <v>894</v>
      </c>
      <c r="B52" s="102" t="s">
        <v>2039</v>
      </c>
      <c r="C52" s="102" t="s">
        <v>8</v>
      </c>
      <c r="D52" s="103" t="s">
        <v>1779</v>
      </c>
      <c r="E52" s="104">
        <v>0</v>
      </c>
      <c r="F52" s="103" t="s">
        <v>1780</v>
      </c>
      <c r="G52" s="103" t="s">
        <v>1781</v>
      </c>
      <c r="H52" s="103" t="s">
        <v>1782</v>
      </c>
      <c r="I52" s="103">
        <v>1</v>
      </c>
      <c r="J52" s="104">
        <v>5.95</v>
      </c>
      <c r="K52" s="103" t="s">
        <v>1910</v>
      </c>
      <c r="L52" s="105"/>
      <c r="M52">
        <f t="shared" si="0"/>
        <v>0</v>
      </c>
      <c r="N52" s="103">
        <f t="shared" si="1"/>
        <v>49</v>
      </c>
    </row>
    <row r="53" spans="1:14" s="103" customFormat="1" hidden="1" x14ac:dyDescent="0.3">
      <c r="A53" s="102" t="s">
        <v>894</v>
      </c>
      <c r="B53" s="102" t="s">
        <v>2039</v>
      </c>
      <c r="C53" s="102" t="s">
        <v>1898</v>
      </c>
      <c r="D53" s="103" t="s">
        <v>2283</v>
      </c>
      <c r="E53" s="104">
        <v>0</v>
      </c>
      <c r="H53" s="103" t="s">
        <v>2284</v>
      </c>
      <c r="J53" s="104">
        <v>7.95</v>
      </c>
      <c r="K53" s="103" t="s">
        <v>1910</v>
      </c>
      <c r="L53" s="105"/>
      <c r="M53">
        <f t="shared" si="0"/>
        <v>0</v>
      </c>
      <c r="N53" s="103">
        <f t="shared" si="1"/>
        <v>50</v>
      </c>
    </row>
    <row r="54" spans="1:14" s="103" customFormat="1" hidden="1" x14ac:dyDescent="0.3">
      <c r="A54" s="102" t="s">
        <v>894</v>
      </c>
      <c r="B54" s="102" t="s">
        <v>2039</v>
      </c>
      <c r="C54" s="102" t="s">
        <v>1898</v>
      </c>
      <c r="D54" s="103" t="s">
        <v>2285</v>
      </c>
      <c r="E54" s="104">
        <v>0</v>
      </c>
      <c r="H54" s="103" t="s">
        <v>2286</v>
      </c>
      <c r="J54" s="104">
        <v>14.95</v>
      </c>
      <c r="K54" s="103" t="s">
        <v>1910</v>
      </c>
      <c r="L54" s="105"/>
      <c r="M54">
        <f t="shared" si="0"/>
        <v>0</v>
      </c>
      <c r="N54" s="103">
        <f t="shared" si="1"/>
        <v>51</v>
      </c>
    </row>
    <row r="55" spans="1:14" s="103" customFormat="1" x14ac:dyDescent="0.3">
      <c r="A55" s="102" t="s">
        <v>894</v>
      </c>
      <c r="B55" s="102" t="s">
        <v>2043</v>
      </c>
      <c r="C55" s="102" t="s">
        <v>8</v>
      </c>
      <c r="D55" s="103" t="s">
        <v>387</v>
      </c>
      <c r="E55" s="104">
        <f>FilterSpecs!$C$3</f>
        <v>5</v>
      </c>
      <c r="F55" s="103" t="s">
        <v>388</v>
      </c>
      <c r="G55" s="103" t="s">
        <v>389</v>
      </c>
      <c r="H55" s="103" t="s">
        <v>390</v>
      </c>
      <c r="J55" s="104">
        <v>1.95</v>
      </c>
      <c r="K55" s="103" t="s">
        <v>1910</v>
      </c>
      <c r="L55" s="105"/>
      <c r="M55">
        <f t="shared" si="0"/>
        <v>9.75</v>
      </c>
      <c r="N55" s="103">
        <f t="shared" si="1"/>
        <v>52</v>
      </c>
    </row>
    <row r="56" spans="1:14" s="103" customFormat="1" x14ac:dyDescent="0.3">
      <c r="A56" s="102" t="s">
        <v>894</v>
      </c>
      <c r="B56" s="102" t="s">
        <v>2043</v>
      </c>
      <c r="C56" s="102" t="s">
        <v>8</v>
      </c>
      <c r="D56" s="103" t="s">
        <v>803</v>
      </c>
      <c r="E56" s="104">
        <f>FilterSpecs!$C$3</f>
        <v>5</v>
      </c>
      <c r="F56" s="103" t="s">
        <v>804</v>
      </c>
      <c r="G56" s="103" t="s">
        <v>805</v>
      </c>
      <c r="H56" s="103" t="s">
        <v>806</v>
      </c>
      <c r="I56" s="103">
        <v>1</v>
      </c>
      <c r="J56" s="104">
        <v>2.95</v>
      </c>
      <c r="K56" s="103" t="s">
        <v>1911</v>
      </c>
      <c r="L56" s="105"/>
      <c r="M56">
        <f t="shared" si="0"/>
        <v>14.75</v>
      </c>
      <c r="N56" s="103">
        <f t="shared" si="1"/>
        <v>53</v>
      </c>
    </row>
    <row r="57" spans="1:14" s="103" customFormat="1" x14ac:dyDescent="0.3">
      <c r="A57" s="102" t="s">
        <v>894</v>
      </c>
      <c r="B57" s="102" t="s">
        <v>2043</v>
      </c>
      <c r="C57" s="102" t="s">
        <v>8</v>
      </c>
      <c r="D57" s="103" t="s">
        <v>461</v>
      </c>
      <c r="E57" s="104">
        <f>FilterSpecs!$C$3</f>
        <v>5</v>
      </c>
      <c r="F57" s="103" t="s">
        <v>462</v>
      </c>
      <c r="G57" s="103" t="s">
        <v>463</v>
      </c>
      <c r="H57" s="103" t="s">
        <v>464</v>
      </c>
      <c r="I57" s="103">
        <v>1</v>
      </c>
      <c r="J57" s="104">
        <v>2.95</v>
      </c>
      <c r="K57" s="103" t="s">
        <v>1910</v>
      </c>
      <c r="L57" s="105"/>
      <c r="M57">
        <f t="shared" si="0"/>
        <v>14.75</v>
      </c>
      <c r="N57" s="103">
        <f t="shared" si="1"/>
        <v>54</v>
      </c>
    </row>
    <row r="58" spans="1:14" s="103" customFormat="1" x14ac:dyDescent="0.3">
      <c r="A58" s="102" t="s">
        <v>894</v>
      </c>
      <c r="B58" s="102" t="s">
        <v>2043</v>
      </c>
      <c r="C58" s="102" t="s">
        <v>8</v>
      </c>
      <c r="D58" s="103" t="s">
        <v>811</v>
      </c>
      <c r="E58" s="104">
        <f>FilterSpecs!$C$3</f>
        <v>5</v>
      </c>
      <c r="F58" s="103" t="s">
        <v>812</v>
      </c>
      <c r="G58" s="103" t="s">
        <v>813</v>
      </c>
      <c r="H58" s="103" t="s">
        <v>814</v>
      </c>
      <c r="J58" s="104">
        <v>2.5</v>
      </c>
      <c r="K58" s="107" t="s">
        <v>1911</v>
      </c>
      <c r="L58" s="105"/>
      <c r="M58">
        <f t="shared" si="0"/>
        <v>12.5</v>
      </c>
      <c r="N58" s="103">
        <f t="shared" si="1"/>
        <v>55</v>
      </c>
    </row>
    <row r="59" spans="1:14" s="103" customFormat="1" hidden="1" x14ac:dyDescent="0.3">
      <c r="A59" s="103" t="s">
        <v>894</v>
      </c>
      <c r="B59" s="103" t="s">
        <v>2043</v>
      </c>
      <c r="C59" s="103" t="s">
        <v>1898</v>
      </c>
      <c r="D59" s="103" t="s">
        <v>2273</v>
      </c>
      <c r="E59" s="104">
        <v>0</v>
      </c>
      <c r="H59" s="102" t="s">
        <v>2274</v>
      </c>
      <c r="I59" s="105"/>
      <c r="J59" s="111">
        <v>2.95</v>
      </c>
      <c r="K59" s="102" t="s">
        <v>1910</v>
      </c>
      <c r="L59" s="105"/>
      <c r="M59">
        <f t="shared" si="0"/>
        <v>0</v>
      </c>
      <c r="N59" s="103">
        <f t="shared" si="1"/>
        <v>56</v>
      </c>
    </row>
    <row r="60" spans="1:14" s="103" customFormat="1" x14ac:dyDescent="0.3">
      <c r="A60" s="103" t="s">
        <v>894</v>
      </c>
      <c r="B60" s="103" t="s">
        <v>2043</v>
      </c>
      <c r="C60" s="103" t="s">
        <v>1898</v>
      </c>
      <c r="D60" s="103" t="s">
        <v>2275</v>
      </c>
      <c r="E60" s="104">
        <v>1</v>
      </c>
      <c r="H60" s="102" t="s">
        <v>2276</v>
      </c>
      <c r="I60" s="105"/>
      <c r="J60" s="111">
        <v>2.5</v>
      </c>
      <c r="K60" s="102" t="s">
        <v>1910</v>
      </c>
      <c r="L60" s="105"/>
      <c r="M60">
        <f t="shared" si="0"/>
        <v>2.5</v>
      </c>
      <c r="N60" s="103">
        <f t="shared" si="1"/>
        <v>57</v>
      </c>
    </row>
    <row r="61" spans="1:14" s="103" customFormat="1" x14ac:dyDescent="0.3">
      <c r="A61" s="103" t="s">
        <v>894</v>
      </c>
      <c r="B61" s="103" t="s">
        <v>2043</v>
      </c>
      <c r="C61" s="103" t="s">
        <v>1898</v>
      </c>
      <c r="D61" s="103" t="s">
        <v>2277</v>
      </c>
      <c r="E61" s="104">
        <v>1</v>
      </c>
      <c r="H61" s="102" t="s">
        <v>2278</v>
      </c>
      <c r="I61" s="105"/>
      <c r="J61" s="111">
        <v>0.95</v>
      </c>
      <c r="K61" s="102" t="s">
        <v>1910</v>
      </c>
      <c r="L61" s="105"/>
      <c r="M61">
        <f t="shared" si="0"/>
        <v>0.95</v>
      </c>
      <c r="N61" s="103">
        <f t="shared" si="1"/>
        <v>58</v>
      </c>
    </row>
    <row r="62" spans="1:14" s="103" customFormat="1" x14ac:dyDescent="0.3">
      <c r="A62" s="103" t="s">
        <v>894</v>
      </c>
      <c r="B62" s="103" t="s">
        <v>2043</v>
      </c>
      <c r="C62" s="103" t="s">
        <v>1898</v>
      </c>
      <c r="D62" s="103" t="s">
        <v>2279</v>
      </c>
      <c r="E62" s="104">
        <v>1</v>
      </c>
      <c r="H62" s="102" t="s">
        <v>2280</v>
      </c>
      <c r="I62" s="105"/>
      <c r="J62" s="111">
        <v>0.95</v>
      </c>
      <c r="K62" s="102" t="s">
        <v>1910</v>
      </c>
      <c r="L62" s="105"/>
      <c r="M62">
        <f t="shared" si="0"/>
        <v>0.95</v>
      </c>
      <c r="N62" s="103">
        <f t="shared" si="1"/>
        <v>59</v>
      </c>
    </row>
    <row r="63" spans="1:14" s="103" customFormat="1" hidden="1" x14ac:dyDescent="0.3">
      <c r="A63" s="103" t="s">
        <v>894</v>
      </c>
      <c r="B63" s="103" t="s">
        <v>2045</v>
      </c>
      <c r="C63" s="103" t="s">
        <v>8</v>
      </c>
      <c r="D63" s="103" t="s">
        <v>1112</v>
      </c>
      <c r="E63" s="104">
        <v>0</v>
      </c>
      <c r="F63" s="103" t="s">
        <v>1113</v>
      </c>
      <c r="G63" s="103" t="s">
        <v>1114</v>
      </c>
      <c r="H63" s="102" t="s">
        <v>1115</v>
      </c>
      <c r="I63" s="105">
        <v>1</v>
      </c>
      <c r="J63" s="111">
        <v>5.95</v>
      </c>
      <c r="K63" s="102" t="s">
        <v>1910</v>
      </c>
      <c r="L63" s="105"/>
      <c r="M63">
        <f t="shared" si="0"/>
        <v>0</v>
      </c>
      <c r="N63" s="103">
        <f t="shared" si="1"/>
        <v>60</v>
      </c>
    </row>
    <row r="64" spans="1:14" s="103" customFormat="1" hidden="1" x14ac:dyDescent="0.3">
      <c r="A64" s="103" t="s">
        <v>894</v>
      </c>
      <c r="B64" s="103" t="s">
        <v>2045</v>
      </c>
      <c r="C64" s="103" t="s">
        <v>1898</v>
      </c>
      <c r="D64" s="103" t="s">
        <v>2314</v>
      </c>
      <c r="E64" s="104">
        <v>0</v>
      </c>
      <c r="H64" s="102" t="s">
        <v>2315</v>
      </c>
      <c r="I64" s="105"/>
      <c r="J64" s="111">
        <v>5.95</v>
      </c>
      <c r="K64" s="102" t="s">
        <v>1910</v>
      </c>
      <c r="L64" s="105"/>
      <c r="M64">
        <f t="shared" si="0"/>
        <v>0</v>
      </c>
      <c r="N64" s="103">
        <f t="shared" si="1"/>
        <v>61</v>
      </c>
    </row>
    <row r="65" spans="1:14" s="103" customFormat="1" x14ac:dyDescent="0.3">
      <c r="A65" s="103" t="s">
        <v>894</v>
      </c>
      <c r="B65" s="103" t="s">
        <v>2045</v>
      </c>
      <c r="C65" s="103" t="s">
        <v>1898</v>
      </c>
      <c r="D65" s="103" t="s">
        <v>2316</v>
      </c>
      <c r="E65" s="104">
        <f>FilterSpecs!$C$3</f>
        <v>5</v>
      </c>
      <c r="H65" s="102" t="s">
        <v>2317</v>
      </c>
      <c r="I65" s="105"/>
      <c r="J65" s="111">
        <v>6.95</v>
      </c>
      <c r="K65" s="102" t="s">
        <v>1911</v>
      </c>
      <c r="L65" s="105"/>
      <c r="M65">
        <f t="shared" si="0"/>
        <v>34.75</v>
      </c>
      <c r="N65" s="103">
        <f t="shared" si="1"/>
        <v>62</v>
      </c>
    </row>
    <row r="66" spans="1:14" s="12" customFormat="1" x14ac:dyDescent="0.3">
      <c r="A66" s="51" t="s">
        <v>894</v>
      </c>
      <c r="B66" s="51" t="s">
        <v>2036</v>
      </c>
      <c r="C66" s="51" t="s">
        <v>8</v>
      </c>
      <c r="D66" s="12" t="s">
        <v>2491</v>
      </c>
      <c r="E66" s="104">
        <f>FilterSpecs!$C$3</f>
        <v>5</v>
      </c>
      <c r="F66" s="12" t="s">
        <v>2492</v>
      </c>
      <c r="G66" s="12" t="s">
        <v>2493</v>
      </c>
      <c r="H66" s="12" t="s">
        <v>2494</v>
      </c>
      <c r="I66" s="12">
        <v>1</v>
      </c>
      <c r="J66" s="89">
        <v>3.95</v>
      </c>
      <c r="K66" s="12" t="s">
        <v>1911</v>
      </c>
      <c r="M66">
        <f t="shared" si="0"/>
        <v>19.75</v>
      </c>
      <c r="N66" s="12">
        <f t="shared" si="1"/>
        <v>63</v>
      </c>
    </row>
    <row r="67" spans="1:14" s="12" customFormat="1" x14ac:dyDescent="0.3">
      <c r="A67" s="51" t="s">
        <v>894</v>
      </c>
      <c r="B67" s="51" t="s">
        <v>2036</v>
      </c>
      <c r="C67" s="51" t="s">
        <v>8</v>
      </c>
      <c r="D67" s="12" t="s">
        <v>2495</v>
      </c>
      <c r="E67" s="104">
        <f>FilterSpecs!$C$3</f>
        <v>5</v>
      </c>
      <c r="F67" s="12" t="s">
        <v>2496</v>
      </c>
      <c r="G67" s="12" t="s">
        <v>2497</v>
      </c>
      <c r="H67" s="12" t="s">
        <v>2498</v>
      </c>
      <c r="I67" s="12">
        <v>1</v>
      </c>
      <c r="J67" s="89">
        <v>3.95</v>
      </c>
      <c r="K67" s="12" t="s">
        <v>1911</v>
      </c>
      <c r="M67">
        <f t="shared" si="0"/>
        <v>19.75</v>
      </c>
      <c r="N67" s="12">
        <f t="shared" si="1"/>
        <v>64</v>
      </c>
    </row>
    <row r="68" spans="1:14" s="12" customFormat="1" hidden="1" x14ac:dyDescent="0.3">
      <c r="A68" s="51" t="s">
        <v>894</v>
      </c>
      <c r="B68" s="51" t="s">
        <v>2036</v>
      </c>
      <c r="C68" s="51" t="s">
        <v>8</v>
      </c>
      <c r="D68" s="12" t="s">
        <v>2499</v>
      </c>
      <c r="E68" s="12">
        <v>0</v>
      </c>
      <c r="F68" s="12" t="s">
        <v>2500</v>
      </c>
      <c r="G68" s="12" t="s">
        <v>2501</v>
      </c>
      <c r="H68" s="12" t="s">
        <v>2502</v>
      </c>
      <c r="I68" s="12">
        <v>1</v>
      </c>
      <c r="J68" s="89">
        <v>1.95</v>
      </c>
      <c r="K68" s="12" t="s">
        <v>1911</v>
      </c>
      <c r="M68">
        <f t="shared" ref="M68:M132" si="2">E68*J68</f>
        <v>0</v>
      </c>
      <c r="N68" s="12">
        <f t="shared" ref="N68:N132" si="3">IF($N67="List #",1,$N67+1)</f>
        <v>65</v>
      </c>
    </row>
    <row r="69" spans="1:14" s="12" customFormat="1" x14ac:dyDescent="0.3">
      <c r="A69" s="51" t="s">
        <v>894</v>
      </c>
      <c r="B69" s="51" t="s">
        <v>2036</v>
      </c>
      <c r="C69" s="51" t="s">
        <v>8</v>
      </c>
      <c r="D69" s="12" t="s">
        <v>2503</v>
      </c>
      <c r="E69" s="12">
        <v>1</v>
      </c>
      <c r="F69" s="12" t="s">
        <v>2504</v>
      </c>
      <c r="G69" s="12" t="s">
        <v>2505</v>
      </c>
      <c r="H69" s="12" t="s">
        <v>2506</v>
      </c>
      <c r="I69" s="12">
        <v>1</v>
      </c>
      <c r="J69" s="89">
        <v>2.95</v>
      </c>
      <c r="K69" s="12" t="s">
        <v>1910</v>
      </c>
      <c r="M69">
        <f t="shared" si="2"/>
        <v>2.95</v>
      </c>
      <c r="N69" s="12">
        <f t="shared" si="3"/>
        <v>66</v>
      </c>
    </row>
    <row r="70" spans="1:14" s="12" customFormat="1" x14ac:dyDescent="0.3">
      <c r="A70" s="51" t="s">
        <v>894</v>
      </c>
      <c r="B70" s="51" t="s">
        <v>2036</v>
      </c>
      <c r="C70" s="51" t="s">
        <v>8</v>
      </c>
      <c r="D70" s="12" t="s">
        <v>1507</v>
      </c>
      <c r="E70" s="104">
        <f>FilterSpecs!$C$3</f>
        <v>5</v>
      </c>
      <c r="F70" s="12" t="s">
        <v>1508</v>
      </c>
      <c r="G70" s="12" t="s">
        <v>1509</v>
      </c>
      <c r="H70" s="12" t="s">
        <v>1510</v>
      </c>
      <c r="I70" s="12">
        <v>1</v>
      </c>
      <c r="J70" s="89">
        <v>4.95</v>
      </c>
      <c r="K70" s="12" t="s">
        <v>1911</v>
      </c>
      <c r="M70">
        <f t="shared" si="2"/>
        <v>24.75</v>
      </c>
      <c r="N70" s="12">
        <f t="shared" si="3"/>
        <v>67</v>
      </c>
    </row>
    <row r="71" spans="1:14" s="12" customFormat="1" hidden="1" x14ac:dyDescent="0.3">
      <c r="A71" s="51" t="s">
        <v>894</v>
      </c>
      <c r="B71" s="51" t="s">
        <v>2036</v>
      </c>
      <c r="C71" s="51" t="s">
        <v>8</v>
      </c>
      <c r="D71" s="12" t="s">
        <v>1511</v>
      </c>
      <c r="E71" s="89">
        <v>0</v>
      </c>
      <c r="F71" s="12" t="s">
        <v>1512</v>
      </c>
      <c r="G71" s="12" t="s">
        <v>1513</v>
      </c>
      <c r="H71" s="12" t="s">
        <v>1514</v>
      </c>
      <c r="I71" s="12">
        <v>1</v>
      </c>
      <c r="J71" s="89">
        <v>1.95</v>
      </c>
      <c r="K71" s="12" t="s">
        <v>1913</v>
      </c>
      <c r="M71">
        <f t="shared" si="2"/>
        <v>0</v>
      </c>
      <c r="N71" s="12">
        <f t="shared" si="3"/>
        <v>68</v>
      </c>
    </row>
    <row r="72" spans="1:14" s="103" customFormat="1" x14ac:dyDescent="0.3">
      <c r="A72" s="103" t="s">
        <v>894</v>
      </c>
      <c r="B72" s="103" t="s">
        <v>2036</v>
      </c>
      <c r="C72" s="103" t="s">
        <v>8</v>
      </c>
      <c r="D72" s="103" t="s">
        <v>248</v>
      </c>
      <c r="E72" s="104">
        <v>1</v>
      </c>
      <c r="F72" s="103" t="s">
        <v>249</v>
      </c>
      <c r="G72" s="103" t="s">
        <v>250</v>
      </c>
      <c r="H72" s="102" t="s">
        <v>251</v>
      </c>
      <c r="I72" s="105">
        <v>1</v>
      </c>
      <c r="J72" s="111">
        <v>4.95</v>
      </c>
      <c r="K72" s="102" t="s">
        <v>1910</v>
      </c>
      <c r="L72" s="105"/>
      <c r="M72">
        <f t="shared" si="2"/>
        <v>4.95</v>
      </c>
      <c r="N72" s="103">
        <f t="shared" si="3"/>
        <v>69</v>
      </c>
    </row>
    <row r="73" spans="1:14" s="103" customFormat="1" hidden="1" x14ac:dyDescent="0.3">
      <c r="A73" s="103" t="s">
        <v>894</v>
      </c>
      <c r="B73" s="103" t="s">
        <v>2064</v>
      </c>
      <c r="C73" s="103" t="s">
        <v>1898</v>
      </c>
      <c r="D73" s="103" t="s">
        <v>2301</v>
      </c>
      <c r="E73" s="104">
        <v>0</v>
      </c>
      <c r="H73" s="102" t="s">
        <v>2302</v>
      </c>
      <c r="I73" s="105"/>
      <c r="J73" s="111">
        <v>1.95</v>
      </c>
      <c r="K73" s="102" t="s">
        <v>1910</v>
      </c>
      <c r="L73" s="105"/>
      <c r="M73">
        <f t="shared" si="2"/>
        <v>0</v>
      </c>
      <c r="N73" s="103">
        <f t="shared" si="3"/>
        <v>70</v>
      </c>
    </row>
    <row r="74" spans="1:14" s="103" customFormat="1" hidden="1" x14ac:dyDescent="0.3">
      <c r="A74" s="103" t="s">
        <v>894</v>
      </c>
      <c r="B74" s="103" t="s">
        <v>2064</v>
      </c>
      <c r="C74" s="103" t="s">
        <v>1898</v>
      </c>
      <c r="D74" s="103" t="s">
        <v>2303</v>
      </c>
      <c r="E74" s="104">
        <v>0</v>
      </c>
      <c r="H74" s="102" t="s">
        <v>2304</v>
      </c>
      <c r="I74" s="105"/>
      <c r="J74" s="111">
        <v>2.95</v>
      </c>
      <c r="K74" s="102" t="s">
        <v>1910</v>
      </c>
      <c r="L74" s="105"/>
      <c r="M74">
        <f t="shared" si="2"/>
        <v>0</v>
      </c>
      <c r="N74" s="103">
        <f t="shared" si="3"/>
        <v>71</v>
      </c>
    </row>
    <row r="75" spans="1:14" s="103" customFormat="1" x14ac:dyDescent="0.3">
      <c r="A75" s="103" t="s">
        <v>894</v>
      </c>
      <c r="B75" s="103" t="s">
        <v>2064</v>
      </c>
      <c r="C75" s="103" t="s">
        <v>1898</v>
      </c>
      <c r="D75" s="103" t="s">
        <v>2305</v>
      </c>
      <c r="E75" s="104">
        <v>2</v>
      </c>
      <c r="H75" s="102" t="s">
        <v>2306</v>
      </c>
      <c r="I75" s="105"/>
      <c r="J75" s="111">
        <v>6.5</v>
      </c>
      <c r="K75" s="102" t="s">
        <v>1910</v>
      </c>
      <c r="L75" s="105"/>
      <c r="M75">
        <f t="shared" si="2"/>
        <v>13</v>
      </c>
      <c r="N75" s="103">
        <f t="shared" si="3"/>
        <v>72</v>
      </c>
    </row>
    <row r="76" spans="1:14" s="103" customFormat="1" hidden="1" x14ac:dyDescent="0.3">
      <c r="A76" s="103" t="s">
        <v>894</v>
      </c>
      <c r="B76" s="103" t="s">
        <v>2064</v>
      </c>
      <c r="C76" s="103" t="s">
        <v>1898</v>
      </c>
      <c r="D76" s="103" t="s">
        <v>2307</v>
      </c>
      <c r="E76" s="104">
        <v>0</v>
      </c>
      <c r="H76" s="102" t="s">
        <v>2308</v>
      </c>
      <c r="I76" s="105"/>
      <c r="J76" s="111">
        <v>6.5</v>
      </c>
      <c r="K76" s="102" t="s">
        <v>1910</v>
      </c>
      <c r="L76" s="105"/>
      <c r="M76">
        <f t="shared" si="2"/>
        <v>0</v>
      </c>
      <c r="N76" s="103">
        <f t="shared" si="3"/>
        <v>73</v>
      </c>
    </row>
    <row r="77" spans="1:14" s="103" customFormat="1" hidden="1" x14ac:dyDescent="0.3">
      <c r="A77" s="103" t="s">
        <v>894</v>
      </c>
      <c r="B77" s="103" t="s">
        <v>2064</v>
      </c>
      <c r="C77" s="103" t="s">
        <v>1898</v>
      </c>
      <c r="D77" s="103" t="s">
        <v>2309</v>
      </c>
      <c r="E77" s="104">
        <v>0</v>
      </c>
      <c r="H77" s="102" t="s">
        <v>2310</v>
      </c>
      <c r="I77" s="105"/>
      <c r="J77" s="111">
        <v>2.75</v>
      </c>
      <c r="K77" s="102" t="s">
        <v>1910</v>
      </c>
      <c r="L77" s="105"/>
      <c r="M77">
        <f t="shared" si="2"/>
        <v>0</v>
      </c>
      <c r="N77" s="103">
        <f t="shared" si="3"/>
        <v>74</v>
      </c>
    </row>
    <row r="78" spans="1:14" s="103" customFormat="1" x14ac:dyDescent="0.3">
      <c r="A78" s="103" t="s">
        <v>894</v>
      </c>
      <c r="B78" s="103" t="s">
        <v>2064</v>
      </c>
      <c r="C78" s="103" t="s">
        <v>1898</v>
      </c>
      <c r="D78" s="103" t="s">
        <v>2312</v>
      </c>
      <c r="E78" s="104">
        <f>FilterSpecs!$C$3</f>
        <v>5</v>
      </c>
      <c r="H78" s="102" t="s">
        <v>2313</v>
      </c>
      <c r="I78" s="105"/>
      <c r="J78" s="111">
        <v>1.95</v>
      </c>
      <c r="K78" s="102" t="s">
        <v>1911</v>
      </c>
      <c r="L78" s="105"/>
      <c r="M78">
        <f t="shared" si="2"/>
        <v>9.75</v>
      </c>
      <c r="N78" s="103">
        <f t="shared" si="3"/>
        <v>75</v>
      </c>
    </row>
    <row r="79" spans="1:14" s="103" customFormat="1" x14ac:dyDescent="0.3">
      <c r="A79" s="103" t="s">
        <v>894</v>
      </c>
      <c r="B79" s="103" t="s">
        <v>2040</v>
      </c>
      <c r="C79" s="103" t="s">
        <v>8</v>
      </c>
      <c r="D79" s="103" t="s">
        <v>36</v>
      </c>
      <c r="E79" s="104">
        <f>FilterSpecs!$C$3</f>
        <v>5</v>
      </c>
      <c r="F79" s="103" t="s">
        <v>37</v>
      </c>
      <c r="G79" s="103" t="s">
        <v>38</v>
      </c>
      <c r="H79" s="102" t="s">
        <v>39</v>
      </c>
      <c r="I79" s="105">
        <v>1</v>
      </c>
      <c r="J79" s="111">
        <v>29.95</v>
      </c>
      <c r="K79" s="102" t="s">
        <v>1911</v>
      </c>
      <c r="L79" s="105"/>
      <c r="M79">
        <f t="shared" si="2"/>
        <v>149.75</v>
      </c>
      <c r="N79" s="103">
        <f t="shared" si="3"/>
        <v>76</v>
      </c>
    </row>
    <row r="80" spans="1:14" s="103" customFormat="1" x14ac:dyDescent="0.3">
      <c r="A80" s="103" t="s">
        <v>894</v>
      </c>
      <c r="B80" s="103" t="s">
        <v>2040</v>
      </c>
      <c r="C80" s="103" t="s">
        <v>8</v>
      </c>
      <c r="D80" s="103" t="s">
        <v>40</v>
      </c>
      <c r="E80" s="104">
        <f>FilterSpecs!$C$3</f>
        <v>5</v>
      </c>
      <c r="F80" s="103" t="s">
        <v>41</v>
      </c>
      <c r="G80" s="103" t="s">
        <v>42</v>
      </c>
      <c r="H80" s="102" t="s">
        <v>43</v>
      </c>
      <c r="I80" s="105">
        <v>1</v>
      </c>
      <c r="J80" s="111">
        <v>14.95</v>
      </c>
      <c r="K80" s="102" t="s">
        <v>1911</v>
      </c>
      <c r="L80" s="105"/>
      <c r="M80">
        <f t="shared" si="2"/>
        <v>74.75</v>
      </c>
      <c r="N80" s="103">
        <f t="shared" si="3"/>
        <v>77</v>
      </c>
    </row>
    <row r="81" spans="1:14" s="103" customFormat="1" x14ac:dyDescent="0.3">
      <c r="A81" s="103" t="s">
        <v>894</v>
      </c>
      <c r="B81" s="103" t="s">
        <v>2040</v>
      </c>
      <c r="C81" s="103" t="s">
        <v>8</v>
      </c>
      <c r="D81" s="103" t="s">
        <v>48</v>
      </c>
      <c r="E81" s="104">
        <v>1</v>
      </c>
      <c r="F81" s="103" t="s">
        <v>49</v>
      </c>
      <c r="G81" s="103" t="s">
        <v>50</v>
      </c>
      <c r="H81" s="102" t="s">
        <v>51</v>
      </c>
      <c r="I81" s="105">
        <v>1</v>
      </c>
      <c r="J81" s="111">
        <v>19.95</v>
      </c>
      <c r="K81" s="102" t="s">
        <v>1910</v>
      </c>
      <c r="L81" s="105"/>
      <c r="M81">
        <f t="shared" si="2"/>
        <v>19.95</v>
      </c>
      <c r="N81" s="103">
        <f t="shared" si="3"/>
        <v>78</v>
      </c>
    </row>
    <row r="82" spans="1:14" s="103" customFormat="1" x14ac:dyDescent="0.3">
      <c r="A82" s="103" t="s">
        <v>894</v>
      </c>
      <c r="B82" s="103" t="s">
        <v>2040</v>
      </c>
      <c r="C82" s="103" t="s">
        <v>8</v>
      </c>
      <c r="D82" s="103" t="s">
        <v>52</v>
      </c>
      <c r="E82" s="104">
        <f>FilterSpecs!$C$3</f>
        <v>5</v>
      </c>
      <c r="F82" s="103" t="s">
        <v>53</v>
      </c>
      <c r="G82" s="103" t="s">
        <v>54</v>
      </c>
      <c r="H82" s="102" t="s">
        <v>55</v>
      </c>
      <c r="I82" s="105">
        <v>1</v>
      </c>
      <c r="J82" s="111">
        <v>29.95</v>
      </c>
      <c r="K82" s="102" t="s">
        <v>1910</v>
      </c>
      <c r="L82" s="105"/>
      <c r="M82">
        <f t="shared" si="2"/>
        <v>149.75</v>
      </c>
      <c r="N82" s="103">
        <f t="shared" si="3"/>
        <v>79</v>
      </c>
    </row>
    <row r="83" spans="1:14" s="103" customFormat="1" x14ac:dyDescent="0.3">
      <c r="A83" s="103" t="s">
        <v>894</v>
      </c>
      <c r="B83" s="103" t="s">
        <v>2040</v>
      </c>
      <c r="C83" s="103" t="s">
        <v>8</v>
      </c>
      <c r="D83" s="103" t="s">
        <v>795</v>
      </c>
      <c r="E83" s="104">
        <v>2</v>
      </c>
      <c r="F83" s="103" t="s">
        <v>796</v>
      </c>
      <c r="G83" s="103" t="s">
        <v>797</v>
      </c>
      <c r="H83" s="102" t="s">
        <v>798</v>
      </c>
      <c r="I83" s="105">
        <v>1</v>
      </c>
      <c r="J83" s="111">
        <v>12.95</v>
      </c>
      <c r="K83" s="102" t="s">
        <v>1910</v>
      </c>
      <c r="L83" s="105"/>
      <c r="M83">
        <f t="shared" si="2"/>
        <v>25.9</v>
      </c>
      <c r="N83" s="103">
        <f t="shared" si="3"/>
        <v>80</v>
      </c>
    </row>
    <row r="84" spans="1:14" s="103" customFormat="1" x14ac:dyDescent="0.3">
      <c r="A84" s="103" t="s">
        <v>894</v>
      </c>
      <c r="B84" s="103" t="s">
        <v>2034</v>
      </c>
      <c r="C84" s="103" t="s">
        <v>8</v>
      </c>
      <c r="D84" s="103" t="s">
        <v>44</v>
      </c>
      <c r="E84" s="104">
        <f>FilterSpecs!$C$3</f>
        <v>5</v>
      </c>
      <c r="F84" s="103" t="s">
        <v>45</v>
      </c>
      <c r="G84" s="103" t="s">
        <v>46</v>
      </c>
      <c r="H84" s="102" t="s">
        <v>47</v>
      </c>
      <c r="I84" s="105">
        <v>1</v>
      </c>
      <c r="J84" s="111">
        <v>9.9499999999999993</v>
      </c>
      <c r="K84" s="102" t="s">
        <v>1911</v>
      </c>
      <c r="L84" s="105"/>
      <c r="M84">
        <f t="shared" si="2"/>
        <v>49.75</v>
      </c>
      <c r="N84" s="103">
        <f t="shared" si="3"/>
        <v>81</v>
      </c>
    </row>
    <row r="85" spans="1:14" s="103" customFormat="1" x14ac:dyDescent="0.3">
      <c r="A85" s="103" t="s">
        <v>894</v>
      </c>
      <c r="B85" s="103" t="s">
        <v>2034</v>
      </c>
      <c r="C85" s="103" t="s">
        <v>8</v>
      </c>
      <c r="D85" s="103" t="s">
        <v>1205</v>
      </c>
      <c r="E85" s="104">
        <v>2</v>
      </c>
      <c r="F85" s="103" t="s">
        <v>1206</v>
      </c>
      <c r="G85" s="103" t="s">
        <v>1207</v>
      </c>
      <c r="H85" s="102" t="s">
        <v>1208</v>
      </c>
      <c r="I85" s="105">
        <v>1</v>
      </c>
      <c r="J85" s="111">
        <v>9.9499999999999993</v>
      </c>
      <c r="K85" s="102" t="s">
        <v>1913</v>
      </c>
      <c r="L85" s="105"/>
      <c r="M85">
        <f t="shared" si="2"/>
        <v>19.899999999999999</v>
      </c>
      <c r="N85" s="103">
        <f t="shared" si="3"/>
        <v>82</v>
      </c>
    </row>
    <row r="86" spans="1:14" s="103" customFormat="1" hidden="1" x14ac:dyDescent="0.3">
      <c r="A86" s="102" t="s">
        <v>894</v>
      </c>
      <c r="B86" s="103" t="s">
        <v>2034</v>
      </c>
      <c r="C86" s="103" t="s">
        <v>1898</v>
      </c>
      <c r="D86" s="103" t="s">
        <v>2287</v>
      </c>
      <c r="E86" s="104">
        <v>0</v>
      </c>
      <c r="H86" s="102" t="s">
        <v>2288</v>
      </c>
      <c r="I86" s="105"/>
      <c r="J86" s="111">
        <v>14.95</v>
      </c>
      <c r="K86" s="102" t="s">
        <v>1910</v>
      </c>
      <c r="L86" s="105"/>
      <c r="M86">
        <f t="shared" si="2"/>
        <v>0</v>
      </c>
      <c r="N86" s="103">
        <f t="shared" si="3"/>
        <v>83</v>
      </c>
    </row>
    <row r="87" spans="1:14" s="103" customFormat="1" x14ac:dyDescent="0.3">
      <c r="A87" s="102" t="s">
        <v>894</v>
      </c>
      <c r="B87" s="103" t="s">
        <v>2034</v>
      </c>
      <c r="C87" s="103" t="s">
        <v>8</v>
      </c>
      <c r="D87" s="103" t="s">
        <v>571</v>
      </c>
      <c r="E87" s="104">
        <f>FilterSpecs!$C$3+1</f>
        <v>6</v>
      </c>
      <c r="F87" s="103" t="s">
        <v>572</v>
      </c>
      <c r="G87" s="103" t="s">
        <v>573</v>
      </c>
      <c r="H87" s="102" t="s">
        <v>574</v>
      </c>
      <c r="I87" s="105"/>
      <c r="J87" s="111">
        <v>0.95</v>
      </c>
      <c r="K87" s="102" t="s">
        <v>1911</v>
      </c>
      <c r="L87" s="105"/>
      <c r="M87">
        <f t="shared" si="2"/>
        <v>5.6999999999999993</v>
      </c>
      <c r="N87" s="103">
        <f t="shared" si="3"/>
        <v>84</v>
      </c>
    </row>
    <row r="88" spans="1:14" s="103" customFormat="1" hidden="1" x14ac:dyDescent="0.3">
      <c r="A88" s="102" t="s">
        <v>894</v>
      </c>
      <c r="B88" s="103" t="s">
        <v>2034</v>
      </c>
      <c r="C88" s="103" t="s">
        <v>1898</v>
      </c>
      <c r="D88" s="103" t="s">
        <v>2221</v>
      </c>
      <c r="E88" s="104">
        <v>0</v>
      </c>
      <c r="H88" s="102" t="s">
        <v>2222</v>
      </c>
      <c r="I88" s="105"/>
      <c r="J88" s="111">
        <v>0.95</v>
      </c>
      <c r="K88" s="102" t="s">
        <v>1910</v>
      </c>
      <c r="L88" s="105"/>
      <c r="M88">
        <f t="shared" si="2"/>
        <v>0</v>
      </c>
      <c r="N88" s="103">
        <f t="shared" si="3"/>
        <v>85</v>
      </c>
    </row>
    <row r="89" spans="1:14" s="103" customFormat="1" x14ac:dyDescent="0.3">
      <c r="A89" s="102" t="s">
        <v>894</v>
      </c>
      <c r="B89" s="82" t="s">
        <v>2035</v>
      </c>
      <c r="C89" s="102" t="s">
        <v>8</v>
      </c>
      <c r="D89" s="103" t="s">
        <v>807</v>
      </c>
      <c r="E89" s="104">
        <f>FilterSpecs!$C$3</f>
        <v>5</v>
      </c>
      <c r="F89" s="103" t="s">
        <v>808</v>
      </c>
      <c r="G89" s="103" t="s">
        <v>809</v>
      </c>
      <c r="H89" s="103" t="s">
        <v>810</v>
      </c>
      <c r="I89" s="103">
        <v>1</v>
      </c>
      <c r="J89" s="104">
        <v>6.95</v>
      </c>
      <c r="K89" s="103" t="s">
        <v>1911</v>
      </c>
      <c r="L89" s="105"/>
      <c r="M89">
        <f t="shared" si="2"/>
        <v>34.75</v>
      </c>
      <c r="N89" s="103">
        <f t="shared" si="3"/>
        <v>86</v>
      </c>
    </row>
    <row r="90" spans="1:14" s="103" customFormat="1" hidden="1" x14ac:dyDescent="0.3">
      <c r="A90" s="102" t="s">
        <v>894</v>
      </c>
      <c r="B90" s="51" t="s">
        <v>2035</v>
      </c>
      <c r="C90" s="102" t="s">
        <v>1898</v>
      </c>
      <c r="D90" s="103" t="s">
        <v>2281</v>
      </c>
      <c r="E90" s="104">
        <v>0</v>
      </c>
      <c r="H90" s="103" t="s">
        <v>2282</v>
      </c>
      <c r="J90" s="104">
        <v>2.5</v>
      </c>
      <c r="K90" s="103" t="s">
        <v>1910</v>
      </c>
      <c r="L90" s="105"/>
      <c r="M90">
        <f t="shared" si="2"/>
        <v>0</v>
      </c>
      <c r="N90" s="103">
        <f t="shared" si="3"/>
        <v>87</v>
      </c>
    </row>
    <row r="91" spans="1:14" s="103" customFormat="1" x14ac:dyDescent="0.3">
      <c r="A91" s="102" t="s">
        <v>894</v>
      </c>
      <c r="B91" s="102" t="s">
        <v>2037</v>
      </c>
      <c r="C91" s="102" t="s">
        <v>1898</v>
      </c>
      <c r="D91" s="103" t="s">
        <v>2089</v>
      </c>
      <c r="E91" s="104">
        <f>FilterSpecs!$C$3+1</f>
        <v>6</v>
      </c>
      <c r="H91" s="103" t="s">
        <v>2088</v>
      </c>
      <c r="J91" s="104">
        <v>2.5</v>
      </c>
      <c r="K91" s="103" t="s">
        <v>1911</v>
      </c>
      <c r="L91" s="105"/>
      <c r="M91">
        <f t="shared" si="2"/>
        <v>15</v>
      </c>
      <c r="N91" s="103">
        <f t="shared" si="3"/>
        <v>88</v>
      </c>
    </row>
    <row r="92" spans="1:14" s="103" customFormat="1" hidden="1" x14ac:dyDescent="0.3">
      <c r="A92" s="102" t="s">
        <v>894</v>
      </c>
      <c r="B92" s="102" t="s">
        <v>2037</v>
      </c>
      <c r="C92" s="102" t="s">
        <v>8</v>
      </c>
      <c r="D92" s="103" t="s">
        <v>1027</v>
      </c>
      <c r="E92" s="104">
        <v>0</v>
      </c>
      <c r="F92" s="103" t="s">
        <v>1028</v>
      </c>
      <c r="G92" s="103" t="s">
        <v>1029</v>
      </c>
      <c r="H92" s="103" t="s">
        <v>1030</v>
      </c>
      <c r="J92" s="104">
        <v>2.95</v>
      </c>
      <c r="K92" s="103" t="s">
        <v>1912</v>
      </c>
      <c r="M92">
        <f t="shared" si="2"/>
        <v>0</v>
      </c>
      <c r="N92" s="103">
        <f t="shared" si="3"/>
        <v>89</v>
      </c>
    </row>
    <row r="93" spans="1:14" s="103" customFormat="1" hidden="1" x14ac:dyDescent="0.3">
      <c r="A93" s="102" t="s">
        <v>894</v>
      </c>
      <c r="B93" s="102" t="s">
        <v>2037</v>
      </c>
      <c r="C93" s="102" t="s">
        <v>8</v>
      </c>
      <c r="D93" s="103" t="s">
        <v>815</v>
      </c>
      <c r="E93" s="104">
        <v>0</v>
      </c>
      <c r="F93" s="103" t="s">
        <v>816</v>
      </c>
      <c r="G93" s="103" t="s">
        <v>817</v>
      </c>
      <c r="H93" s="103" t="s">
        <v>818</v>
      </c>
      <c r="J93" s="104">
        <v>2.95</v>
      </c>
      <c r="K93" s="103" t="s">
        <v>1912</v>
      </c>
      <c r="M93">
        <f t="shared" si="2"/>
        <v>0</v>
      </c>
      <c r="N93" s="103">
        <f t="shared" si="3"/>
        <v>90</v>
      </c>
    </row>
    <row r="94" spans="1:14" s="103" customFormat="1" hidden="1" x14ac:dyDescent="0.3">
      <c r="A94" s="102" t="s">
        <v>894</v>
      </c>
      <c r="B94" s="102" t="s">
        <v>2037</v>
      </c>
      <c r="C94" s="102" t="s">
        <v>1898</v>
      </c>
      <c r="D94" s="103" t="s">
        <v>2223</v>
      </c>
      <c r="E94" s="104">
        <v>0</v>
      </c>
      <c r="H94" s="103" t="s">
        <v>2224</v>
      </c>
      <c r="J94" s="104">
        <v>2</v>
      </c>
      <c r="K94" s="103" t="s">
        <v>1910</v>
      </c>
      <c r="M94">
        <f t="shared" si="2"/>
        <v>0</v>
      </c>
      <c r="N94" s="103">
        <f t="shared" si="3"/>
        <v>91</v>
      </c>
    </row>
    <row r="95" spans="1:14" s="103" customFormat="1" hidden="1" x14ac:dyDescent="0.3">
      <c r="A95" s="102" t="s">
        <v>894</v>
      </c>
      <c r="B95" s="102" t="s">
        <v>2037</v>
      </c>
      <c r="C95" s="102" t="s">
        <v>1898</v>
      </c>
      <c r="D95" s="103" t="s">
        <v>2225</v>
      </c>
      <c r="E95" s="104">
        <v>0</v>
      </c>
      <c r="H95" s="103" t="s">
        <v>2226</v>
      </c>
      <c r="J95" s="104">
        <v>2</v>
      </c>
      <c r="K95" s="103" t="s">
        <v>1910</v>
      </c>
      <c r="M95">
        <f t="shared" si="2"/>
        <v>0</v>
      </c>
      <c r="N95" s="103">
        <f t="shared" si="3"/>
        <v>92</v>
      </c>
    </row>
    <row r="96" spans="1:14" s="103" customFormat="1" x14ac:dyDescent="0.3">
      <c r="A96" s="102" t="s">
        <v>894</v>
      </c>
      <c r="B96" s="102" t="s">
        <v>2037</v>
      </c>
      <c r="C96" s="102" t="s">
        <v>8</v>
      </c>
      <c r="D96" s="103" t="s">
        <v>965</v>
      </c>
      <c r="E96" s="104">
        <v>2</v>
      </c>
      <c r="F96" s="103" t="s">
        <v>966</v>
      </c>
      <c r="G96" s="103" t="s">
        <v>967</v>
      </c>
      <c r="H96" s="103" t="s">
        <v>968</v>
      </c>
      <c r="I96" s="103">
        <v>1</v>
      </c>
      <c r="J96" s="104">
        <v>0.95</v>
      </c>
      <c r="K96" s="103" t="s">
        <v>1911</v>
      </c>
      <c r="M96">
        <f t="shared" si="2"/>
        <v>1.9</v>
      </c>
      <c r="N96" s="103">
        <f t="shared" si="3"/>
        <v>93</v>
      </c>
    </row>
    <row r="97" spans="1:14" s="103" customFormat="1" x14ac:dyDescent="0.3">
      <c r="A97" s="102" t="s">
        <v>894</v>
      </c>
      <c r="B97" s="103" t="s">
        <v>2037</v>
      </c>
      <c r="C97" s="103" t="s">
        <v>8</v>
      </c>
      <c r="D97" s="103" t="s">
        <v>1023</v>
      </c>
      <c r="E97" s="104">
        <f>FilterSpecs!$C$3+1</f>
        <v>6</v>
      </c>
      <c r="F97" s="103" t="s">
        <v>1024</v>
      </c>
      <c r="G97" s="103" t="s">
        <v>1025</v>
      </c>
      <c r="H97" s="102" t="s">
        <v>1026</v>
      </c>
      <c r="I97" s="105">
        <v>1</v>
      </c>
      <c r="J97" s="111">
        <v>0.95</v>
      </c>
      <c r="K97" s="102" t="s">
        <v>1911</v>
      </c>
      <c r="L97" s="105"/>
      <c r="M97">
        <f t="shared" si="2"/>
        <v>5.6999999999999993</v>
      </c>
      <c r="N97" s="103">
        <f t="shared" si="3"/>
        <v>94</v>
      </c>
    </row>
    <row r="98" spans="1:14" s="103" customFormat="1" x14ac:dyDescent="0.3">
      <c r="A98" s="102" t="s">
        <v>894</v>
      </c>
      <c r="B98" s="103" t="s">
        <v>2037</v>
      </c>
      <c r="C98" s="103" t="s">
        <v>8</v>
      </c>
      <c r="D98" s="103" t="s">
        <v>2422</v>
      </c>
      <c r="E98" s="104">
        <v>4</v>
      </c>
      <c r="F98" s="103" t="s">
        <v>2423</v>
      </c>
      <c r="G98" s="103" t="s">
        <v>2424</v>
      </c>
      <c r="H98" s="102" t="s">
        <v>2425</v>
      </c>
      <c r="I98" s="105">
        <v>1</v>
      </c>
      <c r="J98" s="111">
        <v>0.3</v>
      </c>
      <c r="K98" s="102" t="s">
        <v>1910</v>
      </c>
      <c r="L98" s="105"/>
      <c r="M98">
        <f t="shared" si="2"/>
        <v>1.2</v>
      </c>
      <c r="N98" s="103">
        <f t="shared" si="3"/>
        <v>95</v>
      </c>
    </row>
    <row r="99" spans="1:14" s="103" customFormat="1" hidden="1" x14ac:dyDescent="0.3">
      <c r="A99" s="103" t="s">
        <v>894</v>
      </c>
      <c r="B99" s="103" t="s">
        <v>2037</v>
      </c>
      <c r="C99" s="103" t="s">
        <v>1898</v>
      </c>
      <c r="D99" s="103" t="s">
        <v>2289</v>
      </c>
      <c r="E99" s="104">
        <v>0</v>
      </c>
      <c r="H99" s="102" t="s">
        <v>2290</v>
      </c>
      <c r="I99" s="105"/>
      <c r="J99" s="111">
        <v>0.95</v>
      </c>
      <c r="K99" s="102" t="s">
        <v>1910</v>
      </c>
      <c r="L99" s="105"/>
      <c r="M99">
        <f t="shared" si="2"/>
        <v>0</v>
      </c>
      <c r="N99" s="103">
        <f t="shared" si="3"/>
        <v>96</v>
      </c>
    </row>
    <row r="100" spans="1:14" s="103" customFormat="1" hidden="1" x14ac:dyDescent="0.3">
      <c r="A100" s="102" t="s">
        <v>894</v>
      </c>
      <c r="B100" s="102" t="s">
        <v>2037</v>
      </c>
      <c r="C100" s="102" t="s">
        <v>1898</v>
      </c>
      <c r="D100" s="103" t="s">
        <v>2291</v>
      </c>
      <c r="E100" s="104">
        <v>0</v>
      </c>
      <c r="H100" s="103" t="s">
        <v>2292</v>
      </c>
      <c r="J100" s="104">
        <v>0.95</v>
      </c>
      <c r="K100" s="107" t="s">
        <v>1910</v>
      </c>
      <c r="M100">
        <f t="shared" si="2"/>
        <v>0</v>
      </c>
      <c r="N100" s="103">
        <f t="shared" si="3"/>
        <v>97</v>
      </c>
    </row>
    <row r="101" spans="1:14" s="103" customFormat="1" hidden="1" x14ac:dyDescent="0.3">
      <c r="A101" s="102" t="s">
        <v>894</v>
      </c>
      <c r="B101" s="102" t="s">
        <v>2037</v>
      </c>
      <c r="C101" s="102" t="s">
        <v>1898</v>
      </c>
      <c r="D101" s="103" t="s">
        <v>2293</v>
      </c>
      <c r="E101" s="104">
        <v>0</v>
      </c>
      <c r="H101" s="103" t="s">
        <v>2294</v>
      </c>
      <c r="J101" s="104">
        <v>0.95</v>
      </c>
      <c r="K101" s="107" t="s">
        <v>1910</v>
      </c>
      <c r="M101">
        <f t="shared" si="2"/>
        <v>0</v>
      </c>
      <c r="N101" s="103">
        <f t="shared" si="3"/>
        <v>98</v>
      </c>
    </row>
    <row r="102" spans="1:14" s="103" customFormat="1" hidden="1" x14ac:dyDescent="0.3">
      <c r="A102" s="102" t="s">
        <v>894</v>
      </c>
      <c r="B102" s="102" t="s">
        <v>2037</v>
      </c>
      <c r="C102" s="102" t="s">
        <v>1898</v>
      </c>
      <c r="D102" s="103" t="s">
        <v>2295</v>
      </c>
      <c r="E102" s="104">
        <v>0</v>
      </c>
      <c r="H102" s="103" t="s">
        <v>2296</v>
      </c>
      <c r="J102" s="104">
        <v>0.95</v>
      </c>
      <c r="K102" s="107" t="s">
        <v>1910</v>
      </c>
      <c r="M102">
        <f t="shared" si="2"/>
        <v>0</v>
      </c>
      <c r="N102" s="103">
        <f t="shared" si="3"/>
        <v>99</v>
      </c>
    </row>
    <row r="103" spans="1:14" s="103" customFormat="1" hidden="1" x14ac:dyDescent="0.3">
      <c r="A103" s="102" t="s">
        <v>894</v>
      </c>
      <c r="B103" s="102" t="s">
        <v>2037</v>
      </c>
      <c r="C103" s="102" t="s">
        <v>1898</v>
      </c>
      <c r="D103" s="103" t="s">
        <v>2297</v>
      </c>
      <c r="E103" s="104">
        <v>0</v>
      </c>
      <c r="H103" s="103" t="s">
        <v>2298</v>
      </c>
      <c r="J103" s="104">
        <v>0.95</v>
      </c>
      <c r="K103" s="107" t="s">
        <v>1910</v>
      </c>
      <c r="M103">
        <f t="shared" si="2"/>
        <v>0</v>
      </c>
      <c r="N103" s="103">
        <f t="shared" si="3"/>
        <v>100</v>
      </c>
    </row>
    <row r="104" spans="1:14" s="103" customFormat="1" hidden="1" x14ac:dyDescent="0.3">
      <c r="A104" s="102" t="s">
        <v>894</v>
      </c>
      <c r="B104" s="102" t="s">
        <v>2037</v>
      </c>
      <c r="C104" s="102" t="s">
        <v>1898</v>
      </c>
      <c r="D104" s="103" t="s">
        <v>2299</v>
      </c>
      <c r="E104" s="104">
        <v>0</v>
      </c>
      <c r="H104" s="103" t="s">
        <v>2300</v>
      </c>
      <c r="J104" s="104">
        <v>0.95</v>
      </c>
      <c r="K104" s="107" t="s">
        <v>1910</v>
      </c>
      <c r="M104">
        <f t="shared" si="2"/>
        <v>0</v>
      </c>
      <c r="N104" s="103">
        <f t="shared" si="3"/>
        <v>101</v>
      </c>
    </row>
    <row r="105" spans="1:14" s="103" customFormat="1" x14ac:dyDescent="0.3">
      <c r="A105" s="102" t="s">
        <v>894</v>
      </c>
      <c r="B105" s="102" t="s">
        <v>14</v>
      </c>
      <c r="C105" s="102" t="s">
        <v>8</v>
      </c>
      <c r="D105" s="103" t="s">
        <v>72</v>
      </c>
      <c r="E105" s="104">
        <f>FilterSpecs!$C$3</f>
        <v>5</v>
      </c>
      <c r="F105" s="103" t="s">
        <v>73</v>
      </c>
      <c r="G105" s="103" t="s">
        <v>74</v>
      </c>
      <c r="H105" s="103" t="s">
        <v>75</v>
      </c>
      <c r="I105" s="103">
        <v>1</v>
      </c>
      <c r="J105" s="104">
        <v>0.95</v>
      </c>
      <c r="K105" s="103" t="s">
        <v>1911</v>
      </c>
      <c r="L105" s="105"/>
      <c r="M105">
        <f t="shared" si="2"/>
        <v>4.75</v>
      </c>
      <c r="N105" s="103">
        <f t="shared" si="3"/>
        <v>102</v>
      </c>
    </row>
    <row r="106" spans="1:14" s="103" customFormat="1" x14ac:dyDescent="0.3">
      <c r="A106" s="102" t="s">
        <v>894</v>
      </c>
      <c r="B106" s="102" t="s">
        <v>14</v>
      </c>
      <c r="C106" s="102" t="s">
        <v>8</v>
      </c>
      <c r="D106" s="103" t="s">
        <v>76</v>
      </c>
      <c r="E106" s="104">
        <f>4*FilterSpecs!$C$3</f>
        <v>20</v>
      </c>
      <c r="F106" s="103" t="s">
        <v>77</v>
      </c>
      <c r="G106" s="103" t="s">
        <v>78</v>
      </c>
      <c r="H106" s="103" t="s">
        <v>79</v>
      </c>
      <c r="I106" s="103">
        <v>1</v>
      </c>
      <c r="J106" s="104">
        <v>1.95</v>
      </c>
      <c r="K106" s="103" t="s">
        <v>1911</v>
      </c>
      <c r="L106" s="105"/>
      <c r="M106">
        <f t="shared" si="2"/>
        <v>39</v>
      </c>
      <c r="N106" s="103">
        <f t="shared" si="3"/>
        <v>103</v>
      </c>
    </row>
    <row r="107" spans="1:14" s="103" customFormat="1" x14ac:dyDescent="0.3">
      <c r="A107" s="102" t="s">
        <v>894</v>
      </c>
      <c r="B107" s="102" t="s">
        <v>14</v>
      </c>
      <c r="C107" s="102" t="s">
        <v>8</v>
      </c>
      <c r="D107" s="103" t="s">
        <v>80</v>
      </c>
      <c r="E107" s="104">
        <f>FilterSpecs!$C$3</f>
        <v>5</v>
      </c>
      <c r="F107" s="103" t="s">
        <v>81</v>
      </c>
      <c r="G107" s="103" t="s">
        <v>82</v>
      </c>
      <c r="H107" s="103" t="s">
        <v>83</v>
      </c>
      <c r="J107" s="104">
        <v>14.95</v>
      </c>
      <c r="K107" s="116" t="s">
        <v>1911</v>
      </c>
      <c r="L107" s="105"/>
      <c r="M107">
        <f t="shared" si="2"/>
        <v>74.75</v>
      </c>
      <c r="N107" s="103">
        <f t="shared" si="3"/>
        <v>104</v>
      </c>
    </row>
    <row r="108" spans="1:14" s="103" customFormat="1" x14ac:dyDescent="0.3">
      <c r="A108" s="102" t="s">
        <v>894</v>
      </c>
      <c r="B108" s="102" t="s">
        <v>14</v>
      </c>
      <c r="C108" s="102" t="s">
        <v>8</v>
      </c>
      <c r="D108" s="103" t="s">
        <v>84</v>
      </c>
      <c r="E108" s="104">
        <f>2*FilterSpecs!$C$3</f>
        <v>10</v>
      </c>
      <c r="F108" s="103" t="s">
        <v>85</v>
      </c>
      <c r="G108" s="103" t="s">
        <v>86</v>
      </c>
      <c r="H108" s="103" t="s">
        <v>87</v>
      </c>
      <c r="I108" s="103">
        <v>1</v>
      </c>
      <c r="J108" s="104">
        <v>3.95</v>
      </c>
      <c r="K108" s="103" t="s">
        <v>1911</v>
      </c>
      <c r="L108" s="105"/>
      <c r="M108">
        <f t="shared" si="2"/>
        <v>39.5</v>
      </c>
      <c r="N108" s="103">
        <f t="shared" si="3"/>
        <v>105</v>
      </c>
    </row>
    <row r="109" spans="1:14" s="103" customFormat="1" hidden="1" x14ac:dyDescent="0.3">
      <c r="A109" s="102" t="s">
        <v>894</v>
      </c>
      <c r="B109" s="102" t="s">
        <v>14</v>
      </c>
      <c r="C109" s="102" t="s">
        <v>8</v>
      </c>
      <c r="D109" s="103" t="s">
        <v>88</v>
      </c>
      <c r="E109" s="104">
        <v>0</v>
      </c>
      <c r="F109" s="103" t="s">
        <v>89</v>
      </c>
      <c r="G109" s="103" t="s">
        <v>90</v>
      </c>
      <c r="H109" s="103" t="s">
        <v>91</v>
      </c>
      <c r="I109" s="103">
        <v>1</v>
      </c>
      <c r="J109" s="104">
        <v>24.95</v>
      </c>
      <c r="K109" s="103" t="s">
        <v>1911</v>
      </c>
      <c r="L109" s="105"/>
      <c r="M109">
        <f t="shared" si="2"/>
        <v>0</v>
      </c>
      <c r="N109" s="103">
        <f t="shared" si="3"/>
        <v>106</v>
      </c>
    </row>
    <row r="110" spans="1:14" s="103" customFormat="1" x14ac:dyDescent="0.3">
      <c r="A110" s="102" t="s">
        <v>894</v>
      </c>
      <c r="B110" s="102" t="s">
        <v>14</v>
      </c>
      <c r="C110" s="102" t="s">
        <v>8</v>
      </c>
      <c r="D110" s="103" t="s">
        <v>92</v>
      </c>
      <c r="E110" s="104">
        <f>FilterSpecs!$C$3</f>
        <v>5</v>
      </c>
      <c r="F110" s="103" t="s">
        <v>93</v>
      </c>
      <c r="G110" s="103" t="s">
        <v>94</v>
      </c>
      <c r="H110" s="103" t="s">
        <v>95</v>
      </c>
      <c r="J110" s="104">
        <v>24.95</v>
      </c>
      <c r="K110" s="103" t="s">
        <v>1911</v>
      </c>
      <c r="L110" s="105"/>
      <c r="M110">
        <f t="shared" si="2"/>
        <v>124.75</v>
      </c>
      <c r="N110" s="103">
        <f t="shared" si="3"/>
        <v>107</v>
      </c>
    </row>
    <row r="111" spans="1:14" s="103" customFormat="1" hidden="1" x14ac:dyDescent="0.3">
      <c r="A111" s="102" t="s">
        <v>894</v>
      </c>
      <c r="B111" s="102" t="s">
        <v>14</v>
      </c>
      <c r="C111" s="102" t="s">
        <v>8</v>
      </c>
      <c r="D111" s="103" t="s">
        <v>96</v>
      </c>
      <c r="E111" s="104">
        <v>0</v>
      </c>
      <c r="F111" s="103" t="s">
        <v>97</v>
      </c>
      <c r="G111" s="103" t="s">
        <v>98</v>
      </c>
      <c r="H111" s="103" t="s">
        <v>99</v>
      </c>
      <c r="I111" s="103">
        <v>1</v>
      </c>
      <c r="J111" s="104">
        <v>14.95</v>
      </c>
      <c r="K111" s="103" t="s">
        <v>1911</v>
      </c>
      <c r="L111" s="105"/>
      <c r="M111">
        <f t="shared" si="2"/>
        <v>0</v>
      </c>
      <c r="N111" s="103">
        <f t="shared" si="3"/>
        <v>108</v>
      </c>
    </row>
    <row r="112" spans="1:14" s="103" customFormat="1" x14ac:dyDescent="0.3">
      <c r="A112" s="102" t="s">
        <v>894</v>
      </c>
      <c r="B112" s="102" t="s">
        <v>14</v>
      </c>
      <c r="C112" s="102" t="s">
        <v>8</v>
      </c>
      <c r="D112" s="103" t="s">
        <v>100</v>
      </c>
      <c r="E112" s="104">
        <v>3</v>
      </c>
      <c r="F112" s="103" t="s">
        <v>101</v>
      </c>
      <c r="G112" s="103" t="s">
        <v>102</v>
      </c>
      <c r="H112" s="103" t="s">
        <v>103</v>
      </c>
      <c r="I112" s="103">
        <v>1</v>
      </c>
      <c r="J112" s="104">
        <v>19.95</v>
      </c>
      <c r="K112" s="103" t="s">
        <v>2487</v>
      </c>
      <c r="L112" s="105"/>
      <c r="M112">
        <f t="shared" si="2"/>
        <v>59.849999999999994</v>
      </c>
      <c r="N112" s="103">
        <f t="shared" si="3"/>
        <v>109</v>
      </c>
    </row>
    <row r="113" spans="1:14" s="12" customFormat="1" hidden="1" x14ac:dyDescent="0.3">
      <c r="A113" s="51" t="s">
        <v>894</v>
      </c>
      <c r="B113" s="51" t="s">
        <v>14</v>
      </c>
      <c r="C113" s="51" t="s">
        <v>8</v>
      </c>
      <c r="D113" s="12" t="s">
        <v>104</v>
      </c>
      <c r="E113" s="89">
        <v>0</v>
      </c>
      <c r="F113" s="12" t="s">
        <v>105</v>
      </c>
      <c r="G113" s="12" t="s">
        <v>106</v>
      </c>
      <c r="H113" s="12" t="s">
        <v>107</v>
      </c>
      <c r="I113" s="12">
        <v>1</v>
      </c>
      <c r="J113" s="89">
        <v>13.95</v>
      </c>
      <c r="K113" s="12" t="s">
        <v>1911</v>
      </c>
      <c r="L113"/>
      <c r="M113">
        <f t="shared" si="2"/>
        <v>0</v>
      </c>
      <c r="N113" s="12">
        <f t="shared" si="3"/>
        <v>110</v>
      </c>
    </row>
    <row r="114" spans="1:14" s="12" customFormat="1" hidden="1" x14ac:dyDescent="0.3">
      <c r="A114" s="51" t="s">
        <v>894</v>
      </c>
      <c r="B114" s="51" t="s">
        <v>14</v>
      </c>
      <c r="C114" s="51" t="s">
        <v>8</v>
      </c>
      <c r="D114" s="12" t="s">
        <v>1092</v>
      </c>
      <c r="E114" s="89">
        <v>0</v>
      </c>
      <c r="F114" s="12" t="s">
        <v>1093</v>
      </c>
      <c r="G114" s="12" t="s">
        <v>1094</v>
      </c>
      <c r="H114" s="12" t="s">
        <v>1095</v>
      </c>
      <c r="I114" s="12">
        <v>1</v>
      </c>
      <c r="J114" s="89">
        <v>1.5</v>
      </c>
      <c r="K114" s="12" t="s">
        <v>1911</v>
      </c>
      <c r="L114"/>
      <c r="M114">
        <f t="shared" si="2"/>
        <v>0</v>
      </c>
      <c r="N114" s="12">
        <f t="shared" si="3"/>
        <v>111</v>
      </c>
    </row>
    <row r="115" spans="1:14" s="12" customFormat="1" hidden="1" x14ac:dyDescent="0.3">
      <c r="A115" s="12" t="s">
        <v>894</v>
      </c>
      <c r="B115" s="12" t="s">
        <v>14</v>
      </c>
      <c r="C115" s="12" t="s">
        <v>1898</v>
      </c>
      <c r="D115" s="12" t="s">
        <v>2318</v>
      </c>
      <c r="E115" s="89">
        <v>0</v>
      </c>
      <c r="H115" s="51" t="s">
        <v>2319</v>
      </c>
      <c r="I115"/>
      <c r="J115" s="95">
        <v>39.950000000000003</v>
      </c>
      <c r="K115" s="51" t="s">
        <v>1910</v>
      </c>
      <c r="L115"/>
      <c r="M115">
        <f t="shared" si="2"/>
        <v>0</v>
      </c>
      <c r="N115" s="12">
        <f t="shared" si="3"/>
        <v>112</v>
      </c>
    </row>
    <row r="116" spans="1:14" s="12" customFormat="1" x14ac:dyDescent="0.3">
      <c r="A116" s="12" t="s">
        <v>894</v>
      </c>
      <c r="B116" s="12" t="s">
        <v>14</v>
      </c>
      <c r="C116" s="12" t="s">
        <v>1898</v>
      </c>
      <c r="D116" s="12" t="s">
        <v>2320</v>
      </c>
      <c r="E116" s="104">
        <f>2*FilterSpecs!$C$3</f>
        <v>10</v>
      </c>
      <c r="H116" s="51" t="s">
        <v>2321</v>
      </c>
      <c r="I116"/>
      <c r="J116" s="95">
        <v>14.95</v>
      </c>
      <c r="K116" s="51" t="s">
        <v>1911</v>
      </c>
      <c r="L116"/>
      <c r="M116">
        <f t="shared" si="2"/>
        <v>149.5</v>
      </c>
      <c r="N116" s="12">
        <f t="shared" si="3"/>
        <v>113</v>
      </c>
    </row>
    <row r="117" spans="1:14" s="12" customFormat="1" hidden="1" x14ac:dyDescent="0.3">
      <c r="A117" s="12" t="s">
        <v>894</v>
      </c>
      <c r="B117" s="12" t="s">
        <v>14</v>
      </c>
      <c r="C117" s="12" t="s">
        <v>1898</v>
      </c>
      <c r="D117" s="12" t="s">
        <v>2322</v>
      </c>
      <c r="E117" s="89">
        <v>0</v>
      </c>
      <c r="H117" s="51" t="s">
        <v>2323</v>
      </c>
      <c r="I117"/>
      <c r="J117" s="95">
        <v>13.95</v>
      </c>
      <c r="K117" s="51" t="s">
        <v>1910</v>
      </c>
      <c r="L117"/>
      <c r="M117">
        <f t="shared" si="2"/>
        <v>0</v>
      </c>
      <c r="N117" s="12">
        <f t="shared" si="3"/>
        <v>114</v>
      </c>
    </row>
    <row r="118" spans="1:14" s="12" customFormat="1" hidden="1" x14ac:dyDescent="0.3">
      <c r="A118" s="12" t="s">
        <v>894</v>
      </c>
      <c r="B118" s="12" t="s">
        <v>14</v>
      </c>
      <c r="C118" s="12" t="s">
        <v>1898</v>
      </c>
      <c r="D118" s="12" t="s">
        <v>2324</v>
      </c>
      <c r="E118" s="89">
        <v>0</v>
      </c>
      <c r="H118" s="51" t="s">
        <v>2325</v>
      </c>
      <c r="I118"/>
      <c r="J118" s="95">
        <v>24.95</v>
      </c>
      <c r="K118" s="51" t="s">
        <v>1910</v>
      </c>
      <c r="L118"/>
      <c r="M118">
        <f t="shared" si="2"/>
        <v>0</v>
      </c>
      <c r="N118" s="12">
        <f t="shared" si="3"/>
        <v>115</v>
      </c>
    </row>
    <row r="119" spans="1:14" s="12" customFormat="1" hidden="1" x14ac:dyDescent="0.3">
      <c r="A119" s="12" t="s">
        <v>894</v>
      </c>
      <c r="B119" s="12" t="s">
        <v>14</v>
      </c>
      <c r="C119" s="12" t="s">
        <v>1898</v>
      </c>
      <c r="D119" s="12" t="s">
        <v>2326</v>
      </c>
      <c r="E119" s="89">
        <v>0</v>
      </c>
      <c r="H119" s="51" t="s">
        <v>2327</v>
      </c>
      <c r="I119"/>
      <c r="J119" s="95">
        <v>14.95</v>
      </c>
      <c r="K119" s="51" t="s">
        <v>1910</v>
      </c>
      <c r="L119"/>
      <c r="M119">
        <f t="shared" si="2"/>
        <v>0</v>
      </c>
      <c r="N119" s="12">
        <f t="shared" si="3"/>
        <v>116</v>
      </c>
    </row>
    <row r="120" spans="1:14" s="12" customFormat="1" hidden="1" x14ac:dyDescent="0.3">
      <c r="A120" s="12" t="s">
        <v>894</v>
      </c>
      <c r="B120" s="12" t="s">
        <v>14</v>
      </c>
      <c r="C120" s="12" t="s">
        <v>1898</v>
      </c>
      <c r="D120" s="12" t="s">
        <v>2328</v>
      </c>
      <c r="E120" s="89">
        <v>0</v>
      </c>
      <c r="H120" s="51" t="s">
        <v>2329</v>
      </c>
      <c r="I120"/>
      <c r="J120" s="95">
        <v>15.95</v>
      </c>
      <c r="K120" s="51" t="s">
        <v>1910</v>
      </c>
      <c r="L120"/>
      <c r="M120">
        <f t="shared" si="2"/>
        <v>0</v>
      </c>
      <c r="N120" s="12">
        <f t="shared" si="3"/>
        <v>117</v>
      </c>
    </row>
    <row r="121" spans="1:14" s="103" customFormat="1" x14ac:dyDescent="0.3">
      <c r="A121" s="106" t="s">
        <v>894</v>
      </c>
      <c r="B121" s="106" t="s">
        <v>14</v>
      </c>
      <c r="C121" s="106" t="s">
        <v>2552</v>
      </c>
      <c r="D121" s="106" t="s">
        <v>2551</v>
      </c>
      <c r="E121" s="104">
        <f>FilterSpecs!$C$3</f>
        <v>5</v>
      </c>
      <c r="H121" s="107" t="s">
        <v>2553</v>
      </c>
      <c r="I121" s="105"/>
      <c r="J121" s="102">
        <v>18.13</v>
      </c>
      <c r="K121" s="107" t="s">
        <v>1911</v>
      </c>
      <c r="L121" s="105"/>
      <c r="M121" s="105">
        <f t="shared" si="2"/>
        <v>90.649999999999991</v>
      </c>
      <c r="N121" s="12">
        <f t="shared" si="3"/>
        <v>118</v>
      </c>
    </row>
    <row r="122" spans="1:14" s="103" customFormat="1" x14ac:dyDescent="0.3">
      <c r="A122" s="103" t="s">
        <v>894</v>
      </c>
      <c r="B122" s="103" t="s">
        <v>15</v>
      </c>
      <c r="C122" s="103" t="s">
        <v>8</v>
      </c>
      <c r="D122" s="103" t="s">
        <v>108</v>
      </c>
      <c r="E122" s="104">
        <f>FilterSpecs!$C$3</f>
        <v>5</v>
      </c>
      <c r="F122" s="103" t="s">
        <v>109</v>
      </c>
      <c r="G122" s="103" t="s">
        <v>110</v>
      </c>
      <c r="H122" s="102" t="s">
        <v>111</v>
      </c>
      <c r="I122" s="105">
        <v>1</v>
      </c>
      <c r="J122" s="111">
        <v>2.95</v>
      </c>
      <c r="K122" s="102" t="s">
        <v>1911</v>
      </c>
      <c r="L122" s="105"/>
      <c r="M122">
        <f t="shared" si="2"/>
        <v>14.75</v>
      </c>
      <c r="N122" s="103">
        <f>IF($N120="List #",1,$N120+1)</f>
        <v>118</v>
      </c>
    </row>
    <row r="123" spans="1:14" s="103" customFormat="1" hidden="1" x14ac:dyDescent="0.3">
      <c r="A123" s="103" t="s">
        <v>894</v>
      </c>
      <c r="B123" s="103" t="s">
        <v>15</v>
      </c>
      <c r="C123" s="103" t="s">
        <v>8</v>
      </c>
      <c r="D123" s="103" t="s">
        <v>1338</v>
      </c>
      <c r="E123" s="104">
        <v>0</v>
      </c>
      <c r="F123" s="103" t="s">
        <v>1339</v>
      </c>
      <c r="G123" s="103" t="s">
        <v>1340</v>
      </c>
      <c r="H123" s="102" t="s">
        <v>1341</v>
      </c>
      <c r="I123" s="105">
        <v>1</v>
      </c>
      <c r="J123" s="111">
        <v>2.95</v>
      </c>
      <c r="K123" s="102" t="s">
        <v>1910</v>
      </c>
      <c r="L123" s="105"/>
      <c r="M123">
        <f t="shared" si="2"/>
        <v>0</v>
      </c>
      <c r="N123" s="103">
        <f t="shared" si="3"/>
        <v>119</v>
      </c>
    </row>
    <row r="124" spans="1:14" s="103" customFormat="1" hidden="1" x14ac:dyDescent="0.3">
      <c r="A124" s="103" t="s">
        <v>894</v>
      </c>
      <c r="B124" s="103" t="s">
        <v>15</v>
      </c>
      <c r="C124" s="103" t="s">
        <v>8</v>
      </c>
      <c r="D124" s="103" t="s">
        <v>1342</v>
      </c>
      <c r="E124" s="104">
        <v>0</v>
      </c>
      <c r="F124" s="103" t="s">
        <v>1343</v>
      </c>
      <c r="G124" s="103" t="s">
        <v>1344</v>
      </c>
      <c r="H124" s="102" t="s">
        <v>1345</v>
      </c>
      <c r="I124" s="105">
        <v>1</v>
      </c>
      <c r="J124" s="111">
        <v>2.95</v>
      </c>
      <c r="K124" s="102" t="s">
        <v>1910</v>
      </c>
      <c r="L124" s="105"/>
      <c r="M124">
        <f t="shared" si="2"/>
        <v>0</v>
      </c>
      <c r="N124" s="103">
        <f t="shared" si="3"/>
        <v>120</v>
      </c>
    </row>
    <row r="125" spans="1:14" s="103" customFormat="1" hidden="1" x14ac:dyDescent="0.3">
      <c r="A125" s="103" t="s">
        <v>894</v>
      </c>
      <c r="B125" s="103" t="s">
        <v>15</v>
      </c>
      <c r="C125" s="103" t="s">
        <v>8</v>
      </c>
      <c r="D125" s="103" t="s">
        <v>1346</v>
      </c>
      <c r="E125" s="104">
        <v>0</v>
      </c>
      <c r="F125" s="103" t="s">
        <v>1347</v>
      </c>
      <c r="G125" s="103" t="s">
        <v>1348</v>
      </c>
      <c r="H125" s="102" t="s">
        <v>1349</v>
      </c>
      <c r="I125" s="105">
        <v>1</v>
      </c>
      <c r="J125" s="111">
        <v>2.95</v>
      </c>
      <c r="K125" s="102" t="s">
        <v>1910</v>
      </c>
      <c r="L125" s="105"/>
      <c r="M125">
        <f t="shared" si="2"/>
        <v>0</v>
      </c>
      <c r="N125" s="103">
        <f t="shared" si="3"/>
        <v>121</v>
      </c>
    </row>
    <row r="126" spans="1:14" s="103" customFormat="1" hidden="1" x14ac:dyDescent="0.3">
      <c r="A126" s="103" t="s">
        <v>894</v>
      </c>
      <c r="B126" s="103" t="s">
        <v>15</v>
      </c>
      <c r="C126" s="103" t="s">
        <v>1898</v>
      </c>
      <c r="D126" s="103" t="s">
        <v>2332</v>
      </c>
      <c r="E126" s="104">
        <v>0</v>
      </c>
      <c r="H126" s="102" t="s">
        <v>2333</v>
      </c>
      <c r="I126" s="105"/>
      <c r="J126" s="111">
        <v>17.95</v>
      </c>
      <c r="K126" s="102" t="s">
        <v>1910</v>
      </c>
      <c r="L126" s="105"/>
      <c r="M126">
        <f t="shared" si="2"/>
        <v>0</v>
      </c>
      <c r="N126" s="103">
        <f t="shared" si="3"/>
        <v>122</v>
      </c>
    </row>
    <row r="127" spans="1:14" s="103" customFormat="1" hidden="1" x14ac:dyDescent="0.3">
      <c r="A127" s="103" t="s">
        <v>894</v>
      </c>
      <c r="B127" s="103" t="s">
        <v>15</v>
      </c>
      <c r="C127" s="103" t="s">
        <v>8</v>
      </c>
      <c r="D127" s="103" t="s">
        <v>1429</v>
      </c>
      <c r="E127" s="104">
        <v>0</v>
      </c>
      <c r="F127" s="103" t="s">
        <v>1430</v>
      </c>
      <c r="G127" s="103" t="s">
        <v>1431</v>
      </c>
      <c r="H127" s="102" t="s">
        <v>1432</v>
      </c>
      <c r="I127" s="105">
        <v>1</v>
      </c>
      <c r="J127" s="111">
        <v>20.95</v>
      </c>
      <c r="K127" s="102" t="s">
        <v>1910</v>
      </c>
      <c r="L127" s="105"/>
      <c r="M127">
        <f t="shared" si="2"/>
        <v>0</v>
      </c>
      <c r="N127" s="103">
        <f t="shared" si="3"/>
        <v>123</v>
      </c>
    </row>
    <row r="128" spans="1:14" s="103" customFormat="1" hidden="1" x14ac:dyDescent="0.3">
      <c r="A128" s="102" t="s">
        <v>894</v>
      </c>
      <c r="B128" s="102" t="s">
        <v>15</v>
      </c>
      <c r="C128" s="102" t="s">
        <v>8</v>
      </c>
      <c r="D128" s="103" t="s">
        <v>1433</v>
      </c>
      <c r="E128" s="104">
        <v>0</v>
      </c>
      <c r="F128" s="103" t="s">
        <v>1434</v>
      </c>
      <c r="G128" s="103" t="s">
        <v>1435</v>
      </c>
      <c r="H128" s="103" t="s">
        <v>1436</v>
      </c>
      <c r="I128" s="103">
        <v>1</v>
      </c>
      <c r="J128" s="104">
        <v>5.95</v>
      </c>
      <c r="K128" s="103" t="s">
        <v>1910</v>
      </c>
      <c r="L128" s="105"/>
      <c r="M128">
        <f t="shared" si="2"/>
        <v>0</v>
      </c>
      <c r="N128" s="103">
        <f t="shared" si="3"/>
        <v>124</v>
      </c>
    </row>
    <row r="129" spans="1:14" s="103" customFormat="1" hidden="1" x14ac:dyDescent="0.3">
      <c r="A129" s="102" t="s">
        <v>894</v>
      </c>
      <c r="B129" s="102" t="s">
        <v>15</v>
      </c>
      <c r="C129" s="102" t="s">
        <v>8</v>
      </c>
      <c r="D129" s="103" t="s">
        <v>675</v>
      </c>
      <c r="E129" s="104">
        <v>0</v>
      </c>
      <c r="F129" s="103" t="s">
        <v>676</v>
      </c>
      <c r="G129" s="103" t="s">
        <v>677</v>
      </c>
      <c r="H129" s="103" t="s">
        <v>678</v>
      </c>
      <c r="I129" s="103">
        <v>1</v>
      </c>
      <c r="J129" s="104">
        <v>9.9499999999999993</v>
      </c>
      <c r="K129" s="103" t="s">
        <v>1910</v>
      </c>
      <c r="L129" s="105"/>
      <c r="M129">
        <f t="shared" si="2"/>
        <v>0</v>
      </c>
      <c r="N129" s="103">
        <f t="shared" si="3"/>
        <v>125</v>
      </c>
    </row>
    <row r="130" spans="1:14" s="103" customFormat="1" x14ac:dyDescent="0.3">
      <c r="A130" s="102" t="s">
        <v>894</v>
      </c>
      <c r="B130" s="102" t="s">
        <v>15</v>
      </c>
      <c r="C130" s="102" t="s">
        <v>1898</v>
      </c>
      <c r="D130" s="103" t="s">
        <v>2338</v>
      </c>
      <c r="E130" s="104">
        <v>4</v>
      </c>
      <c r="H130" s="103" t="s">
        <v>2339</v>
      </c>
      <c r="J130" s="104">
        <v>7.95</v>
      </c>
      <c r="K130" s="103" t="s">
        <v>1910</v>
      </c>
      <c r="L130" s="105"/>
      <c r="M130">
        <f t="shared" si="2"/>
        <v>31.8</v>
      </c>
      <c r="N130" s="103">
        <f t="shared" si="3"/>
        <v>126</v>
      </c>
    </row>
    <row r="131" spans="1:14" s="103" customFormat="1" hidden="1" x14ac:dyDescent="0.3">
      <c r="A131" s="102" t="s">
        <v>894</v>
      </c>
      <c r="B131" s="102" t="s">
        <v>15</v>
      </c>
      <c r="C131" s="102" t="s">
        <v>8</v>
      </c>
      <c r="D131" s="103" t="s">
        <v>1421</v>
      </c>
      <c r="E131" s="104">
        <v>0</v>
      </c>
      <c r="F131" s="103" t="s">
        <v>1422</v>
      </c>
      <c r="G131" s="103" t="s">
        <v>1423</v>
      </c>
      <c r="H131" s="103" t="s">
        <v>1424</v>
      </c>
      <c r="I131" s="103">
        <v>1</v>
      </c>
      <c r="J131" s="104">
        <v>6.95</v>
      </c>
      <c r="K131" s="103" t="s">
        <v>1910</v>
      </c>
      <c r="L131" s="105"/>
      <c r="M131">
        <f t="shared" si="2"/>
        <v>0</v>
      </c>
      <c r="N131" s="103">
        <f t="shared" si="3"/>
        <v>127</v>
      </c>
    </row>
    <row r="132" spans="1:14" s="103" customFormat="1" hidden="1" x14ac:dyDescent="0.3">
      <c r="A132" s="102" t="s">
        <v>894</v>
      </c>
      <c r="B132" s="102" t="s">
        <v>15</v>
      </c>
      <c r="C132" s="102" t="s">
        <v>8</v>
      </c>
      <c r="D132" s="103" t="s">
        <v>1425</v>
      </c>
      <c r="E132" s="104">
        <v>0</v>
      </c>
      <c r="F132" s="103" t="s">
        <v>1426</v>
      </c>
      <c r="G132" s="103" t="s">
        <v>1427</v>
      </c>
      <c r="H132" s="103" t="s">
        <v>1428</v>
      </c>
      <c r="I132" s="103">
        <v>1</v>
      </c>
      <c r="J132" s="104">
        <v>12.95</v>
      </c>
      <c r="K132" s="103" t="s">
        <v>1910</v>
      </c>
      <c r="L132" s="105"/>
      <c r="M132">
        <f t="shared" si="2"/>
        <v>0</v>
      </c>
      <c r="N132" s="103">
        <f t="shared" si="3"/>
        <v>128</v>
      </c>
    </row>
    <row r="133" spans="1:14" s="103" customFormat="1" hidden="1" x14ac:dyDescent="0.3">
      <c r="A133" s="102" t="s">
        <v>894</v>
      </c>
      <c r="B133" s="102" t="s">
        <v>15</v>
      </c>
      <c r="C133" s="102" t="s">
        <v>8</v>
      </c>
      <c r="D133" s="103" t="s">
        <v>719</v>
      </c>
      <c r="E133" s="104">
        <v>0</v>
      </c>
      <c r="F133" s="103" t="s">
        <v>720</v>
      </c>
      <c r="G133" s="103" t="s">
        <v>721</v>
      </c>
      <c r="H133" s="103" t="s">
        <v>722</v>
      </c>
      <c r="I133" s="103">
        <v>1</v>
      </c>
      <c r="J133" s="104">
        <v>1.5</v>
      </c>
      <c r="K133" s="103" t="s">
        <v>1910</v>
      </c>
      <c r="L133" s="105"/>
      <c r="M133">
        <f t="shared" ref="M133:M196" si="4">E133*J133</f>
        <v>0</v>
      </c>
      <c r="N133" s="103">
        <f t="shared" ref="N133:N196" si="5">IF($N132="List #",1,$N132+1)</f>
        <v>129</v>
      </c>
    </row>
    <row r="134" spans="1:14" s="103" customFormat="1" hidden="1" x14ac:dyDescent="0.3">
      <c r="A134" s="102" t="s">
        <v>894</v>
      </c>
      <c r="B134" s="102" t="s">
        <v>15</v>
      </c>
      <c r="C134" s="102" t="s">
        <v>1898</v>
      </c>
      <c r="D134" s="103" t="s">
        <v>2334</v>
      </c>
      <c r="E134" s="104">
        <v>0</v>
      </c>
      <c r="H134" s="103" t="s">
        <v>2335</v>
      </c>
      <c r="J134" s="104">
        <v>0.95</v>
      </c>
      <c r="K134" s="103" t="s">
        <v>1910</v>
      </c>
      <c r="L134" s="105"/>
      <c r="M134">
        <f t="shared" si="4"/>
        <v>0</v>
      </c>
      <c r="N134" s="103">
        <f t="shared" si="5"/>
        <v>130</v>
      </c>
    </row>
    <row r="135" spans="1:14" s="103" customFormat="1" x14ac:dyDescent="0.3">
      <c r="A135" s="102" t="s">
        <v>894</v>
      </c>
      <c r="B135" s="102" t="s">
        <v>15</v>
      </c>
      <c r="C135" s="102" t="s">
        <v>8</v>
      </c>
      <c r="D135" s="103" t="s">
        <v>289</v>
      </c>
      <c r="E135" s="104">
        <f>FilterSpecs!$C$3</f>
        <v>5</v>
      </c>
      <c r="F135" s="103" t="s">
        <v>290</v>
      </c>
      <c r="G135" s="103" t="s">
        <v>291</v>
      </c>
      <c r="H135" s="103" t="s">
        <v>292</v>
      </c>
      <c r="I135" s="103">
        <v>1</v>
      </c>
      <c r="J135" s="104">
        <v>1.95</v>
      </c>
      <c r="K135" s="103" t="s">
        <v>1911</v>
      </c>
      <c r="L135" s="105"/>
      <c r="M135">
        <f t="shared" si="4"/>
        <v>9.75</v>
      </c>
      <c r="N135" s="103">
        <f t="shared" si="5"/>
        <v>131</v>
      </c>
    </row>
    <row r="136" spans="1:14" s="103" customFormat="1" hidden="1" x14ac:dyDescent="0.3">
      <c r="A136" s="102" t="s">
        <v>894</v>
      </c>
      <c r="B136" s="102" t="s">
        <v>15</v>
      </c>
      <c r="C136" s="102" t="s">
        <v>1898</v>
      </c>
      <c r="D136" s="103" t="s">
        <v>2330</v>
      </c>
      <c r="E136" s="104">
        <v>0</v>
      </c>
      <c r="H136" s="103" t="s">
        <v>2331</v>
      </c>
      <c r="J136" s="104">
        <v>18</v>
      </c>
      <c r="K136" s="103" t="s">
        <v>1910</v>
      </c>
      <c r="L136" s="105"/>
      <c r="M136">
        <f t="shared" si="4"/>
        <v>0</v>
      </c>
      <c r="N136" s="103">
        <f t="shared" si="5"/>
        <v>132</v>
      </c>
    </row>
    <row r="137" spans="1:14" s="103" customFormat="1" x14ac:dyDescent="0.3">
      <c r="A137" s="102" t="s">
        <v>894</v>
      </c>
      <c r="B137" s="102" t="s">
        <v>15</v>
      </c>
      <c r="C137" s="102" t="s">
        <v>1898</v>
      </c>
      <c r="D137" s="103" t="s">
        <v>2336</v>
      </c>
      <c r="E137" s="104">
        <v>1</v>
      </c>
      <c r="H137" s="103" t="s">
        <v>2337</v>
      </c>
      <c r="J137" s="104">
        <v>3.95</v>
      </c>
      <c r="K137" s="103" t="s">
        <v>1910</v>
      </c>
      <c r="L137" s="105"/>
      <c r="M137">
        <f t="shared" si="4"/>
        <v>3.95</v>
      </c>
      <c r="N137" s="103">
        <f t="shared" si="5"/>
        <v>133</v>
      </c>
    </row>
    <row r="138" spans="1:14" s="103" customFormat="1" x14ac:dyDescent="0.3">
      <c r="A138" s="102" t="s">
        <v>894</v>
      </c>
      <c r="B138" s="102" t="s">
        <v>15</v>
      </c>
      <c r="C138" s="102" t="s">
        <v>8</v>
      </c>
      <c r="D138" s="103" t="s">
        <v>112</v>
      </c>
      <c r="E138" s="104">
        <v>2</v>
      </c>
      <c r="F138" s="103" t="s">
        <v>113</v>
      </c>
      <c r="G138" s="103" t="s">
        <v>114</v>
      </c>
      <c r="H138" s="103" t="s">
        <v>115</v>
      </c>
      <c r="I138" s="103">
        <v>1</v>
      </c>
      <c r="J138" s="104">
        <v>24.95</v>
      </c>
      <c r="K138" s="103" t="s">
        <v>1910</v>
      </c>
      <c r="L138" s="105"/>
      <c r="M138">
        <f t="shared" si="4"/>
        <v>49.9</v>
      </c>
      <c r="N138" s="103">
        <f t="shared" si="5"/>
        <v>134</v>
      </c>
    </row>
    <row r="139" spans="1:14" s="103" customFormat="1" x14ac:dyDescent="0.3">
      <c r="A139" s="102" t="s">
        <v>894</v>
      </c>
      <c r="B139" s="102" t="s">
        <v>15</v>
      </c>
      <c r="C139" s="102" t="s">
        <v>1898</v>
      </c>
      <c r="D139" s="103" t="s">
        <v>2340</v>
      </c>
      <c r="E139" s="104">
        <v>1</v>
      </c>
      <c r="H139" s="103" t="s">
        <v>2341</v>
      </c>
      <c r="J139" s="104">
        <v>4.95</v>
      </c>
      <c r="K139" s="103" t="s">
        <v>1910</v>
      </c>
      <c r="L139" s="105"/>
      <c r="M139">
        <f t="shared" si="4"/>
        <v>4.95</v>
      </c>
      <c r="N139" s="103">
        <f t="shared" si="5"/>
        <v>135</v>
      </c>
    </row>
    <row r="140" spans="1:14" s="103" customFormat="1" x14ac:dyDescent="0.3">
      <c r="A140" s="102" t="s">
        <v>894</v>
      </c>
      <c r="B140" s="102" t="s">
        <v>2031</v>
      </c>
      <c r="C140" s="102" t="s">
        <v>8</v>
      </c>
      <c r="D140" s="103" t="s">
        <v>116</v>
      </c>
      <c r="E140" s="104">
        <f>FilterSpecs!$C$3</f>
        <v>5</v>
      </c>
      <c r="F140" s="103" t="s">
        <v>117</v>
      </c>
      <c r="G140" s="103" t="s">
        <v>118</v>
      </c>
      <c r="H140" s="103" t="s">
        <v>119</v>
      </c>
      <c r="I140" s="103">
        <v>1</v>
      </c>
      <c r="J140" s="104">
        <v>12.95</v>
      </c>
      <c r="K140" s="103" t="s">
        <v>1913</v>
      </c>
      <c r="L140" s="105"/>
      <c r="M140">
        <f t="shared" si="4"/>
        <v>64.75</v>
      </c>
      <c r="N140" s="103">
        <f t="shared" si="5"/>
        <v>136</v>
      </c>
    </row>
    <row r="141" spans="1:14" s="103" customFormat="1" x14ac:dyDescent="0.3">
      <c r="A141" s="102" t="s">
        <v>894</v>
      </c>
      <c r="B141" s="102" t="s">
        <v>2031</v>
      </c>
      <c r="C141" s="102" t="s">
        <v>8</v>
      </c>
      <c r="D141" s="103" t="s">
        <v>1181</v>
      </c>
      <c r="E141" s="104">
        <v>1</v>
      </c>
      <c r="F141" s="103" t="s">
        <v>1182</v>
      </c>
      <c r="G141" s="103" t="s">
        <v>1183</v>
      </c>
      <c r="H141" s="103" t="s">
        <v>1184</v>
      </c>
      <c r="I141" s="103">
        <v>1</v>
      </c>
      <c r="J141" s="104">
        <v>19.95</v>
      </c>
      <c r="K141" s="103" t="s">
        <v>1910</v>
      </c>
      <c r="L141" s="105"/>
      <c r="M141">
        <f t="shared" si="4"/>
        <v>19.95</v>
      </c>
      <c r="N141" s="103">
        <f t="shared" si="5"/>
        <v>137</v>
      </c>
    </row>
    <row r="142" spans="1:14" s="103" customFormat="1" hidden="1" x14ac:dyDescent="0.3">
      <c r="A142" s="102" t="s">
        <v>894</v>
      </c>
      <c r="B142" s="102" t="s">
        <v>2031</v>
      </c>
      <c r="C142" s="102" t="s">
        <v>8</v>
      </c>
      <c r="D142" s="103" t="s">
        <v>1523</v>
      </c>
      <c r="E142" s="104">
        <v>0</v>
      </c>
      <c r="F142" s="103" t="s">
        <v>1524</v>
      </c>
      <c r="G142" s="103" t="s">
        <v>1525</v>
      </c>
      <c r="H142" s="103" t="s">
        <v>1526</v>
      </c>
      <c r="I142" s="103">
        <v>1</v>
      </c>
      <c r="J142" s="104">
        <v>29.95</v>
      </c>
      <c r="K142" s="103" t="s">
        <v>1910</v>
      </c>
      <c r="L142" s="105"/>
      <c r="M142">
        <f t="shared" si="4"/>
        <v>0</v>
      </c>
      <c r="N142" s="103">
        <f t="shared" si="5"/>
        <v>138</v>
      </c>
    </row>
    <row r="143" spans="1:14" s="103" customFormat="1" hidden="1" x14ac:dyDescent="0.3">
      <c r="A143" s="103" t="s">
        <v>894</v>
      </c>
      <c r="B143" s="103" t="s">
        <v>2031</v>
      </c>
      <c r="C143" s="103" t="s">
        <v>1898</v>
      </c>
      <c r="D143" s="103" t="s">
        <v>2075</v>
      </c>
      <c r="E143" s="104">
        <v>0</v>
      </c>
      <c r="H143" s="102" t="s">
        <v>2074</v>
      </c>
      <c r="I143" s="105"/>
      <c r="J143" s="111">
        <v>17.95</v>
      </c>
      <c r="K143" s="102" t="s">
        <v>1910</v>
      </c>
      <c r="L143" s="105"/>
      <c r="M143">
        <f t="shared" si="4"/>
        <v>0</v>
      </c>
      <c r="N143" s="103">
        <f t="shared" si="5"/>
        <v>139</v>
      </c>
    </row>
    <row r="144" spans="1:14" s="103" customFormat="1" hidden="1" x14ac:dyDescent="0.3">
      <c r="A144" s="103" t="s">
        <v>894</v>
      </c>
      <c r="B144" s="103" t="s">
        <v>2031</v>
      </c>
      <c r="C144" s="103" t="s">
        <v>1898</v>
      </c>
      <c r="D144" s="103" t="s">
        <v>2342</v>
      </c>
      <c r="E144" s="104">
        <v>0</v>
      </c>
      <c r="H144" s="102" t="s">
        <v>2343</v>
      </c>
      <c r="I144" s="105"/>
      <c r="J144" s="111">
        <v>7.5</v>
      </c>
      <c r="K144" s="102" t="s">
        <v>1910</v>
      </c>
      <c r="L144" s="105"/>
      <c r="M144">
        <f t="shared" si="4"/>
        <v>0</v>
      </c>
      <c r="N144" s="103">
        <f t="shared" si="5"/>
        <v>140</v>
      </c>
    </row>
    <row r="145" spans="1:14" s="103" customFormat="1" x14ac:dyDescent="0.3">
      <c r="A145" s="103" t="s">
        <v>894</v>
      </c>
      <c r="B145" s="103" t="s">
        <v>2031</v>
      </c>
      <c r="C145" s="103" t="s">
        <v>1898</v>
      </c>
      <c r="D145" s="103" t="s">
        <v>2372</v>
      </c>
      <c r="E145" s="104">
        <f>FilterSpecs!$C$3</f>
        <v>5</v>
      </c>
      <c r="H145" s="102" t="s">
        <v>2373</v>
      </c>
      <c r="I145" s="105"/>
      <c r="J145" s="111">
        <v>2.95</v>
      </c>
      <c r="K145" s="102" t="s">
        <v>1911</v>
      </c>
      <c r="L145" s="105"/>
      <c r="M145">
        <f t="shared" si="4"/>
        <v>14.75</v>
      </c>
      <c r="N145" s="103">
        <f t="shared" si="5"/>
        <v>141</v>
      </c>
    </row>
    <row r="146" spans="1:14" s="103" customFormat="1" x14ac:dyDescent="0.3">
      <c r="A146" s="103" t="s">
        <v>894</v>
      </c>
      <c r="B146" s="103" t="s">
        <v>2031</v>
      </c>
      <c r="C146" s="103" t="s">
        <v>1898</v>
      </c>
      <c r="D146" s="103" t="s">
        <v>2374</v>
      </c>
      <c r="E146" s="104">
        <v>1</v>
      </c>
      <c r="H146" s="102" t="s">
        <v>2375</v>
      </c>
      <c r="I146" s="105"/>
      <c r="J146" s="111">
        <v>3.95</v>
      </c>
      <c r="K146" s="102" t="s">
        <v>1910</v>
      </c>
      <c r="L146" s="105"/>
      <c r="M146">
        <f t="shared" si="4"/>
        <v>3.95</v>
      </c>
      <c r="N146" s="103">
        <f t="shared" si="5"/>
        <v>142</v>
      </c>
    </row>
    <row r="147" spans="1:14" s="103" customFormat="1" x14ac:dyDescent="0.3">
      <c r="A147" s="102" t="s">
        <v>894</v>
      </c>
      <c r="B147" s="102" t="s">
        <v>898</v>
      </c>
      <c r="C147" s="102" t="s">
        <v>8</v>
      </c>
      <c r="D147" s="103" t="s">
        <v>683</v>
      </c>
      <c r="E147" s="104">
        <v>1</v>
      </c>
      <c r="F147" s="103" t="s">
        <v>684</v>
      </c>
      <c r="G147" s="103" t="s">
        <v>685</v>
      </c>
      <c r="H147" s="103" t="s">
        <v>686</v>
      </c>
      <c r="I147" s="103">
        <v>1</v>
      </c>
      <c r="J147" s="104">
        <v>34.950000000000003</v>
      </c>
      <c r="K147" s="103" t="s">
        <v>1910</v>
      </c>
      <c r="L147" s="105"/>
      <c r="M147">
        <f t="shared" si="4"/>
        <v>34.950000000000003</v>
      </c>
      <c r="N147" s="103">
        <f t="shared" si="5"/>
        <v>143</v>
      </c>
    </row>
    <row r="148" spans="1:14" s="103" customFormat="1" x14ac:dyDescent="0.3">
      <c r="A148" s="102" t="s">
        <v>894</v>
      </c>
      <c r="B148" s="102" t="s">
        <v>898</v>
      </c>
      <c r="C148" s="102" t="s">
        <v>8</v>
      </c>
      <c r="D148" s="103" t="s">
        <v>687</v>
      </c>
      <c r="E148" s="104">
        <v>1</v>
      </c>
      <c r="F148" s="103" t="s">
        <v>688</v>
      </c>
      <c r="G148" s="103" t="s">
        <v>689</v>
      </c>
      <c r="H148" s="103" t="s">
        <v>690</v>
      </c>
      <c r="J148" s="104">
        <v>12.95</v>
      </c>
      <c r="K148" s="103" t="s">
        <v>1910</v>
      </c>
      <c r="L148" s="105"/>
      <c r="M148">
        <f t="shared" si="4"/>
        <v>12.95</v>
      </c>
      <c r="N148" s="103">
        <f t="shared" si="5"/>
        <v>144</v>
      </c>
    </row>
    <row r="149" spans="1:14" s="103" customFormat="1" x14ac:dyDescent="0.3">
      <c r="A149" s="102" t="s">
        <v>894</v>
      </c>
      <c r="B149" s="102" t="s">
        <v>898</v>
      </c>
      <c r="C149" s="102" t="s">
        <v>8</v>
      </c>
      <c r="D149" s="103" t="s">
        <v>691</v>
      </c>
      <c r="E149" s="104">
        <v>1</v>
      </c>
      <c r="F149" s="103" t="s">
        <v>692</v>
      </c>
      <c r="G149" s="103" t="s">
        <v>693</v>
      </c>
      <c r="H149" s="103" t="s">
        <v>694</v>
      </c>
      <c r="I149" s="103">
        <v>1</v>
      </c>
      <c r="J149" s="104">
        <v>0.95</v>
      </c>
      <c r="K149" s="103" t="s">
        <v>1910</v>
      </c>
      <c r="L149" s="105"/>
      <c r="M149">
        <f t="shared" si="4"/>
        <v>0.95</v>
      </c>
      <c r="N149" s="103">
        <f t="shared" si="5"/>
        <v>145</v>
      </c>
    </row>
    <row r="150" spans="1:14" s="103" customFormat="1" x14ac:dyDescent="0.3">
      <c r="A150" s="102" t="s">
        <v>894</v>
      </c>
      <c r="B150" s="102" t="s">
        <v>898</v>
      </c>
      <c r="C150" s="102" t="s">
        <v>8</v>
      </c>
      <c r="D150" s="103" t="s">
        <v>695</v>
      </c>
      <c r="E150" s="104">
        <v>1</v>
      </c>
      <c r="F150" s="103" t="s">
        <v>696</v>
      </c>
      <c r="G150" s="103" t="s">
        <v>697</v>
      </c>
      <c r="H150" s="103" t="s">
        <v>698</v>
      </c>
      <c r="I150" s="103">
        <v>1</v>
      </c>
      <c r="J150" s="104">
        <v>7.25</v>
      </c>
      <c r="K150" s="103" t="s">
        <v>1910</v>
      </c>
      <c r="L150" s="105"/>
      <c r="M150">
        <f t="shared" si="4"/>
        <v>7.25</v>
      </c>
      <c r="N150" s="103">
        <f t="shared" si="5"/>
        <v>146</v>
      </c>
    </row>
    <row r="151" spans="1:14" s="103" customFormat="1" hidden="1" x14ac:dyDescent="0.3">
      <c r="A151" s="102" t="s">
        <v>894</v>
      </c>
      <c r="B151" s="102" t="s">
        <v>898</v>
      </c>
      <c r="C151" s="102" t="s">
        <v>8</v>
      </c>
      <c r="D151" s="103" t="s">
        <v>827</v>
      </c>
      <c r="E151" s="104">
        <v>0</v>
      </c>
      <c r="F151" s="103" t="s">
        <v>828</v>
      </c>
      <c r="G151" s="103" t="s">
        <v>829</v>
      </c>
      <c r="H151" s="103" t="s">
        <v>212</v>
      </c>
      <c r="I151" s="103">
        <v>1</v>
      </c>
      <c r="J151" s="104">
        <v>5.95</v>
      </c>
      <c r="K151" s="103" t="s">
        <v>2487</v>
      </c>
      <c r="L151" s="105"/>
      <c r="M151">
        <f t="shared" si="4"/>
        <v>0</v>
      </c>
      <c r="N151" s="103">
        <f t="shared" si="5"/>
        <v>147</v>
      </c>
    </row>
    <row r="152" spans="1:14" s="103" customFormat="1" x14ac:dyDescent="0.3">
      <c r="A152" s="102" t="s">
        <v>894</v>
      </c>
      <c r="B152" s="102" t="s">
        <v>898</v>
      </c>
      <c r="C152" s="102" t="s">
        <v>8</v>
      </c>
      <c r="D152" s="103" t="s">
        <v>830</v>
      </c>
      <c r="E152" s="104">
        <v>2</v>
      </c>
      <c r="F152" s="103" t="s">
        <v>831</v>
      </c>
      <c r="G152" s="103" t="s">
        <v>832</v>
      </c>
      <c r="H152" s="103" t="s">
        <v>220</v>
      </c>
      <c r="I152" s="103">
        <v>1</v>
      </c>
      <c r="J152" s="104">
        <v>3.95</v>
      </c>
      <c r="K152" s="103" t="s">
        <v>1910</v>
      </c>
      <c r="L152" s="105"/>
      <c r="M152">
        <f t="shared" si="4"/>
        <v>7.9</v>
      </c>
      <c r="N152" s="103">
        <f t="shared" si="5"/>
        <v>148</v>
      </c>
    </row>
    <row r="153" spans="1:14" s="103" customFormat="1" x14ac:dyDescent="0.3">
      <c r="A153" s="102" t="s">
        <v>894</v>
      </c>
      <c r="B153" s="102" t="s">
        <v>13</v>
      </c>
      <c r="C153" s="102" t="s">
        <v>8</v>
      </c>
      <c r="D153" s="103" t="s">
        <v>256</v>
      </c>
      <c r="E153" s="104">
        <v>3</v>
      </c>
      <c r="F153" s="103" t="s">
        <v>257</v>
      </c>
      <c r="G153" s="103" t="s">
        <v>258</v>
      </c>
      <c r="H153" s="103" t="s">
        <v>259</v>
      </c>
      <c r="I153" s="103">
        <v>1</v>
      </c>
      <c r="J153" s="104">
        <v>14.95</v>
      </c>
      <c r="K153" s="103" t="s">
        <v>1910</v>
      </c>
      <c r="L153" s="105"/>
      <c r="M153">
        <f t="shared" si="4"/>
        <v>44.849999999999994</v>
      </c>
      <c r="N153" s="103">
        <f t="shared" si="5"/>
        <v>149</v>
      </c>
    </row>
    <row r="154" spans="1:14" s="103" customFormat="1" hidden="1" x14ac:dyDescent="0.3">
      <c r="A154" s="102" t="s">
        <v>894</v>
      </c>
      <c r="B154" s="102" t="s">
        <v>13</v>
      </c>
      <c r="C154" s="102" t="s">
        <v>8</v>
      </c>
      <c r="D154" s="103" t="s">
        <v>260</v>
      </c>
      <c r="E154" s="104">
        <v>0</v>
      </c>
      <c r="F154" s="103" t="s">
        <v>261</v>
      </c>
      <c r="G154" s="103" t="s">
        <v>262</v>
      </c>
      <c r="H154" s="103" t="s">
        <v>263</v>
      </c>
      <c r="I154" s="103">
        <v>1</v>
      </c>
      <c r="J154" s="104">
        <v>6.95</v>
      </c>
      <c r="K154" s="103" t="s">
        <v>1911</v>
      </c>
      <c r="L154" s="105"/>
      <c r="M154">
        <f t="shared" si="4"/>
        <v>0</v>
      </c>
      <c r="N154" s="103">
        <f t="shared" si="5"/>
        <v>150</v>
      </c>
    </row>
    <row r="155" spans="1:14" s="12" customFormat="1" hidden="1" x14ac:dyDescent="0.3">
      <c r="A155" s="51" t="s">
        <v>894</v>
      </c>
      <c r="B155" s="51" t="s">
        <v>13</v>
      </c>
      <c r="C155" s="102" t="s">
        <v>8</v>
      </c>
      <c r="D155" s="12" t="s">
        <v>2531</v>
      </c>
      <c r="E155" s="12">
        <v>0</v>
      </c>
      <c r="F155" s="12" t="s">
        <v>2532</v>
      </c>
      <c r="G155" s="12" t="s">
        <v>2533</v>
      </c>
      <c r="H155" s="12" t="s">
        <v>2534</v>
      </c>
      <c r="I155" s="20">
        <v>1</v>
      </c>
      <c r="J155" s="142">
        <v>34.950000000000003</v>
      </c>
      <c r="K155" s="12" t="s">
        <v>1910</v>
      </c>
      <c r="M155">
        <f t="shared" si="4"/>
        <v>0</v>
      </c>
      <c r="N155" s="12">
        <f t="shared" si="5"/>
        <v>151</v>
      </c>
    </row>
    <row r="156" spans="1:14" s="12" customFormat="1" hidden="1" x14ac:dyDescent="0.3">
      <c r="A156" s="51" t="s">
        <v>894</v>
      </c>
      <c r="B156" s="51" t="s">
        <v>13</v>
      </c>
      <c r="C156" s="102" t="s">
        <v>8</v>
      </c>
      <c r="D156" s="12" t="s">
        <v>2535</v>
      </c>
      <c r="E156" s="12">
        <v>0</v>
      </c>
      <c r="F156" s="12" t="s">
        <v>2536</v>
      </c>
      <c r="G156" s="12" t="s">
        <v>2537</v>
      </c>
      <c r="H156" s="12" t="s">
        <v>2538</v>
      </c>
      <c r="I156" s="20">
        <v>1</v>
      </c>
      <c r="J156" s="142">
        <v>34.950000000000003</v>
      </c>
      <c r="K156" s="12" t="s">
        <v>1910</v>
      </c>
      <c r="M156">
        <f t="shared" si="4"/>
        <v>0</v>
      </c>
      <c r="N156" s="12">
        <f t="shared" si="5"/>
        <v>152</v>
      </c>
    </row>
    <row r="157" spans="1:14" s="12" customFormat="1" x14ac:dyDescent="0.3">
      <c r="A157" s="51" t="s">
        <v>894</v>
      </c>
      <c r="B157" s="51" t="s">
        <v>13</v>
      </c>
      <c r="C157" s="102" t="s">
        <v>8</v>
      </c>
      <c r="D157" s="12" t="s">
        <v>2539</v>
      </c>
      <c r="E157" s="104">
        <f>FilterSpecs!$C$3</f>
        <v>5</v>
      </c>
      <c r="F157" s="12" t="s">
        <v>2540</v>
      </c>
      <c r="G157" s="12" t="s">
        <v>2541</v>
      </c>
      <c r="H157" s="12" t="s">
        <v>2542</v>
      </c>
      <c r="I157" s="20"/>
      <c r="J157" s="142">
        <v>4.95</v>
      </c>
      <c r="K157" s="51" t="s">
        <v>1911</v>
      </c>
      <c r="L157"/>
      <c r="M157">
        <f t="shared" si="4"/>
        <v>24.75</v>
      </c>
      <c r="N157" s="12">
        <f t="shared" si="5"/>
        <v>153</v>
      </c>
    </row>
    <row r="158" spans="1:14" s="12" customFormat="1" x14ac:dyDescent="0.3">
      <c r="A158" s="51" t="s">
        <v>894</v>
      </c>
      <c r="B158" s="51" t="s">
        <v>13</v>
      </c>
      <c r="C158" s="102" t="s">
        <v>8</v>
      </c>
      <c r="D158" s="12" t="s">
        <v>2543</v>
      </c>
      <c r="E158" s="104">
        <f>FilterSpecs!$C$3</f>
        <v>5</v>
      </c>
      <c r="F158" s="12" t="s">
        <v>2544</v>
      </c>
      <c r="G158" s="12" t="s">
        <v>2545</v>
      </c>
      <c r="H158" s="86" t="s">
        <v>2546</v>
      </c>
      <c r="I158" s="86">
        <v>1</v>
      </c>
      <c r="J158" s="89">
        <v>14.95</v>
      </c>
      <c r="K158" s="51" t="s">
        <v>1911</v>
      </c>
      <c r="L158"/>
      <c r="M158">
        <f t="shared" si="4"/>
        <v>74.75</v>
      </c>
      <c r="N158" s="12">
        <f t="shared" si="5"/>
        <v>154</v>
      </c>
    </row>
    <row r="159" spans="1:14" s="103" customFormat="1" hidden="1" x14ac:dyDescent="0.3">
      <c r="A159" s="102" t="s">
        <v>895</v>
      </c>
      <c r="B159" s="102" t="s">
        <v>1606</v>
      </c>
      <c r="C159" s="102" t="s">
        <v>8</v>
      </c>
      <c r="D159" s="103" t="s">
        <v>1547</v>
      </c>
      <c r="E159" s="104">
        <v>1</v>
      </c>
      <c r="F159" s="103" t="s">
        <v>1548</v>
      </c>
      <c r="G159" s="103" t="s">
        <v>1549</v>
      </c>
      <c r="H159" s="103" t="s">
        <v>1550</v>
      </c>
      <c r="I159" s="103">
        <v>1</v>
      </c>
      <c r="J159" s="104">
        <v>9.9499999999999993</v>
      </c>
      <c r="K159" s="103" t="s">
        <v>1913</v>
      </c>
      <c r="L159" s="105"/>
      <c r="M159">
        <f t="shared" si="4"/>
        <v>9.9499999999999993</v>
      </c>
      <c r="N159" s="103">
        <f t="shared" si="5"/>
        <v>155</v>
      </c>
    </row>
    <row r="160" spans="1:14" s="103" customFormat="1" hidden="1" x14ac:dyDescent="0.3">
      <c r="A160" s="102" t="s">
        <v>895</v>
      </c>
      <c r="B160" s="102" t="s">
        <v>1606</v>
      </c>
      <c r="C160" s="102" t="s">
        <v>8</v>
      </c>
      <c r="D160" s="103" t="s">
        <v>1543</v>
      </c>
      <c r="E160" s="104">
        <v>1</v>
      </c>
      <c r="F160" s="103" t="s">
        <v>1544</v>
      </c>
      <c r="G160" s="103" t="s">
        <v>1545</v>
      </c>
      <c r="H160" s="103" t="s">
        <v>1546</v>
      </c>
      <c r="I160" s="103">
        <v>1</v>
      </c>
      <c r="J160" s="104">
        <v>1.95</v>
      </c>
      <c r="K160" s="103" t="s">
        <v>1910</v>
      </c>
      <c r="L160" s="105"/>
      <c r="M160">
        <f t="shared" si="4"/>
        <v>1.95</v>
      </c>
      <c r="N160" s="103">
        <f t="shared" si="5"/>
        <v>156</v>
      </c>
    </row>
    <row r="161" spans="1:14" s="103" customFormat="1" x14ac:dyDescent="0.3">
      <c r="A161" s="102" t="s">
        <v>895</v>
      </c>
      <c r="B161" s="102" t="s">
        <v>16</v>
      </c>
      <c r="C161" s="102" t="s">
        <v>8</v>
      </c>
      <c r="D161" s="103" t="s">
        <v>264</v>
      </c>
      <c r="E161" s="104">
        <f>2*FilterSpecs!$C$3</f>
        <v>10</v>
      </c>
      <c r="F161" s="103" t="s">
        <v>265</v>
      </c>
      <c r="G161" s="103" t="s">
        <v>266</v>
      </c>
      <c r="H161" s="103" t="s">
        <v>267</v>
      </c>
      <c r="I161" s="103">
        <v>1</v>
      </c>
      <c r="J161" s="104">
        <v>2.8</v>
      </c>
      <c r="K161" s="103" t="s">
        <v>1911</v>
      </c>
      <c r="M161">
        <f t="shared" si="4"/>
        <v>28</v>
      </c>
      <c r="N161" s="103">
        <f t="shared" si="5"/>
        <v>157</v>
      </c>
    </row>
    <row r="162" spans="1:14" s="103" customFormat="1" x14ac:dyDescent="0.3">
      <c r="A162" s="102" t="s">
        <v>895</v>
      </c>
      <c r="B162" s="102" t="s">
        <v>16</v>
      </c>
      <c r="C162" s="102" t="s">
        <v>8</v>
      </c>
      <c r="D162" s="103" t="s">
        <v>293</v>
      </c>
      <c r="E162" s="104">
        <v>2</v>
      </c>
      <c r="F162" s="103" t="s">
        <v>294</v>
      </c>
      <c r="G162" s="103" t="s">
        <v>295</v>
      </c>
      <c r="H162" s="103" t="s">
        <v>296</v>
      </c>
      <c r="I162" s="103">
        <v>1</v>
      </c>
      <c r="J162" s="104">
        <v>6.95</v>
      </c>
      <c r="K162" s="103" t="s">
        <v>1910</v>
      </c>
      <c r="M162">
        <f t="shared" si="4"/>
        <v>13.9</v>
      </c>
      <c r="N162" s="103">
        <f t="shared" si="5"/>
        <v>158</v>
      </c>
    </row>
    <row r="163" spans="1:14" s="103" customFormat="1" x14ac:dyDescent="0.3">
      <c r="A163" s="102" t="s">
        <v>895</v>
      </c>
      <c r="B163" s="102" t="s">
        <v>16</v>
      </c>
      <c r="C163" s="102" t="s">
        <v>8</v>
      </c>
      <c r="D163" s="103" t="s">
        <v>297</v>
      </c>
      <c r="E163" s="104">
        <v>3</v>
      </c>
      <c r="F163" s="103" t="s">
        <v>298</v>
      </c>
      <c r="G163" s="103" t="s">
        <v>299</v>
      </c>
      <c r="H163" s="103" t="s">
        <v>216</v>
      </c>
      <c r="I163" s="103">
        <v>1</v>
      </c>
      <c r="J163" s="104">
        <v>3.95</v>
      </c>
      <c r="K163" s="103" t="s">
        <v>1910</v>
      </c>
      <c r="M163">
        <f t="shared" si="4"/>
        <v>11.850000000000001</v>
      </c>
      <c r="N163" s="103">
        <f t="shared" si="5"/>
        <v>159</v>
      </c>
    </row>
    <row r="164" spans="1:14" s="103" customFormat="1" x14ac:dyDescent="0.3">
      <c r="A164" s="102" t="s">
        <v>895</v>
      </c>
      <c r="B164" s="102" t="s">
        <v>16</v>
      </c>
      <c r="C164" s="102" t="s">
        <v>8</v>
      </c>
      <c r="D164" s="103" t="s">
        <v>344</v>
      </c>
      <c r="E164" s="104">
        <f>FilterSpecs!$C$3</f>
        <v>5</v>
      </c>
      <c r="F164" s="103" t="s">
        <v>345</v>
      </c>
      <c r="G164" s="103" t="s">
        <v>346</v>
      </c>
      <c r="H164" s="103" t="s">
        <v>213</v>
      </c>
      <c r="I164" s="103">
        <v>1</v>
      </c>
      <c r="J164" s="104">
        <v>4.95</v>
      </c>
      <c r="K164" s="103" t="s">
        <v>1911</v>
      </c>
      <c r="M164">
        <f t="shared" si="4"/>
        <v>24.75</v>
      </c>
      <c r="N164" s="103">
        <f t="shared" si="5"/>
        <v>160</v>
      </c>
    </row>
    <row r="165" spans="1:14" s="103" customFormat="1" hidden="1" x14ac:dyDescent="0.3">
      <c r="A165" s="102" t="s">
        <v>895</v>
      </c>
      <c r="B165" s="102" t="s">
        <v>16</v>
      </c>
      <c r="C165" s="86" t="s">
        <v>1898</v>
      </c>
      <c r="D165" s="86" t="s">
        <v>2155</v>
      </c>
      <c r="E165" s="89">
        <v>0</v>
      </c>
      <c r="F165" s="12"/>
      <c r="G165" s="12"/>
      <c r="H165" s="82" t="s">
        <v>2156</v>
      </c>
      <c r="I165"/>
      <c r="J165" s="95">
        <v>4.95</v>
      </c>
      <c r="K165" s="82" t="s">
        <v>1910</v>
      </c>
      <c r="L165"/>
      <c r="M165">
        <f t="shared" si="4"/>
        <v>0</v>
      </c>
      <c r="N165" s="103">
        <f t="shared" si="5"/>
        <v>161</v>
      </c>
    </row>
    <row r="166" spans="1:14" s="12" customFormat="1" hidden="1" x14ac:dyDescent="0.3">
      <c r="A166" s="12" t="s">
        <v>895</v>
      </c>
      <c r="B166" s="102" t="s">
        <v>16</v>
      </c>
      <c r="C166" s="12" t="s">
        <v>1898</v>
      </c>
      <c r="D166" s="12" t="s">
        <v>2356</v>
      </c>
      <c r="E166" s="89">
        <v>0</v>
      </c>
      <c r="H166" s="51" t="s">
        <v>2357</v>
      </c>
      <c r="I166"/>
      <c r="J166" s="95">
        <v>9.9499999999999993</v>
      </c>
      <c r="K166" s="51" t="s">
        <v>1910</v>
      </c>
      <c r="L166"/>
      <c r="M166">
        <f t="shared" si="4"/>
        <v>0</v>
      </c>
      <c r="N166" s="12">
        <f t="shared" si="5"/>
        <v>162</v>
      </c>
    </row>
    <row r="167" spans="1:14" s="12" customFormat="1" hidden="1" x14ac:dyDescent="0.3">
      <c r="A167" s="12" t="s">
        <v>895</v>
      </c>
      <c r="B167" s="102" t="s">
        <v>16</v>
      </c>
      <c r="C167" s="12" t="s">
        <v>1898</v>
      </c>
      <c r="D167" s="12" t="s">
        <v>2358</v>
      </c>
      <c r="E167" s="89">
        <v>0</v>
      </c>
      <c r="H167" s="51" t="s">
        <v>2359</v>
      </c>
      <c r="I167"/>
      <c r="J167" s="95">
        <v>5.95</v>
      </c>
      <c r="K167" s="51" t="s">
        <v>1910</v>
      </c>
      <c r="L167"/>
      <c r="M167">
        <f t="shared" si="4"/>
        <v>0</v>
      </c>
      <c r="N167" s="12">
        <f t="shared" si="5"/>
        <v>163</v>
      </c>
    </row>
    <row r="168" spans="1:14" s="103" customFormat="1" x14ac:dyDescent="0.3">
      <c r="A168" s="102" t="s">
        <v>895</v>
      </c>
      <c r="B168" s="102" t="s">
        <v>899</v>
      </c>
      <c r="C168" s="102" t="s">
        <v>8</v>
      </c>
      <c r="D168" s="103" t="s">
        <v>236</v>
      </c>
      <c r="E168" s="104">
        <f>3*FilterSpecs!$C$3</f>
        <v>15</v>
      </c>
      <c r="F168" s="103" t="s">
        <v>237</v>
      </c>
      <c r="G168" s="103" t="s">
        <v>238</v>
      </c>
      <c r="H168" s="103" t="s">
        <v>239</v>
      </c>
      <c r="J168" s="104">
        <v>1.5</v>
      </c>
      <c r="K168" s="103" t="s">
        <v>1911</v>
      </c>
      <c r="M168">
        <f t="shared" si="4"/>
        <v>22.5</v>
      </c>
      <c r="N168" s="103">
        <f t="shared" si="5"/>
        <v>164</v>
      </c>
    </row>
    <row r="169" spans="1:14" s="103" customFormat="1" x14ac:dyDescent="0.3">
      <c r="A169" s="102" t="s">
        <v>895</v>
      </c>
      <c r="B169" s="102" t="s">
        <v>899</v>
      </c>
      <c r="C169" s="102" t="s">
        <v>8</v>
      </c>
      <c r="D169" s="103" t="s">
        <v>240</v>
      </c>
      <c r="E169" s="104">
        <v>1</v>
      </c>
      <c r="F169" s="103" t="s">
        <v>241</v>
      </c>
      <c r="G169" s="103" t="s">
        <v>242</v>
      </c>
      <c r="H169" s="103" t="s">
        <v>243</v>
      </c>
      <c r="I169" s="103">
        <v>1</v>
      </c>
      <c r="J169" s="104">
        <v>14.95</v>
      </c>
      <c r="K169" s="103" t="s">
        <v>1912</v>
      </c>
      <c r="M169">
        <f t="shared" si="4"/>
        <v>14.95</v>
      </c>
      <c r="N169" s="103">
        <f t="shared" si="5"/>
        <v>165</v>
      </c>
    </row>
    <row r="170" spans="1:14" s="103" customFormat="1" hidden="1" x14ac:dyDescent="0.3">
      <c r="A170" s="102" t="s">
        <v>895</v>
      </c>
      <c r="B170" s="102" t="s">
        <v>899</v>
      </c>
      <c r="C170" s="102" t="s">
        <v>8</v>
      </c>
      <c r="D170" s="103" t="s">
        <v>363</v>
      </c>
      <c r="E170" s="104">
        <v>0</v>
      </c>
      <c r="F170" s="103" t="s">
        <v>364</v>
      </c>
      <c r="G170" s="103" t="s">
        <v>365</v>
      </c>
      <c r="H170" s="103" t="s">
        <v>366</v>
      </c>
      <c r="I170" s="103">
        <v>1</v>
      </c>
      <c r="J170" s="104">
        <v>2.95</v>
      </c>
      <c r="K170" s="103" t="s">
        <v>2487</v>
      </c>
      <c r="M170">
        <f t="shared" si="4"/>
        <v>0</v>
      </c>
      <c r="N170" s="103">
        <f t="shared" si="5"/>
        <v>166</v>
      </c>
    </row>
    <row r="171" spans="1:14" s="103" customFormat="1" hidden="1" x14ac:dyDescent="0.3">
      <c r="A171" s="102" t="s">
        <v>895</v>
      </c>
      <c r="B171" s="102" t="s">
        <v>899</v>
      </c>
      <c r="C171" s="102" t="s">
        <v>8</v>
      </c>
      <c r="D171" s="103" t="s">
        <v>1185</v>
      </c>
      <c r="E171" s="104">
        <v>0</v>
      </c>
      <c r="F171" s="103" t="s">
        <v>1186</v>
      </c>
      <c r="G171" s="103" t="s">
        <v>1187</v>
      </c>
      <c r="H171" s="103" t="s">
        <v>1188</v>
      </c>
      <c r="I171" s="103">
        <v>1</v>
      </c>
      <c r="J171" s="104">
        <v>9.9499999999999993</v>
      </c>
      <c r="K171" s="103" t="s">
        <v>2487</v>
      </c>
      <c r="L171" s="105"/>
      <c r="M171">
        <f t="shared" si="4"/>
        <v>0</v>
      </c>
      <c r="N171" s="103">
        <f t="shared" si="5"/>
        <v>167</v>
      </c>
    </row>
    <row r="172" spans="1:14" s="103" customFormat="1" x14ac:dyDescent="0.3">
      <c r="A172" s="102" t="s">
        <v>895</v>
      </c>
      <c r="B172" s="102" t="s">
        <v>899</v>
      </c>
      <c r="C172" s="102" t="s">
        <v>8</v>
      </c>
      <c r="D172" s="103" t="s">
        <v>1189</v>
      </c>
      <c r="E172" s="104">
        <v>1</v>
      </c>
      <c r="F172" s="103" t="s">
        <v>1190</v>
      </c>
      <c r="G172" s="103" t="s">
        <v>1191</v>
      </c>
      <c r="H172" s="103" t="s">
        <v>1192</v>
      </c>
      <c r="I172" s="103">
        <v>1</v>
      </c>
      <c r="J172" s="104">
        <v>14.95</v>
      </c>
      <c r="K172" s="103" t="s">
        <v>1912</v>
      </c>
      <c r="L172" s="105"/>
      <c r="M172">
        <f t="shared" si="4"/>
        <v>14.95</v>
      </c>
      <c r="N172" s="103">
        <f t="shared" si="5"/>
        <v>168</v>
      </c>
    </row>
    <row r="173" spans="1:14" s="103" customFormat="1" hidden="1" x14ac:dyDescent="0.3">
      <c r="A173" s="102" t="s">
        <v>895</v>
      </c>
      <c r="B173" s="102" t="s">
        <v>899</v>
      </c>
      <c r="C173" s="102" t="s">
        <v>8</v>
      </c>
      <c r="D173" s="103" t="s">
        <v>1827</v>
      </c>
      <c r="E173" s="104">
        <v>0</v>
      </c>
      <c r="F173" s="103" t="s">
        <v>1828</v>
      </c>
      <c r="G173" s="103" t="s">
        <v>1829</v>
      </c>
      <c r="H173" s="103" t="s">
        <v>1830</v>
      </c>
      <c r="I173" s="103">
        <v>1</v>
      </c>
      <c r="J173" s="104">
        <v>39.950000000000003</v>
      </c>
      <c r="K173" s="103" t="s">
        <v>2487</v>
      </c>
      <c r="L173" s="105"/>
      <c r="M173">
        <f t="shared" si="4"/>
        <v>0</v>
      </c>
      <c r="N173" s="103">
        <f t="shared" si="5"/>
        <v>169</v>
      </c>
    </row>
    <row r="174" spans="1:14" s="103" customFormat="1" hidden="1" x14ac:dyDescent="0.3">
      <c r="A174" s="102" t="s">
        <v>895</v>
      </c>
      <c r="B174" s="102" t="s">
        <v>899</v>
      </c>
      <c r="C174" s="102" t="s">
        <v>8</v>
      </c>
      <c r="D174" s="103" t="s">
        <v>1787</v>
      </c>
      <c r="E174" s="104">
        <v>0</v>
      </c>
      <c r="F174" s="103" t="s">
        <v>1788</v>
      </c>
      <c r="G174" s="103" t="s">
        <v>1789</v>
      </c>
      <c r="H174" s="103" t="s">
        <v>1790</v>
      </c>
      <c r="I174" s="103">
        <v>1</v>
      </c>
      <c r="J174" s="104">
        <v>14.95</v>
      </c>
      <c r="K174" s="103" t="s">
        <v>2487</v>
      </c>
      <c r="L174" s="105"/>
      <c r="M174">
        <f t="shared" si="4"/>
        <v>0</v>
      </c>
      <c r="N174" s="103">
        <f t="shared" si="5"/>
        <v>170</v>
      </c>
    </row>
    <row r="175" spans="1:14" s="103" customFormat="1" x14ac:dyDescent="0.3">
      <c r="A175" s="102" t="s">
        <v>895</v>
      </c>
      <c r="B175" s="102" t="s">
        <v>899</v>
      </c>
      <c r="C175" s="102" t="s">
        <v>8</v>
      </c>
      <c r="D175" s="103" t="s">
        <v>272</v>
      </c>
      <c r="E175" s="104">
        <f>2*FilterSpecs!$C$3</f>
        <v>10</v>
      </c>
      <c r="F175" s="103" t="s">
        <v>273</v>
      </c>
      <c r="G175" s="103" t="s">
        <v>274</v>
      </c>
      <c r="H175" s="103" t="s">
        <v>275</v>
      </c>
      <c r="J175" s="104">
        <v>0.95</v>
      </c>
      <c r="K175" s="103" t="s">
        <v>1911</v>
      </c>
      <c r="M175">
        <f t="shared" si="4"/>
        <v>9.5</v>
      </c>
      <c r="N175" s="103">
        <f t="shared" si="5"/>
        <v>171</v>
      </c>
    </row>
    <row r="176" spans="1:14" s="103" customFormat="1" x14ac:dyDescent="0.3">
      <c r="A176" s="102" t="s">
        <v>895</v>
      </c>
      <c r="B176" s="102" t="s">
        <v>899</v>
      </c>
      <c r="C176" s="102" t="s">
        <v>8</v>
      </c>
      <c r="D176" s="103" t="s">
        <v>276</v>
      </c>
      <c r="E176" s="104">
        <f>FilterSpecs!$C$3</f>
        <v>5</v>
      </c>
      <c r="F176" s="103" t="s">
        <v>277</v>
      </c>
      <c r="G176" s="103" t="s">
        <v>278</v>
      </c>
      <c r="H176" s="103" t="s">
        <v>279</v>
      </c>
      <c r="J176" s="104">
        <v>1.5</v>
      </c>
      <c r="K176" s="103" t="s">
        <v>1911</v>
      </c>
      <c r="M176">
        <f t="shared" si="4"/>
        <v>7.5</v>
      </c>
      <c r="N176" s="103">
        <f t="shared" si="5"/>
        <v>172</v>
      </c>
    </row>
    <row r="177" spans="1:14" s="103" customFormat="1" x14ac:dyDescent="0.3">
      <c r="A177" s="102" t="s">
        <v>895</v>
      </c>
      <c r="B177" s="102" t="s">
        <v>899</v>
      </c>
      <c r="C177" s="102" t="s">
        <v>8</v>
      </c>
      <c r="D177" s="103" t="s">
        <v>268</v>
      </c>
      <c r="E177" s="104">
        <f>FilterSpecs!$C$3</f>
        <v>5</v>
      </c>
      <c r="F177" s="103" t="s">
        <v>269</v>
      </c>
      <c r="G177" s="103" t="s">
        <v>270</v>
      </c>
      <c r="H177" s="103" t="s">
        <v>271</v>
      </c>
      <c r="J177" s="104">
        <v>1.5</v>
      </c>
      <c r="K177" s="103" t="s">
        <v>1911</v>
      </c>
      <c r="M177">
        <f t="shared" si="4"/>
        <v>7.5</v>
      </c>
      <c r="N177" s="103">
        <f t="shared" si="5"/>
        <v>173</v>
      </c>
    </row>
    <row r="178" spans="1:14" s="103" customFormat="1" x14ac:dyDescent="0.3">
      <c r="A178" s="102" t="s">
        <v>895</v>
      </c>
      <c r="B178" s="102" t="s">
        <v>899</v>
      </c>
      <c r="C178" s="102" t="s">
        <v>8</v>
      </c>
      <c r="D178" s="103" t="s">
        <v>1823</v>
      </c>
      <c r="E178" s="104">
        <v>1</v>
      </c>
      <c r="F178" s="103" t="s">
        <v>1824</v>
      </c>
      <c r="G178" s="103" t="s">
        <v>1825</v>
      </c>
      <c r="H178" s="103" t="s">
        <v>1826</v>
      </c>
      <c r="J178" s="104">
        <v>1.95</v>
      </c>
      <c r="K178" s="103" t="s">
        <v>1910</v>
      </c>
      <c r="L178" s="105"/>
      <c r="M178">
        <f t="shared" si="4"/>
        <v>1.95</v>
      </c>
      <c r="N178" s="103">
        <f t="shared" si="5"/>
        <v>174</v>
      </c>
    </row>
    <row r="179" spans="1:14" s="103" customFormat="1" x14ac:dyDescent="0.3">
      <c r="A179" s="102" t="s">
        <v>895</v>
      </c>
      <c r="B179" s="102" t="s">
        <v>899</v>
      </c>
      <c r="C179" s="102" t="s">
        <v>8</v>
      </c>
      <c r="D179" s="103" t="s">
        <v>735</v>
      </c>
      <c r="E179" s="104">
        <v>2</v>
      </c>
      <c r="F179" s="103" t="s">
        <v>736</v>
      </c>
      <c r="G179" s="103" t="s">
        <v>737</v>
      </c>
      <c r="H179" s="103" t="s">
        <v>738</v>
      </c>
      <c r="J179" s="104">
        <v>2.95</v>
      </c>
      <c r="K179" s="103" t="s">
        <v>2487</v>
      </c>
      <c r="M179">
        <f t="shared" si="4"/>
        <v>5.9</v>
      </c>
      <c r="N179" s="103">
        <f t="shared" si="5"/>
        <v>175</v>
      </c>
    </row>
    <row r="180" spans="1:14" s="12" customFormat="1" x14ac:dyDescent="0.3">
      <c r="A180" s="51" t="s">
        <v>895</v>
      </c>
      <c r="B180" s="51" t="s">
        <v>899</v>
      </c>
      <c r="C180" s="51" t="s">
        <v>8</v>
      </c>
      <c r="D180" s="12" t="s">
        <v>1807</v>
      </c>
      <c r="E180" s="89">
        <v>1</v>
      </c>
      <c r="F180" s="12" t="s">
        <v>1808</v>
      </c>
      <c r="G180" s="12" t="s">
        <v>1809</v>
      </c>
      <c r="H180" s="12" t="s">
        <v>1810</v>
      </c>
      <c r="J180" s="89">
        <v>2.95</v>
      </c>
      <c r="K180" s="12" t="s">
        <v>1910</v>
      </c>
      <c r="L180"/>
      <c r="M180">
        <f t="shared" si="4"/>
        <v>2.95</v>
      </c>
      <c r="N180" s="12">
        <f t="shared" si="5"/>
        <v>176</v>
      </c>
    </row>
    <row r="181" spans="1:14" s="12" customFormat="1" x14ac:dyDescent="0.3">
      <c r="A181" s="51" t="s">
        <v>895</v>
      </c>
      <c r="B181" s="51" t="s">
        <v>1607</v>
      </c>
      <c r="C181" s="51" t="s">
        <v>8</v>
      </c>
      <c r="D181" s="12" t="s">
        <v>1108</v>
      </c>
      <c r="E181" s="89">
        <v>0</v>
      </c>
      <c r="F181" s="12" t="s">
        <v>1109</v>
      </c>
      <c r="G181" s="12" t="s">
        <v>1110</v>
      </c>
      <c r="H181" s="12" t="s">
        <v>1111</v>
      </c>
      <c r="J181" s="89">
        <v>24.95</v>
      </c>
      <c r="K181" s="12" t="s">
        <v>1910</v>
      </c>
      <c r="L181"/>
      <c r="M181">
        <f t="shared" si="4"/>
        <v>0</v>
      </c>
      <c r="N181" s="12">
        <f t="shared" si="5"/>
        <v>177</v>
      </c>
    </row>
    <row r="182" spans="1:14" s="12" customFormat="1" x14ac:dyDescent="0.3">
      <c r="A182" s="51" t="s">
        <v>895</v>
      </c>
      <c r="B182" s="51" t="s">
        <v>1607</v>
      </c>
      <c r="C182" s="51" t="s">
        <v>8</v>
      </c>
      <c r="D182" s="12" t="s">
        <v>493</v>
      </c>
      <c r="E182" s="104">
        <f>FilterSpecs!$C$3+1</f>
        <v>6</v>
      </c>
      <c r="F182" s="12" t="s">
        <v>494</v>
      </c>
      <c r="G182" s="12" t="s">
        <v>495</v>
      </c>
      <c r="H182" s="12" t="s">
        <v>218</v>
      </c>
      <c r="I182" s="12">
        <v>1</v>
      </c>
      <c r="J182" s="89">
        <v>4.95</v>
      </c>
      <c r="K182" s="12" t="s">
        <v>1910</v>
      </c>
      <c r="M182">
        <f t="shared" si="4"/>
        <v>29.700000000000003</v>
      </c>
      <c r="N182" s="12">
        <f t="shared" si="5"/>
        <v>178</v>
      </c>
    </row>
    <row r="183" spans="1:14" s="12" customFormat="1" hidden="1" x14ac:dyDescent="0.3">
      <c r="A183" s="12" t="s">
        <v>895</v>
      </c>
      <c r="B183" s="12" t="s">
        <v>1607</v>
      </c>
      <c r="C183" s="12" t="s">
        <v>1898</v>
      </c>
      <c r="D183" s="12" t="s">
        <v>2364</v>
      </c>
      <c r="E183" s="89">
        <v>0</v>
      </c>
      <c r="H183" s="51" t="s">
        <v>2365</v>
      </c>
      <c r="I183"/>
      <c r="J183" s="95">
        <v>6.95</v>
      </c>
      <c r="K183" s="51" t="s">
        <v>1910</v>
      </c>
      <c r="L183"/>
      <c r="M183">
        <f t="shared" si="4"/>
        <v>0</v>
      </c>
      <c r="N183" s="12">
        <f t="shared" si="5"/>
        <v>179</v>
      </c>
    </row>
    <row r="184" spans="1:14" s="12" customFormat="1" x14ac:dyDescent="0.3">
      <c r="A184" s="51" t="s">
        <v>895</v>
      </c>
      <c r="B184" s="51" t="s">
        <v>1607</v>
      </c>
      <c r="C184" s="51" t="s">
        <v>8</v>
      </c>
      <c r="D184" s="12" t="s">
        <v>496</v>
      </c>
      <c r="E184" s="104">
        <f>FilterSpecs!$C$3+3</f>
        <v>8</v>
      </c>
      <c r="F184" s="12" t="s">
        <v>497</v>
      </c>
      <c r="G184" s="12" t="s">
        <v>498</v>
      </c>
      <c r="H184" s="12" t="s">
        <v>214</v>
      </c>
      <c r="I184" s="12">
        <v>1</v>
      </c>
      <c r="J184" s="89">
        <v>4.95</v>
      </c>
      <c r="K184" s="12" t="s">
        <v>1910</v>
      </c>
      <c r="M184">
        <f t="shared" si="4"/>
        <v>39.6</v>
      </c>
      <c r="N184" s="12">
        <f t="shared" si="5"/>
        <v>180</v>
      </c>
    </row>
    <row r="185" spans="1:14" s="12" customFormat="1" hidden="1" x14ac:dyDescent="0.3">
      <c r="A185" s="12" t="s">
        <v>895</v>
      </c>
      <c r="B185" s="12" t="s">
        <v>1607</v>
      </c>
      <c r="C185" s="12" t="s">
        <v>1898</v>
      </c>
      <c r="D185" s="12" t="s">
        <v>2360</v>
      </c>
      <c r="E185" s="89">
        <v>0</v>
      </c>
      <c r="H185" s="51" t="s">
        <v>2361</v>
      </c>
      <c r="I185"/>
      <c r="J185" s="95">
        <v>14.95</v>
      </c>
      <c r="K185" s="51" t="s">
        <v>1910</v>
      </c>
      <c r="L185"/>
      <c r="M185">
        <f t="shared" si="4"/>
        <v>0</v>
      </c>
      <c r="N185" s="12">
        <f t="shared" si="5"/>
        <v>181</v>
      </c>
    </row>
    <row r="186" spans="1:14" s="12" customFormat="1" hidden="1" x14ac:dyDescent="0.3">
      <c r="A186" s="12" t="s">
        <v>895</v>
      </c>
      <c r="B186" s="12" t="s">
        <v>1607</v>
      </c>
      <c r="C186" s="12" t="s">
        <v>1898</v>
      </c>
      <c r="D186" s="12" t="s">
        <v>2362</v>
      </c>
      <c r="E186" s="89">
        <v>0</v>
      </c>
      <c r="H186" s="51" t="s">
        <v>2363</v>
      </c>
      <c r="I186"/>
      <c r="J186" s="95">
        <v>3.75</v>
      </c>
      <c r="K186" s="51" t="s">
        <v>1910</v>
      </c>
      <c r="L186"/>
      <c r="M186">
        <f t="shared" si="4"/>
        <v>0</v>
      </c>
      <c r="N186" s="12">
        <f t="shared" si="5"/>
        <v>182</v>
      </c>
    </row>
    <row r="187" spans="1:14" s="12" customFormat="1" hidden="1" x14ac:dyDescent="0.3">
      <c r="A187" s="51" t="s">
        <v>895</v>
      </c>
      <c r="B187" s="51" t="s">
        <v>2041</v>
      </c>
      <c r="C187" s="51" t="s">
        <v>8</v>
      </c>
      <c r="D187" s="12" t="s">
        <v>1503</v>
      </c>
      <c r="E187" s="89">
        <v>0</v>
      </c>
      <c r="F187" s="12" t="s">
        <v>1504</v>
      </c>
      <c r="G187" s="12" t="s">
        <v>1505</v>
      </c>
      <c r="H187" s="12" t="s">
        <v>1506</v>
      </c>
      <c r="I187" s="12">
        <v>1</v>
      </c>
      <c r="J187" s="89">
        <v>2.95</v>
      </c>
      <c r="K187" s="12" t="s">
        <v>1910</v>
      </c>
      <c r="L187"/>
      <c r="M187">
        <f t="shared" si="4"/>
        <v>0</v>
      </c>
      <c r="N187" s="12">
        <f t="shared" si="5"/>
        <v>183</v>
      </c>
    </row>
    <row r="188" spans="1:14" s="12" customFormat="1" hidden="1" x14ac:dyDescent="0.3">
      <c r="A188" s="51" t="s">
        <v>895</v>
      </c>
      <c r="B188" s="51" t="s">
        <v>2041</v>
      </c>
      <c r="C188" s="51" t="s">
        <v>8</v>
      </c>
      <c r="D188" s="12" t="s">
        <v>1515</v>
      </c>
      <c r="E188" s="89">
        <v>0</v>
      </c>
      <c r="F188" s="12" t="s">
        <v>1516</v>
      </c>
      <c r="G188" s="12" t="s">
        <v>1517</v>
      </c>
      <c r="H188" s="12" t="s">
        <v>1518</v>
      </c>
      <c r="J188" s="89">
        <v>2.95</v>
      </c>
      <c r="K188" s="12" t="s">
        <v>1910</v>
      </c>
      <c r="L188"/>
      <c r="M188">
        <f t="shared" si="4"/>
        <v>0</v>
      </c>
      <c r="N188" s="12">
        <f t="shared" si="5"/>
        <v>184</v>
      </c>
    </row>
    <row r="189" spans="1:14" s="12" customFormat="1" hidden="1" x14ac:dyDescent="0.3">
      <c r="A189" s="51" t="s">
        <v>895</v>
      </c>
      <c r="B189" s="51" t="s">
        <v>2041</v>
      </c>
      <c r="C189" s="51" t="s">
        <v>1898</v>
      </c>
      <c r="D189" s="12" t="s">
        <v>2370</v>
      </c>
      <c r="E189" s="89">
        <v>0</v>
      </c>
      <c r="H189" s="12" t="s">
        <v>2371</v>
      </c>
      <c r="J189" s="89">
        <v>2.5</v>
      </c>
      <c r="K189" s="12" t="s">
        <v>1910</v>
      </c>
      <c r="L189"/>
      <c r="M189">
        <f t="shared" si="4"/>
        <v>0</v>
      </c>
      <c r="N189" s="12">
        <f t="shared" si="5"/>
        <v>185</v>
      </c>
    </row>
    <row r="190" spans="1:14" s="12" customFormat="1" x14ac:dyDescent="0.3">
      <c r="A190" s="51" t="s">
        <v>895</v>
      </c>
      <c r="B190" s="51" t="s">
        <v>2041</v>
      </c>
      <c r="C190" s="51" t="s">
        <v>1898</v>
      </c>
      <c r="D190" s="12" t="s">
        <v>2366</v>
      </c>
      <c r="E190" s="104">
        <f>FilterSpecs!$C$3</f>
        <v>5</v>
      </c>
      <c r="H190" s="12" t="s">
        <v>2367</v>
      </c>
      <c r="J190" s="89">
        <v>2.95</v>
      </c>
      <c r="K190" s="12" t="s">
        <v>1911</v>
      </c>
      <c r="L190"/>
      <c r="M190">
        <f t="shared" si="4"/>
        <v>14.75</v>
      </c>
      <c r="N190" s="12">
        <f t="shared" si="5"/>
        <v>186</v>
      </c>
    </row>
    <row r="191" spans="1:14" s="12" customFormat="1" x14ac:dyDescent="0.3">
      <c r="A191" s="51" t="s">
        <v>895</v>
      </c>
      <c r="B191" s="51" t="s">
        <v>2041</v>
      </c>
      <c r="C191" s="51" t="s">
        <v>8</v>
      </c>
      <c r="D191" s="12" t="s">
        <v>244</v>
      </c>
      <c r="E191" s="89">
        <v>1</v>
      </c>
      <c r="F191" s="12" t="s">
        <v>245</v>
      </c>
      <c r="G191" s="12" t="s">
        <v>246</v>
      </c>
      <c r="H191" s="12" t="s">
        <v>247</v>
      </c>
      <c r="J191" s="89">
        <v>9.9499999999999993</v>
      </c>
      <c r="K191" s="12" t="s">
        <v>1910</v>
      </c>
      <c r="M191">
        <f t="shared" si="4"/>
        <v>9.9499999999999993</v>
      </c>
      <c r="N191" s="12">
        <f t="shared" si="5"/>
        <v>187</v>
      </c>
    </row>
    <row r="192" spans="1:14" s="12" customFormat="1" hidden="1" x14ac:dyDescent="0.3">
      <c r="A192" s="12" t="s">
        <v>895</v>
      </c>
      <c r="B192" s="12" t="s">
        <v>2041</v>
      </c>
      <c r="C192" s="12" t="s">
        <v>1898</v>
      </c>
      <c r="D192" s="12" t="s">
        <v>2368</v>
      </c>
      <c r="E192" s="89">
        <v>0</v>
      </c>
      <c r="H192" s="51" t="s">
        <v>2369</v>
      </c>
      <c r="I192"/>
      <c r="J192" s="95">
        <v>2.95</v>
      </c>
      <c r="K192" s="51" t="s">
        <v>1910</v>
      </c>
      <c r="L192"/>
      <c r="M192">
        <f t="shared" si="4"/>
        <v>0</v>
      </c>
      <c r="N192" s="12">
        <f t="shared" si="5"/>
        <v>188</v>
      </c>
    </row>
    <row r="193" spans="1:14" s="103" customFormat="1" x14ac:dyDescent="0.3">
      <c r="A193" s="103" t="s">
        <v>895</v>
      </c>
      <c r="B193" s="103" t="s">
        <v>2041</v>
      </c>
      <c r="C193" s="103" t="s">
        <v>8</v>
      </c>
      <c r="D193" s="103" t="s">
        <v>252</v>
      </c>
      <c r="E193" s="104">
        <v>1</v>
      </c>
      <c r="F193" s="103" t="s">
        <v>253</v>
      </c>
      <c r="G193" s="103" t="s">
        <v>254</v>
      </c>
      <c r="H193" s="102" t="s">
        <v>255</v>
      </c>
      <c r="I193" s="105"/>
      <c r="J193" s="111">
        <v>6.97</v>
      </c>
      <c r="K193" s="102" t="s">
        <v>1910</v>
      </c>
      <c r="L193" s="105"/>
      <c r="M193">
        <f t="shared" si="4"/>
        <v>6.97</v>
      </c>
      <c r="N193" s="103">
        <f t="shared" si="5"/>
        <v>189</v>
      </c>
    </row>
    <row r="194" spans="1:14" s="103" customFormat="1" x14ac:dyDescent="0.3">
      <c r="A194" s="102" t="s">
        <v>895</v>
      </c>
      <c r="B194" s="102" t="s">
        <v>1604</v>
      </c>
      <c r="C194" s="102" t="s">
        <v>8</v>
      </c>
      <c r="D194" s="103" t="s">
        <v>280</v>
      </c>
      <c r="E194" s="104">
        <f>FilterSpecs!$C$3</f>
        <v>5</v>
      </c>
      <c r="F194" s="103" t="s">
        <v>281</v>
      </c>
      <c r="G194" s="103" t="s">
        <v>282</v>
      </c>
      <c r="H194" s="103" t="s">
        <v>224</v>
      </c>
      <c r="J194" s="104">
        <v>6.95</v>
      </c>
      <c r="K194" s="103" t="s">
        <v>1911</v>
      </c>
      <c r="M194">
        <f t="shared" si="4"/>
        <v>34.75</v>
      </c>
      <c r="N194" s="103">
        <f t="shared" si="5"/>
        <v>190</v>
      </c>
    </row>
    <row r="195" spans="1:14" s="103" customFormat="1" x14ac:dyDescent="0.3">
      <c r="A195" s="102" t="s">
        <v>895</v>
      </c>
      <c r="B195" s="102" t="s">
        <v>1604</v>
      </c>
      <c r="C195" s="102" t="s">
        <v>8</v>
      </c>
      <c r="D195" s="103" t="s">
        <v>283</v>
      </c>
      <c r="E195" s="104">
        <f>FilterSpecs!$C$3</f>
        <v>5</v>
      </c>
      <c r="F195" s="103" t="s">
        <v>284</v>
      </c>
      <c r="G195" s="103" t="s">
        <v>285</v>
      </c>
      <c r="H195" s="103" t="s">
        <v>210</v>
      </c>
      <c r="I195" s="103">
        <v>1</v>
      </c>
      <c r="J195" s="104">
        <v>12.95</v>
      </c>
      <c r="K195" s="103" t="s">
        <v>1911</v>
      </c>
      <c r="M195">
        <f t="shared" si="4"/>
        <v>64.75</v>
      </c>
      <c r="N195" s="103">
        <f t="shared" si="5"/>
        <v>191</v>
      </c>
    </row>
    <row r="196" spans="1:14" s="103" customFormat="1" hidden="1" x14ac:dyDescent="0.3">
      <c r="A196" s="102" t="s">
        <v>895</v>
      </c>
      <c r="B196" s="102" t="s">
        <v>1604</v>
      </c>
      <c r="C196" s="102" t="s">
        <v>8</v>
      </c>
      <c r="D196" s="103" t="s">
        <v>929</v>
      </c>
      <c r="E196" s="104">
        <v>0</v>
      </c>
      <c r="F196" s="103" t="s">
        <v>930</v>
      </c>
      <c r="G196" s="103" t="s">
        <v>931</v>
      </c>
      <c r="H196" s="103" t="s">
        <v>932</v>
      </c>
      <c r="I196" s="103">
        <v>1</v>
      </c>
      <c r="J196" s="104">
        <v>14.95</v>
      </c>
      <c r="K196" s="103" t="s">
        <v>1910</v>
      </c>
      <c r="M196">
        <f t="shared" si="4"/>
        <v>0</v>
      </c>
      <c r="N196" s="103">
        <f t="shared" si="5"/>
        <v>192</v>
      </c>
    </row>
    <row r="197" spans="1:14" s="103" customFormat="1" x14ac:dyDescent="0.3">
      <c r="A197" s="102" t="s">
        <v>895</v>
      </c>
      <c r="B197" s="102" t="s">
        <v>1604</v>
      </c>
      <c r="C197" s="102" t="s">
        <v>8</v>
      </c>
      <c r="D197" s="103" t="s">
        <v>1015</v>
      </c>
      <c r="E197" s="104">
        <v>1</v>
      </c>
      <c r="F197" s="103" t="s">
        <v>1016</v>
      </c>
      <c r="G197" s="103" t="s">
        <v>1017</v>
      </c>
      <c r="H197" s="103" t="s">
        <v>1018</v>
      </c>
      <c r="I197" s="103">
        <v>1</v>
      </c>
      <c r="J197" s="104">
        <v>11.95</v>
      </c>
      <c r="K197" s="103" t="s">
        <v>1910</v>
      </c>
      <c r="M197">
        <f t="shared" ref="M197:M260" si="6">E197*J197</f>
        <v>11.95</v>
      </c>
      <c r="N197" s="103">
        <f t="shared" ref="N197:N260" si="7">IF($N196="List #",1,$N196+1)</f>
        <v>193</v>
      </c>
    </row>
    <row r="198" spans="1:14" s="103" customFormat="1" x14ac:dyDescent="0.3">
      <c r="A198" s="102" t="s">
        <v>895</v>
      </c>
      <c r="B198" s="102" t="s">
        <v>1604</v>
      </c>
      <c r="C198" s="102" t="s">
        <v>8</v>
      </c>
      <c r="D198" s="103" t="s">
        <v>1019</v>
      </c>
      <c r="E198" s="104">
        <v>1</v>
      </c>
      <c r="F198" s="103" t="s">
        <v>1020</v>
      </c>
      <c r="G198" s="103" t="s">
        <v>1021</v>
      </c>
      <c r="H198" s="103" t="s">
        <v>1022</v>
      </c>
      <c r="I198" s="103">
        <v>1</v>
      </c>
      <c r="J198" s="104">
        <v>19.95</v>
      </c>
      <c r="K198" s="103" t="s">
        <v>1910</v>
      </c>
      <c r="M198">
        <f t="shared" si="6"/>
        <v>19.95</v>
      </c>
      <c r="N198" s="103">
        <f t="shared" si="7"/>
        <v>194</v>
      </c>
    </row>
    <row r="199" spans="1:14" s="103" customFormat="1" hidden="1" x14ac:dyDescent="0.3">
      <c r="A199" s="102" t="s">
        <v>1070</v>
      </c>
      <c r="B199" s="102" t="s">
        <v>1603</v>
      </c>
      <c r="C199" s="102" t="s">
        <v>8</v>
      </c>
      <c r="D199" s="103" t="s">
        <v>1527</v>
      </c>
      <c r="E199" s="104">
        <v>1</v>
      </c>
      <c r="F199" s="103" t="s">
        <v>1528</v>
      </c>
      <c r="G199" s="103" t="s">
        <v>1529</v>
      </c>
      <c r="H199" s="103" t="s">
        <v>1530</v>
      </c>
      <c r="I199" s="103">
        <v>1</v>
      </c>
      <c r="J199" s="104">
        <v>24.95</v>
      </c>
      <c r="K199" s="103" t="s">
        <v>1914</v>
      </c>
      <c r="L199" s="105"/>
      <c r="M199">
        <f t="shared" si="6"/>
        <v>24.95</v>
      </c>
      <c r="N199" s="103">
        <f t="shared" si="7"/>
        <v>195</v>
      </c>
    </row>
    <row r="200" spans="1:14" s="103" customFormat="1" hidden="1" x14ac:dyDescent="0.3">
      <c r="A200" s="102" t="s">
        <v>1070</v>
      </c>
      <c r="B200" s="102" t="s">
        <v>1013</v>
      </c>
      <c r="C200" s="102" t="s">
        <v>8</v>
      </c>
      <c r="D200" s="103" t="s">
        <v>949</v>
      </c>
      <c r="E200" s="104">
        <v>1</v>
      </c>
      <c r="F200" s="103" t="s">
        <v>950</v>
      </c>
      <c r="G200" s="103" t="s">
        <v>951</v>
      </c>
      <c r="H200" s="103" t="s">
        <v>952</v>
      </c>
      <c r="J200" s="104">
        <v>11.95</v>
      </c>
      <c r="K200" s="103" t="s">
        <v>1914</v>
      </c>
      <c r="L200" s="103" t="s">
        <v>1063</v>
      </c>
      <c r="M200">
        <f t="shared" si="6"/>
        <v>11.95</v>
      </c>
      <c r="N200" s="103">
        <f t="shared" si="7"/>
        <v>196</v>
      </c>
    </row>
    <row r="201" spans="1:14" s="69" customFormat="1" hidden="1" x14ac:dyDescent="0.3">
      <c r="A201" s="99" t="s">
        <v>1070</v>
      </c>
      <c r="B201" s="99" t="s">
        <v>1013</v>
      </c>
      <c r="C201" s="99" t="s">
        <v>8</v>
      </c>
      <c r="D201" s="69" t="s">
        <v>969</v>
      </c>
      <c r="E201" s="98">
        <v>1</v>
      </c>
      <c r="F201" s="69" t="s">
        <v>970</v>
      </c>
      <c r="G201" s="69" t="s">
        <v>971</v>
      </c>
      <c r="H201" s="69" t="s">
        <v>972</v>
      </c>
      <c r="I201" s="69">
        <v>1</v>
      </c>
      <c r="J201" s="98">
        <v>49.95</v>
      </c>
      <c r="K201" s="69" t="s">
        <v>1914</v>
      </c>
      <c r="L201" s="69" t="s">
        <v>1056</v>
      </c>
      <c r="M201">
        <f t="shared" si="6"/>
        <v>49.95</v>
      </c>
      <c r="N201" s="69">
        <f t="shared" si="7"/>
        <v>197</v>
      </c>
    </row>
    <row r="202" spans="1:14" s="69" customFormat="1" hidden="1" x14ac:dyDescent="0.3">
      <c r="A202" s="99" t="s">
        <v>1070</v>
      </c>
      <c r="B202" s="100" t="s">
        <v>1013</v>
      </c>
      <c r="C202" s="100" t="s">
        <v>8</v>
      </c>
      <c r="D202" s="69" t="s">
        <v>989</v>
      </c>
      <c r="E202" s="98">
        <v>0</v>
      </c>
      <c r="F202" s="69" t="s">
        <v>990</v>
      </c>
      <c r="G202" s="69" t="s">
        <v>991</v>
      </c>
      <c r="H202" s="69" t="s">
        <v>992</v>
      </c>
      <c r="I202" s="69">
        <v>1</v>
      </c>
      <c r="J202" s="98">
        <v>44.95</v>
      </c>
      <c r="K202" s="69" t="s">
        <v>1914</v>
      </c>
      <c r="L202" s="69" t="s">
        <v>1057</v>
      </c>
      <c r="M202">
        <f t="shared" si="6"/>
        <v>0</v>
      </c>
      <c r="N202" s="69">
        <f t="shared" si="7"/>
        <v>198</v>
      </c>
    </row>
    <row r="203" spans="1:14" s="69" customFormat="1" hidden="1" x14ac:dyDescent="0.3">
      <c r="A203" s="99" t="s">
        <v>1070</v>
      </c>
      <c r="B203" s="99" t="s">
        <v>1013</v>
      </c>
      <c r="C203" s="99" t="s">
        <v>8</v>
      </c>
      <c r="D203" s="69" t="s">
        <v>953</v>
      </c>
      <c r="E203" s="98">
        <v>1</v>
      </c>
      <c r="F203" s="69" t="s">
        <v>954</v>
      </c>
      <c r="G203" s="69" t="s">
        <v>955</v>
      </c>
      <c r="H203" s="69" t="s">
        <v>956</v>
      </c>
      <c r="I203" s="69">
        <v>1</v>
      </c>
      <c r="J203" s="98">
        <v>59.95</v>
      </c>
      <c r="K203" s="69" t="s">
        <v>1914</v>
      </c>
      <c r="L203" s="69" t="s">
        <v>1057</v>
      </c>
      <c r="M203">
        <f t="shared" si="6"/>
        <v>59.95</v>
      </c>
      <c r="N203" s="69">
        <f t="shared" si="7"/>
        <v>199</v>
      </c>
    </row>
    <row r="204" spans="1:14" s="12" customFormat="1" hidden="1" x14ac:dyDescent="0.3">
      <c r="A204" s="12" t="s">
        <v>1070</v>
      </c>
      <c r="B204" s="12" t="s">
        <v>1013</v>
      </c>
      <c r="C204" s="12" t="s">
        <v>1898</v>
      </c>
      <c r="D204" s="12" t="s">
        <v>2094</v>
      </c>
      <c r="E204" s="89">
        <v>0</v>
      </c>
      <c r="H204" s="12" t="s">
        <v>2095</v>
      </c>
      <c r="J204" s="89">
        <v>44.95</v>
      </c>
      <c r="K204" s="12" t="s">
        <v>1910</v>
      </c>
      <c r="L204"/>
      <c r="M204">
        <f t="shared" si="6"/>
        <v>0</v>
      </c>
      <c r="N204" s="12">
        <f t="shared" si="7"/>
        <v>200</v>
      </c>
    </row>
    <row r="205" spans="1:14" s="12" customFormat="1" hidden="1" x14ac:dyDescent="0.3">
      <c r="A205" s="12" t="s">
        <v>1070</v>
      </c>
      <c r="B205" s="12" t="s">
        <v>2065</v>
      </c>
      <c r="C205" s="12" t="s">
        <v>1898</v>
      </c>
      <c r="D205" s="12" t="s">
        <v>2073</v>
      </c>
      <c r="E205" s="89">
        <v>1</v>
      </c>
      <c r="H205" s="12" t="s">
        <v>2072</v>
      </c>
      <c r="J205" s="89">
        <v>39.950000000000003</v>
      </c>
      <c r="K205" s="12" t="s">
        <v>1910</v>
      </c>
      <c r="L205"/>
      <c r="M205">
        <f t="shared" si="6"/>
        <v>39.950000000000003</v>
      </c>
      <c r="N205" s="12">
        <f t="shared" si="7"/>
        <v>201</v>
      </c>
    </row>
    <row r="206" spans="1:14" s="12" customFormat="1" hidden="1" x14ac:dyDescent="0.3">
      <c r="A206" s="12" t="s">
        <v>1070</v>
      </c>
      <c r="B206" s="12" t="s">
        <v>2065</v>
      </c>
      <c r="C206" s="12" t="s">
        <v>1898</v>
      </c>
      <c r="D206" s="12" t="s">
        <v>2071</v>
      </c>
      <c r="E206" s="89">
        <v>1</v>
      </c>
      <c r="H206" s="51" t="s">
        <v>2070</v>
      </c>
      <c r="I206"/>
      <c r="J206" s="95">
        <v>9</v>
      </c>
      <c r="K206" s="51" t="s">
        <v>1910</v>
      </c>
      <c r="L206"/>
      <c r="M206">
        <f t="shared" si="6"/>
        <v>9</v>
      </c>
      <c r="N206" s="12">
        <f t="shared" si="7"/>
        <v>202</v>
      </c>
    </row>
    <row r="207" spans="1:14" s="12" customFormat="1" hidden="1" x14ac:dyDescent="0.3">
      <c r="A207" s="12" t="s">
        <v>1070</v>
      </c>
      <c r="B207" s="12" t="s">
        <v>2065</v>
      </c>
      <c r="C207" s="12" t="s">
        <v>1898</v>
      </c>
      <c r="D207" s="12" t="s">
        <v>2069</v>
      </c>
      <c r="E207" s="89">
        <v>1</v>
      </c>
      <c r="H207" s="51" t="s">
        <v>2068</v>
      </c>
      <c r="I207"/>
      <c r="J207" s="95">
        <v>2.95</v>
      </c>
      <c r="K207" s="51" t="s">
        <v>1910</v>
      </c>
      <c r="L207"/>
      <c r="M207">
        <f t="shared" si="6"/>
        <v>2.95</v>
      </c>
      <c r="N207" s="12">
        <f t="shared" si="7"/>
        <v>203</v>
      </c>
    </row>
    <row r="208" spans="1:14" s="69" customFormat="1" hidden="1" x14ac:dyDescent="0.3">
      <c r="A208" s="99" t="s">
        <v>1070</v>
      </c>
      <c r="B208" s="101" t="s">
        <v>1439</v>
      </c>
      <c r="C208" s="101" t="s">
        <v>8</v>
      </c>
      <c r="D208" s="69" t="s">
        <v>1405</v>
      </c>
      <c r="E208" s="98">
        <v>1</v>
      </c>
      <c r="F208" s="69" t="s">
        <v>1406</v>
      </c>
      <c r="G208" s="69" t="s">
        <v>1407</v>
      </c>
      <c r="H208" s="69" t="s">
        <v>1408</v>
      </c>
      <c r="J208" s="98">
        <v>149.94999999999999</v>
      </c>
      <c r="K208" s="69" t="s">
        <v>1914</v>
      </c>
      <c r="L208" s="70"/>
      <c r="M208">
        <f t="shared" si="6"/>
        <v>149.94999999999999</v>
      </c>
      <c r="N208" s="69">
        <f t="shared" si="7"/>
        <v>204</v>
      </c>
    </row>
    <row r="209" spans="1:14" s="69" customFormat="1" hidden="1" x14ac:dyDescent="0.3">
      <c r="A209" s="99" t="s">
        <v>1070</v>
      </c>
      <c r="B209" s="100" t="s">
        <v>1014</v>
      </c>
      <c r="C209" s="100" t="s">
        <v>8</v>
      </c>
      <c r="D209" s="69" t="s">
        <v>957</v>
      </c>
      <c r="E209" s="98">
        <v>1</v>
      </c>
      <c r="F209" s="69" t="s">
        <v>958</v>
      </c>
      <c r="G209" s="69" t="s">
        <v>959</v>
      </c>
      <c r="H209" s="69" t="s">
        <v>960</v>
      </c>
      <c r="I209" s="69">
        <v>1</v>
      </c>
      <c r="J209" s="98">
        <v>4.95</v>
      </c>
      <c r="K209" s="69" t="s">
        <v>1914</v>
      </c>
      <c r="L209" s="69" t="s">
        <v>1065</v>
      </c>
      <c r="M209">
        <f t="shared" si="6"/>
        <v>4.95</v>
      </c>
      <c r="N209" s="69">
        <f t="shared" si="7"/>
        <v>205</v>
      </c>
    </row>
    <row r="210" spans="1:14" s="69" customFormat="1" hidden="1" x14ac:dyDescent="0.3">
      <c r="A210" s="99" t="s">
        <v>1070</v>
      </c>
      <c r="B210" s="100" t="s">
        <v>1014</v>
      </c>
      <c r="C210" s="100" t="s">
        <v>8</v>
      </c>
      <c r="D210" s="69" t="s">
        <v>973</v>
      </c>
      <c r="E210" s="98">
        <v>1</v>
      </c>
      <c r="F210" s="69" t="s">
        <v>974</v>
      </c>
      <c r="G210" s="69" t="s">
        <v>975</v>
      </c>
      <c r="H210" s="69" t="s">
        <v>976</v>
      </c>
      <c r="I210" s="69">
        <v>1</v>
      </c>
      <c r="J210" s="98">
        <v>349</v>
      </c>
      <c r="K210" s="69" t="s">
        <v>1914</v>
      </c>
      <c r="L210" s="69" t="s">
        <v>1058</v>
      </c>
      <c r="M210">
        <f t="shared" si="6"/>
        <v>349</v>
      </c>
      <c r="N210" s="69">
        <f t="shared" si="7"/>
        <v>206</v>
      </c>
    </row>
    <row r="211" spans="1:14" s="12" customFormat="1" hidden="1" x14ac:dyDescent="0.3">
      <c r="A211" s="51" t="s">
        <v>1070</v>
      </c>
      <c r="B211" s="92" t="s">
        <v>1014</v>
      </c>
      <c r="C211" s="92" t="s">
        <v>8</v>
      </c>
      <c r="D211" s="52" t="s">
        <v>1032</v>
      </c>
      <c r="E211" s="89">
        <v>1</v>
      </c>
      <c r="F211" s="12" t="s">
        <v>1034</v>
      </c>
      <c r="G211" s="12" t="s">
        <v>1033</v>
      </c>
      <c r="H211" s="12" t="s">
        <v>1031</v>
      </c>
      <c r="I211" s="12">
        <v>1</v>
      </c>
      <c r="J211" s="89">
        <v>14.95</v>
      </c>
      <c r="K211" s="12" t="s">
        <v>1914</v>
      </c>
      <c r="L211" s="12" t="s">
        <v>1064</v>
      </c>
      <c r="M211">
        <f t="shared" si="6"/>
        <v>14.95</v>
      </c>
      <c r="N211" s="12">
        <f t="shared" si="7"/>
        <v>207</v>
      </c>
    </row>
    <row r="212" spans="1:14" s="69" customFormat="1" hidden="1" x14ac:dyDescent="0.3">
      <c r="A212" s="99" t="s">
        <v>1070</v>
      </c>
      <c r="B212" s="101" t="s">
        <v>993</v>
      </c>
      <c r="C212" s="101" t="s">
        <v>8</v>
      </c>
      <c r="D212" s="69" t="s">
        <v>917</v>
      </c>
      <c r="E212" s="98">
        <v>1</v>
      </c>
      <c r="F212" s="69" t="s">
        <v>918</v>
      </c>
      <c r="G212" s="69" t="s">
        <v>919</v>
      </c>
      <c r="H212" s="69" t="s">
        <v>920</v>
      </c>
      <c r="I212" s="69">
        <v>1</v>
      </c>
      <c r="J212" s="98">
        <v>24.95</v>
      </c>
      <c r="K212" s="69" t="s">
        <v>1914</v>
      </c>
      <c r="L212" s="69" t="s">
        <v>1059</v>
      </c>
      <c r="M212">
        <f t="shared" si="6"/>
        <v>24.95</v>
      </c>
      <c r="N212" s="69">
        <f t="shared" si="7"/>
        <v>208</v>
      </c>
    </row>
    <row r="213" spans="1:14" s="69" customFormat="1" hidden="1" x14ac:dyDescent="0.3">
      <c r="A213" s="99" t="s">
        <v>1070</v>
      </c>
      <c r="B213" s="99" t="s">
        <v>993</v>
      </c>
      <c r="C213" s="99" t="s">
        <v>8</v>
      </c>
      <c r="D213" s="69" t="s">
        <v>921</v>
      </c>
      <c r="E213" s="98">
        <v>1</v>
      </c>
      <c r="F213" s="69" t="s">
        <v>922</v>
      </c>
      <c r="G213" s="69" t="s">
        <v>923</v>
      </c>
      <c r="H213" s="69" t="s">
        <v>924</v>
      </c>
      <c r="I213" s="69">
        <v>1</v>
      </c>
      <c r="J213" s="98">
        <v>14.95</v>
      </c>
      <c r="K213" s="69" t="s">
        <v>1914</v>
      </c>
      <c r="L213" s="69" t="s">
        <v>1059</v>
      </c>
      <c r="M213">
        <f t="shared" si="6"/>
        <v>14.95</v>
      </c>
      <c r="N213" s="69">
        <f t="shared" si="7"/>
        <v>209</v>
      </c>
    </row>
    <row r="214" spans="1:14" s="69" customFormat="1" hidden="1" x14ac:dyDescent="0.3">
      <c r="A214" s="99" t="s">
        <v>1070</v>
      </c>
      <c r="B214" s="100" t="s">
        <v>2028</v>
      </c>
      <c r="C214" s="100" t="s">
        <v>8</v>
      </c>
      <c r="D214" s="69" t="s">
        <v>985</v>
      </c>
      <c r="E214" s="98">
        <v>0</v>
      </c>
      <c r="F214" s="69" t="s">
        <v>986</v>
      </c>
      <c r="G214" s="69" t="s">
        <v>987</v>
      </c>
      <c r="H214" s="69" t="s">
        <v>988</v>
      </c>
      <c r="I214" s="69">
        <v>1</v>
      </c>
      <c r="J214" s="98">
        <v>179.95</v>
      </c>
      <c r="K214" s="69" t="s">
        <v>1914</v>
      </c>
      <c r="L214" s="69" t="s">
        <v>1060</v>
      </c>
      <c r="M214">
        <f t="shared" si="6"/>
        <v>0</v>
      </c>
      <c r="N214" s="69">
        <f t="shared" si="7"/>
        <v>210</v>
      </c>
    </row>
    <row r="215" spans="1:14" s="12" customFormat="1" hidden="1" x14ac:dyDescent="0.3">
      <c r="A215" s="96" t="s">
        <v>1070</v>
      </c>
      <c r="B215" s="92" t="s">
        <v>2028</v>
      </c>
      <c r="C215" s="92" t="s">
        <v>8</v>
      </c>
      <c r="D215" s="12" t="s">
        <v>1783</v>
      </c>
      <c r="E215" s="89">
        <v>1</v>
      </c>
      <c r="F215" s="12" t="s">
        <v>1784</v>
      </c>
      <c r="G215" s="12" t="s">
        <v>1785</v>
      </c>
      <c r="H215" s="12" t="s">
        <v>1786</v>
      </c>
      <c r="J215" s="89">
        <v>84.95</v>
      </c>
      <c r="K215" s="12" t="s">
        <v>1914</v>
      </c>
      <c r="L215"/>
      <c r="M215">
        <f t="shared" si="6"/>
        <v>84.95</v>
      </c>
      <c r="N215" s="12">
        <f t="shared" si="7"/>
        <v>211</v>
      </c>
    </row>
    <row r="216" spans="1:14" s="12" customFormat="1" hidden="1" x14ac:dyDescent="0.3">
      <c r="A216" s="96" t="s">
        <v>1070</v>
      </c>
      <c r="B216" s="92" t="s">
        <v>2028</v>
      </c>
      <c r="C216" s="92" t="s">
        <v>8</v>
      </c>
      <c r="D216" s="12" t="s">
        <v>1747</v>
      </c>
      <c r="E216" s="89">
        <v>0</v>
      </c>
      <c r="F216" s="12" t="s">
        <v>1748</v>
      </c>
      <c r="G216" s="12" t="s">
        <v>1749</v>
      </c>
      <c r="H216" s="12" t="s">
        <v>1750</v>
      </c>
      <c r="I216" s="12">
        <v>1</v>
      </c>
      <c r="J216" s="89">
        <v>84.95</v>
      </c>
      <c r="K216" s="12" t="s">
        <v>1914</v>
      </c>
      <c r="L216"/>
      <c r="M216">
        <f t="shared" si="6"/>
        <v>0</v>
      </c>
      <c r="N216" s="12">
        <f t="shared" si="7"/>
        <v>212</v>
      </c>
    </row>
    <row r="217" spans="1:14" s="12" customFormat="1" hidden="1" x14ac:dyDescent="0.3">
      <c r="A217" s="96" t="s">
        <v>1070</v>
      </c>
      <c r="B217" s="92" t="s">
        <v>2028</v>
      </c>
      <c r="C217" s="92" t="s">
        <v>1898</v>
      </c>
      <c r="D217" s="12" t="s">
        <v>2096</v>
      </c>
      <c r="E217" s="89">
        <v>0</v>
      </c>
      <c r="H217" s="12" t="s">
        <v>2097</v>
      </c>
      <c r="J217" s="89">
        <v>39.950000000000003</v>
      </c>
      <c r="K217" s="12" t="s">
        <v>1910</v>
      </c>
      <c r="L217"/>
      <c r="M217">
        <f t="shared" si="6"/>
        <v>0</v>
      </c>
      <c r="N217" s="12">
        <f t="shared" si="7"/>
        <v>213</v>
      </c>
    </row>
    <row r="218" spans="1:14" s="12" customFormat="1" hidden="1" x14ac:dyDescent="0.3">
      <c r="A218" s="12" t="s">
        <v>1070</v>
      </c>
      <c r="B218" s="92" t="s">
        <v>2028</v>
      </c>
      <c r="C218" s="12" t="s">
        <v>1898</v>
      </c>
      <c r="D218" s="12" t="s">
        <v>2098</v>
      </c>
      <c r="E218" s="89">
        <v>0</v>
      </c>
      <c r="H218" s="51" t="s">
        <v>2099</v>
      </c>
      <c r="I218"/>
      <c r="J218" s="95">
        <v>44.95</v>
      </c>
      <c r="K218" s="51" t="s">
        <v>1910</v>
      </c>
      <c r="L218"/>
      <c r="M218">
        <f t="shared" si="6"/>
        <v>0</v>
      </c>
      <c r="N218" s="12">
        <f t="shared" si="7"/>
        <v>214</v>
      </c>
    </row>
    <row r="219" spans="1:14" s="103" customFormat="1" hidden="1" x14ac:dyDescent="0.3">
      <c r="A219" s="103" t="s">
        <v>1070</v>
      </c>
      <c r="B219" s="92" t="s">
        <v>2028</v>
      </c>
      <c r="C219" s="103" t="s">
        <v>8</v>
      </c>
      <c r="D219" s="103" t="s">
        <v>1743</v>
      </c>
      <c r="E219" s="104">
        <v>1</v>
      </c>
      <c r="F219" s="103" t="s">
        <v>1744</v>
      </c>
      <c r="G219" s="103" t="s">
        <v>1745</v>
      </c>
      <c r="H219" s="102" t="s">
        <v>1746</v>
      </c>
      <c r="I219" s="105">
        <v>1</v>
      </c>
      <c r="J219" s="111">
        <v>24.95</v>
      </c>
      <c r="K219" s="102" t="s">
        <v>1914</v>
      </c>
      <c r="L219" s="105"/>
      <c r="M219">
        <f t="shared" si="6"/>
        <v>24.95</v>
      </c>
      <c r="N219" s="103">
        <f t="shared" si="7"/>
        <v>215</v>
      </c>
    </row>
    <row r="220" spans="1:14" s="103" customFormat="1" hidden="1" x14ac:dyDescent="0.3">
      <c r="A220" s="102" t="s">
        <v>1070</v>
      </c>
      <c r="B220" s="117" t="s">
        <v>1071</v>
      </c>
      <c r="C220" s="117" t="s">
        <v>8</v>
      </c>
      <c r="D220" s="103" t="s">
        <v>981</v>
      </c>
      <c r="E220" s="104">
        <v>1</v>
      </c>
      <c r="F220" s="103" t="s">
        <v>982</v>
      </c>
      <c r="G220" s="103" t="s">
        <v>983</v>
      </c>
      <c r="H220" s="103" t="s">
        <v>984</v>
      </c>
      <c r="J220" s="104">
        <v>209.95</v>
      </c>
      <c r="K220" s="103" t="s">
        <v>1914</v>
      </c>
      <c r="L220" s="103" t="s">
        <v>1062</v>
      </c>
      <c r="M220">
        <f t="shared" si="6"/>
        <v>209.95</v>
      </c>
      <c r="N220" s="103">
        <f t="shared" si="7"/>
        <v>216</v>
      </c>
    </row>
    <row r="221" spans="1:14" s="103" customFormat="1" hidden="1" x14ac:dyDescent="0.3">
      <c r="A221" s="102" t="s">
        <v>1070</v>
      </c>
      <c r="B221" s="117" t="s">
        <v>1437</v>
      </c>
      <c r="C221" s="117" t="s">
        <v>8</v>
      </c>
      <c r="D221" s="103" t="s">
        <v>977</v>
      </c>
      <c r="E221" s="104">
        <v>1</v>
      </c>
      <c r="F221" s="103" t="s">
        <v>978</v>
      </c>
      <c r="G221" s="103" t="s">
        <v>979</v>
      </c>
      <c r="H221" s="103" t="s">
        <v>980</v>
      </c>
      <c r="I221" s="103">
        <v>1</v>
      </c>
      <c r="J221" s="104">
        <v>49.95</v>
      </c>
      <c r="K221" s="103" t="s">
        <v>1910</v>
      </c>
      <c r="L221" s="103" t="s">
        <v>1061</v>
      </c>
      <c r="M221">
        <f t="shared" si="6"/>
        <v>49.95</v>
      </c>
      <c r="N221" s="103">
        <f t="shared" si="7"/>
        <v>217</v>
      </c>
    </row>
    <row r="222" spans="1:14" s="103" customFormat="1" hidden="1" x14ac:dyDescent="0.3">
      <c r="A222" s="103" t="s">
        <v>1070</v>
      </c>
      <c r="B222" s="103" t="s">
        <v>2023</v>
      </c>
      <c r="C222" s="103" t="s">
        <v>1898</v>
      </c>
      <c r="D222" s="103" t="s">
        <v>2348</v>
      </c>
      <c r="E222" s="104">
        <v>0</v>
      </c>
      <c r="H222" s="102" t="s">
        <v>2349</v>
      </c>
      <c r="I222" s="105"/>
      <c r="J222" s="111">
        <v>9.9499999999999993</v>
      </c>
      <c r="K222" s="102" t="s">
        <v>1910</v>
      </c>
      <c r="L222" s="105"/>
      <c r="M222">
        <f t="shared" si="6"/>
        <v>0</v>
      </c>
      <c r="N222" s="103">
        <f t="shared" si="7"/>
        <v>218</v>
      </c>
    </row>
    <row r="223" spans="1:14" s="103" customFormat="1" hidden="1" x14ac:dyDescent="0.3">
      <c r="A223" s="103" t="s">
        <v>1070</v>
      </c>
      <c r="B223" s="103" t="s">
        <v>2023</v>
      </c>
      <c r="C223" s="103" t="s">
        <v>1898</v>
      </c>
      <c r="D223" s="103" t="s">
        <v>2350</v>
      </c>
      <c r="E223" s="104">
        <v>0</v>
      </c>
      <c r="H223" s="102" t="s">
        <v>2351</v>
      </c>
      <c r="I223" s="105"/>
      <c r="J223" s="111">
        <v>24.95</v>
      </c>
      <c r="K223" s="102" t="s">
        <v>1910</v>
      </c>
      <c r="L223" s="105"/>
      <c r="M223">
        <f t="shared" si="6"/>
        <v>0</v>
      </c>
      <c r="N223" s="103">
        <f t="shared" si="7"/>
        <v>219</v>
      </c>
    </row>
    <row r="224" spans="1:14" s="103" customFormat="1" hidden="1" x14ac:dyDescent="0.3">
      <c r="A224" s="103" t="s">
        <v>1070</v>
      </c>
      <c r="B224" s="103" t="s">
        <v>2023</v>
      </c>
      <c r="C224" s="103" t="s">
        <v>1898</v>
      </c>
      <c r="D224" s="103" t="s">
        <v>2352</v>
      </c>
      <c r="E224" s="104">
        <v>0</v>
      </c>
      <c r="H224" s="102" t="s">
        <v>2353</v>
      </c>
      <c r="I224" s="105"/>
      <c r="J224" s="111">
        <v>26.95</v>
      </c>
      <c r="K224" s="102" t="s">
        <v>1913</v>
      </c>
      <c r="L224" s="105"/>
      <c r="M224">
        <f t="shared" si="6"/>
        <v>0</v>
      </c>
      <c r="N224" s="103">
        <f t="shared" si="7"/>
        <v>220</v>
      </c>
    </row>
    <row r="225" spans="1:14" s="103" customFormat="1" hidden="1" x14ac:dyDescent="0.3">
      <c r="A225" s="103" t="s">
        <v>1070</v>
      </c>
      <c r="B225" s="103" t="s">
        <v>2023</v>
      </c>
      <c r="C225" s="103" t="s">
        <v>1898</v>
      </c>
      <c r="D225" s="103" t="s">
        <v>2354</v>
      </c>
      <c r="E225" s="104">
        <v>0</v>
      </c>
      <c r="H225" s="102" t="s">
        <v>2355</v>
      </c>
      <c r="I225" s="105"/>
      <c r="J225" s="111">
        <v>14.95</v>
      </c>
      <c r="K225" s="102" t="s">
        <v>1910</v>
      </c>
      <c r="L225" s="105"/>
      <c r="M225">
        <f t="shared" si="6"/>
        <v>0</v>
      </c>
      <c r="N225" s="103">
        <f t="shared" si="7"/>
        <v>221</v>
      </c>
    </row>
    <row r="226" spans="1:14" s="103" customFormat="1" hidden="1" x14ac:dyDescent="0.3">
      <c r="A226" s="102" t="s">
        <v>1046</v>
      </c>
      <c r="B226" s="102" t="s">
        <v>1068</v>
      </c>
      <c r="C226" s="102" t="s">
        <v>8</v>
      </c>
      <c r="D226" s="103" t="s">
        <v>359</v>
      </c>
      <c r="E226" s="104">
        <v>1</v>
      </c>
      <c r="F226" s="103" t="s">
        <v>360</v>
      </c>
      <c r="G226" s="103" t="s">
        <v>361</v>
      </c>
      <c r="H226" s="103" t="s">
        <v>362</v>
      </c>
      <c r="I226" s="103">
        <v>1</v>
      </c>
      <c r="J226" s="104">
        <v>94.95</v>
      </c>
      <c r="K226" s="103" t="s">
        <v>1913</v>
      </c>
      <c r="L226" s="103" t="s">
        <v>1054</v>
      </c>
      <c r="M226">
        <f t="shared" si="6"/>
        <v>94.95</v>
      </c>
      <c r="N226" s="103">
        <f t="shared" si="7"/>
        <v>222</v>
      </c>
    </row>
    <row r="227" spans="1:14" s="103" customFormat="1" hidden="1" x14ac:dyDescent="0.3">
      <c r="A227" s="102" t="s">
        <v>1046</v>
      </c>
      <c r="B227" s="102" t="s">
        <v>1409</v>
      </c>
      <c r="C227" s="102" t="s">
        <v>8</v>
      </c>
      <c r="D227" s="103" t="s">
        <v>1330</v>
      </c>
      <c r="E227" s="104">
        <v>1</v>
      </c>
      <c r="F227" s="103" t="s">
        <v>1331</v>
      </c>
      <c r="G227" s="103" t="s">
        <v>1332</v>
      </c>
      <c r="H227" s="103" t="s">
        <v>1333</v>
      </c>
      <c r="I227" s="103">
        <v>1</v>
      </c>
      <c r="J227" s="104">
        <v>69.95</v>
      </c>
      <c r="K227" s="103" t="s">
        <v>1914</v>
      </c>
      <c r="L227" s="103" t="s">
        <v>1350</v>
      </c>
      <c r="M227">
        <f t="shared" si="6"/>
        <v>69.95</v>
      </c>
      <c r="N227" s="103">
        <f t="shared" si="7"/>
        <v>223</v>
      </c>
    </row>
    <row r="228" spans="1:14" s="103" customFormat="1" hidden="1" x14ac:dyDescent="0.3">
      <c r="A228" s="102" t="s">
        <v>1046</v>
      </c>
      <c r="B228" s="102" t="s">
        <v>1409</v>
      </c>
      <c r="C228" s="102" t="s">
        <v>8</v>
      </c>
      <c r="D228" s="103" t="s">
        <v>1318</v>
      </c>
      <c r="E228" s="104">
        <v>0</v>
      </c>
      <c r="F228" s="103" t="s">
        <v>1319</v>
      </c>
      <c r="G228" s="103" t="s">
        <v>1320</v>
      </c>
      <c r="H228" s="103" t="s">
        <v>1321</v>
      </c>
      <c r="J228" s="104">
        <v>9.9499999999999993</v>
      </c>
      <c r="K228" s="103" t="s">
        <v>1914</v>
      </c>
      <c r="L228" s="103" t="s">
        <v>1350</v>
      </c>
      <c r="M228">
        <f t="shared" si="6"/>
        <v>0</v>
      </c>
      <c r="N228" s="103">
        <f t="shared" si="7"/>
        <v>224</v>
      </c>
    </row>
    <row r="229" spans="1:14" s="103" customFormat="1" hidden="1" x14ac:dyDescent="0.3">
      <c r="A229" s="102" t="s">
        <v>1046</v>
      </c>
      <c r="B229" s="102" t="s">
        <v>1409</v>
      </c>
      <c r="C229" s="102" t="s">
        <v>8</v>
      </c>
      <c r="D229" s="103" t="s">
        <v>1322</v>
      </c>
      <c r="E229" s="104">
        <v>0</v>
      </c>
      <c r="F229" s="103" t="s">
        <v>1323</v>
      </c>
      <c r="G229" s="103" t="s">
        <v>1324</v>
      </c>
      <c r="H229" s="103" t="s">
        <v>1325</v>
      </c>
      <c r="I229" s="103">
        <v>1</v>
      </c>
      <c r="J229" s="104">
        <v>99.95</v>
      </c>
      <c r="K229" s="103" t="s">
        <v>1914</v>
      </c>
      <c r="L229" s="103" t="s">
        <v>1350</v>
      </c>
      <c r="M229">
        <f t="shared" si="6"/>
        <v>0</v>
      </c>
      <c r="N229" s="103">
        <f t="shared" si="7"/>
        <v>225</v>
      </c>
    </row>
    <row r="230" spans="1:14" s="103" customFormat="1" hidden="1" x14ac:dyDescent="0.3">
      <c r="A230" s="102" t="s">
        <v>1046</v>
      </c>
      <c r="B230" s="102" t="s">
        <v>1409</v>
      </c>
      <c r="C230" s="102" t="s">
        <v>8</v>
      </c>
      <c r="D230" s="103" t="s">
        <v>1326</v>
      </c>
      <c r="E230" s="104">
        <v>0</v>
      </c>
      <c r="F230" s="103" t="s">
        <v>1327</v>
      </c>
      <c r="G230" s="103" t="s">
        <v>1328</v>
      </c>
      <c r="H230" s="103" t="s">
        <v>1329</v>
      </c>
      <c r="I230" s="103">
        <v>1</v>
      </c>
      <c r="J230" s="104">
        <v>65.95</v>
      </c>
      <c r="K230" s="103" t="s">
        <v>1914</v>
      </c>
      <c r="L230" s="103" t="s">
        <v>1350</v>
      </c>
      <c r="M230">
        <f t="shared" si="6"/>
        <v>0</v>
      </c>
      <c r="N230" s="103">
        <f t="shared" si="7"/>
        <v>226</v>
      </c>
    </row>
    <row r="231" spans="1:14" s="103" customFormat="1" hidden="1" x14ac:dyDescent="0.3">
      <c r="A231" s="102" t="s">
        <v>1046</v>
      </c>
      <c r="B231" s="102" t="s">
        <v>1409</v>
      </c>
      <c r="C231" s="102" t="s">
        <v>8</v>
      </c>
      <c r="D231" s="103" t="s">
        <v>1314</v>
      </c>
      <c r="E231" s="104">
        <v>0</v>
      </c>
      <c r="F231" s="103" t="s">
        <v>1315</v>
      </c>
      <c r="G231" s="103" t="s">
        <v>1316</v>
      </c>
      <c r="H231" s="103" t="s">
        <v>1317</v>
      </c>
      <c r="J231" s="104">
        <v>7.95</v>
      </c>
      <c r="K231" s="103" t="s">
        <v>1914</v>
      </c>
      <c r="L231" s="103" t="s">
        <v>1350</v>
      </c>
      <c r="M231">
        <f t="shared" si="6"/>
        <v>0</v>
      </c>
      <c r="N231" s="103">
        <f t="shared" si="7"/>
        <v>227</v>
      </c>
    </row>
    <row r="232" spans="1:14" s="103" customFormat="1" hidden="1" x14ac:dyDescent="0.3">
      <c r="A232" s="103" t="s">
        <v>1046</v>
      </c>
      <c r="B232" s="103" t="s">
        <v>1409</v>
      </c>
      <c r="C232" s="103" t="s">
        <v>1898</v>
      </c>
      <c r="D232" s="103" t="s">
        <v>2376</v>
      </c>
      <c r="E232" s="104">
        <v>1</v>
      </c>
      <c r="H232" s="102" t="s">
        <v>2377</v>
      </c>
      <c r="I232" s="105"/>
      <c r="J232" s="111">
        <v>49.95</v>
      </c>
      <c r="K232" s="102" t="s">
        <v>1914</v>
      </c>
      <c r="L232" s="105"/>
      <c r="M232">
        <f t="shared" si="6"/>
        <v>49.95</v>
      </c>
      <c r="N232" s="103">
        <f t="shared" si="7"/>
        <v>228</v>
      </c>
    </row>
    <row r="233" spans="1:14" s="103" customFormat="1" hidden="1" x14ac:dyDescent="0.3">
      <c r="A233" s="103" t="s">
        <v>1046</v>
      </c>
      <c r="B233" s="103" t="s">
        <v>1409</v>
      </c>
      <c r="C233" s="103" t="s">
        <v>1898</v>
      </c>
      <c r="D233" s="103" t="s">
        <v>2378</v>
      </c>
      <c r="E233" s="104">
        <v>0</v>
      </c>
      <c r="H233" s="102" t="s">
        <v>2379</v>
      </c>
      <c r="I233" s="105"/>
      <c r="J233" s="111">
        <v>9.9499999999999993</v>
      </c>
      <c r="K233" s="102" t="s">
        <v>1914</v>
      </c>
      <c r="L233" s="105"/>
      <c r="M233">
        <f t="shared" si="6"/>
        <v>0</v>
      </c>
      <c r="N233" s="103">
        <f t="shared" si="7"/>
        <v>229</v>
      </c>
    </row>
    <row r="234" spans="1:14" s="103" customFormat="1" hidden="1" x14ac:dyDescent="0.3">
      <c r="A234" s="103" t="s">
        <v>1046</v>
      </c>
      <c r="B234" s="103" t="s">
        <v>1409</v>
      </c>
      <c r="C234" s="103" t="s">
        <v>1898</v>
      </c>
      <c r="D234" s="103" t="s">
        <v>2380</v>
      </c>
      <c r="E234" s="104">
        <v>0</v>
      </c>
      <c r="H234" s="102" t="s">
        <v>2381</v>
      </c>
      <c r="I234" s="105"/>
      <c r="J234" s="111">
        <v>19.95</v>
      </c>
      <c r="K234" s="102" t="s">
        <v>1914</v>
      </c>
      <c r="L234" s="105"/>
      <c r="M234">
        <f t="shared" si="6"/>
        <v>0</v>
      </c>
      <c r="N234" s="103">
        <f t="shared" si="7"/>
        <v>230</v>
      </c>
    </row>
    <row r="235" spans="1:14" s="103" customFormat="1" hidden="1" x14ac:dyDescent="0.3">
      <c r="A235" s="103" t="s">
        <v>1046</v>
      </c>
      <c r="B235" s="103" t="s">
        <v>1409</v>
      </c>
      <c r="C235" s="103" t="s">
        <v>1898</v>
      </c>
      <c r="D235" s="103" t="s">
        <v>2382</v>
      </c>
      <c r="E235" s="104">
        <v>1</v>
      </c>
      <c r="H235" s="102" t="s">
        <v>2383</v>
      </c>
      <c r="I235" s="105"/>
      <c r="J235" s="111">
        <v>9.9499999999999993</v>
      </c>
      <c r="K235" s="102" t="s">
        <v>1914</v>
      </c>
      <c r="L235" s="105"/>
      <c r="M235">
        <f t="shared" si="6"/>
        <v>9.9499999999999993</v>
      </c>
      <c r="N235" s="103">
        <f t="shared" si="7"/>
        <v>231</v>
      </c>
    </row>
    <row r="236" spans="1:14" s="103" customFormat="1" hidden="1" x14ac:dyDescent="0.3">
      <c r="A236" s="103" t="s">
        <v>1046</v>
      </c>
      <c r="B236" s="103" t="s">
        <v>1409</v>
      </c>
      <c r="C236" s="103" t="s">
        <v>1898</v>
      </c>
      <c r="D236" s="103" t="s">
        <v>2384</v>
      </c>
      <c r="E236" s="104">
        <v>0</v>
      </c>
      <c r="H236" s="102" t="s">
        <v>2385</v>
      </c>
      <c r="I236" s="105"/>
      <c r="J236" s="111">
        <v>7.95</v>
      </c>
      <c r="K236" s="102" t="s">
        <v>1914</v>
      </c>
      <c r="L236" s="105"/>
      <c r="M236">
        <f t="shared" si="6"/>
        <v>0</v>
      </c>
      <c r="N236" s="103">
        <f t="shared" si="7"/>
        <v>232</v>
      </c>
    </row>
    <row r="237" spans="1:14" s="103" customFormat="1" hidden="1" x14ac:dyDescent="0.3">
      <c r="A237" s="103" t="s">
        <v>1046</v>
      </c>
      <c r="B237" s="103" t="s">
        <v>1409</v>
      </c>
      <c r="C237" s="103" t="s">
        <v>1898</v>
      </c>
      <c r="D237" s="103" t="s">
        <v>2386</v>
      </c>
      <c r="E237" s="104">
        <v>1</v>
      </c>
      <c r="H237" s="102" t="s">
        <v>2387</v>
      </c>
      <c r="I237" s="105"/>
      <c r="J237" s="111">
        <v>39.950000000000003</v>
      </c>
      <c r="K237" s="102" t="s">
        <v>1914</v>
      </c>
      <c r="L237" s="105"/>
      <c r="M237">
        <f t="shared" si="6"/>
        <v>39.950000000000003</v>
      </c>
      <c r="N237" s="103">
        <f t="shared" si="7"/>
        <v>233</v>
      </c>
    </row>
    <row r="238" spans="1:14" s="103" customFormat="1" hidden="1" x14ac:dyDescent="0.3">
      <c r="A238" s="103" t="s">
        <v>1046</v>
      </c>
      <c r="B238" s="103" t="s">
        <v>1409</v>
      </c>
      <c r="C238" s="103" t="s">
        <v>1898</v>
      </c>
      <c r="D238" s="103" t="s">
        <v>2388</v>
      </c>
      <c r="E238" s="104">
        <v>0</v>
      </c>
      <c r="H238" s="102" t="s">
        <v>2389</v>
      </c>
      <c r="I238" s="105"/>
      <c r="J238" s="111">
        <v>39.950000000000003</v>
      </c>
      <c r="K238" s="102" t="s">
        <v>1914</v>
      </c>
      <c r="L238" s="105"/>
      <c r="M238">
        <f t="shared" si="6"/>
        <v>0</v>
      </c>
      <c r="N238" s="103">
        <f t="shared" si="7"/>
        <v>234</v>
      </c>
    </row>
    <row r="239" spans="1:14" s="103" customFormat="1" hidden="1" x14ac:dyDescent="0.3">
      <c r="A239" s="103" t="s">
        <v>1046</v>
      </c>
      <c r="B239" s="103" t="s">
        <v>1409</v>
      </c>
      <c r="C239" s="103" t="s">
        <v>1898</v>
      </c>
      <c r="D239" s="103" t="s">
        <v>2390</v>
      </c>
      <c r="E239" s="104">
        <v>0</v>
      </c>
      <c r="H239" s="102" t="s">
        <v>2391</v>
      </c>
      <c r="I239" s="105"/>
      <c r="J239" s="111">
        <v>49.95</v>
      </c>
      <c r="K239" s="102" t="s">
        <v>1914</v>
      </c>
      <c r="L239" s="105"/>
      <c r="M239">
        <f t="shared" si="6"/>
        <v>0</v>
      </c>
      <c r="N239" s="103">
        <f t="shared" si="7"/>
        <v>235</v>
      </c>
    </row>
    <row r="240" spans="1:14" s="103" customFormat="1" hidden="1" x14ac:dyDescent="0.3">
      <c r="A240" s="102" t="s">
        <v>1046</v>
      </c>
      <c r="B240" s="102" t="s">
        <v>1042</v>
      </c>
      <c r="C240" s="102" t="s">
        <v>8</v>
      </c>
      <c r="D240" s="103" t="s">
        <v>340</v>
      </c>
      <c r="E240" s="104">
        <v>1</v>
      </c>
      <c r="F240" s="103" t="s">
        <v>341</v>
      </c>
      <c r="G240" s="103" t="s">
        <v>342</v>
      </c>
      <c r="H240" s="103" t="s">
        <v>343</v>
      </c>
      <c r="I240" s="103">
        <v>1</v>
      </c>
      <c r="J240" s="104">
        <v>54.95</v>
      </c>
      <c r="K240" s="103" t="s">
        <v>1914</v>
      </c>
      <c r="L240" s="103" t="s">
        <v>1045</v>
      </c>
      <c r="M240">
        <f t="shared" si="6"/>
        <v>54.95</v>
      </c>
      <c r="N240" s="103">
        <f t="shared" si="7"/>
        <v>236</v>
      </c>
    </row>
    <row r="241" spans="1:14" s="103" customFormat="1" hidden="1" x14ac:dyDescent="0.3">
      <c r="A241" s="102" t="s">
        <v>1046</v>
      </c>
      <c r="B241" s="102" t="s">
        <v>1042</v>
      </c>
      <c r="C241" s="102" t="s">
        <v>8</v>
      </c>
      <c r="D241" s="103" t="s">
        <v>336</v>
      </c>
      <c r="E241" s="104">
        <v>0</v>
      </c>
      <c r="F241" s="103" t="s">
        <v>337</v>
      </c>
      <c r="G241" s="103" t="s">
        <v>338</v>
      </c>
      <c r="H241" s="103" t="s">
        <v>339</v>
      </c>
      <c r="J241" s="104">
        <v>59.95</v>
      </c>
      <c r="K241" s="103" t="s">
        <v>1913</v>
      </c>
      <c r="L241" s="103" t="s">
        <v>1045</v>
      </c>
      <c r="M241">
        <f t="shared" si="6"/>
        <v>0</v>
      </c>
      <c r="N241" s="103">
        <f t="shared" si="7"/>
        <v>237</v>
      </c>
    </row>
    <row r="242" spans="1:14" s="103" customFormat="1" hidden="1" x14ac:dyDescent="0.3">
      <c r="A242" s="102" t="s">
        <v>1046</v>
      </c>
      <c r="B242" s="102" t="s">
        <v>1043</v>
      </c>
      <c r="C242" s="102" t="s">
        <v>8</v>
      </c>
      <c r="D242" s="103" t="s">
        <v>300</v>
      </c>
      <c r="E242" s="104">
        <v>1</v>
      </c>
      <c r="F242" s="103" t="s">
        <v>301</v>
      </c>
      <c r="G242" s="103" t="s">
        <v>302</v>
      </c>
      <c r="H242" s="103" t="s">
        <v>303</v>
      </c>
      <c r="I242" s="103">
        <v>1</v>
      </c>
      <c r="J242" s="104">
        <v>99.95</v>
      </c>
      <c r="K242" s="103" t="s">
        <v>1914</v>
      </c>
      <c r="L242" s="103" t="s">
        <v>1052</v>
      </c>
      <c r="M242">
        <f t="shared" si="6"/>
        <v>99.95</v>
      </c>
      <c r="N242" s="103">
        <f t="shared" si="7"/>
        <v>238</v>
      </c>
    </row>
    <row r="243" spans="1:14" s="103" customFormat="1" hidden="1" x14ac:dyDescent="0.3">
      <c r="A243" s="102" t="s">
        <v>1046</v>
      </c>
      <c r="B243" s="102" t="s">
        <v>1043</v>
      </c>
      <c r="C243" s="102" t="s">
        <v>8</v>
      </c>
      <c r="D243" s="103" t="s">
        <v>320</v>
      </c>
      <c r="E243" s="104">
        <v>1</v>
      </c>
      <c r="F243" s="103" t="s">
        <v>321</v>
      </c>
      <c r="G243" s="103" t="s">
        <v>322</v>
      </c>
      <c r="H243" s="103" t="s">
        <v>323</v>
      </c>
      <c r="I243" s="103">
        <v>1</v>
      </c>
      <c r="J243" s="104">
        <v>19.95</v>
      </c>
      <c r="K243" s="103" t="s">
        <v>1914</v>
      </c>
      <c r="L243" s="103" t="s">
        <v>1052</v>
      </c>
      <c r="M243">
        <f t="shared" si="6"/>
        <v>19.95</v>
      </c>
      <c r="N243" s="103">
        <f t="shared" si="7"/>
        <v>239</v>
      </c>
    </row>
    <row r="244" spans="1:14" s="103" customFormat="1" hidden="1" x14ac:dyDescent="0.3">
      <c r="A244" s="102" t="s">
        <v>1046</v>
      </c>
      <c r="B244" s="102" t="s">
        <v>1043</v>
      </c>
      <c r="C244" s="102" t="s">
        <v>8</v>
      </c>
      <c r="D244" s="103" t="s">
        <v>308</v>
      </c>
      <c r="E244" s="104">
        <v>1</v>
      </c>
      <c r="F244" s="103" t="s">
        <v>309</v>
      </c>
      <c r="G244" s="103" t="s">
        <v>310</v>
      </c>
      <c r="H244" s="103" t="s">
        <v>311</v>
      </c>
      <c r="I244" s="103">
        <v>1</v>
      </c>
      <c r="J244" s="104">
        <v>9.9499999999999993</v>
      </c>
      <c r="K244" s="103" t="s">
        <v>1914</v>
      </c>
      <c r="L244" s="103" t="s">
        <v>1052</v>
      </c>
      <c r="M244">
        <f t="shared" si="6"/>
        <v>9.9499999999999993</v>
      </c>
      <c r="N244" s="103">
        <f t="shared" si="7"/>
        <v>240</v>
      </c>
    </row>
    <row r="245" spans="1:14" s="103" customFormat="1" hidden="1" x14ac:dyDescent="0.3">
      <c r="A245" s="102" t="s">
        <v>1046</v>
      </c>
      <c r="B245" s="102" t="s">
        <v>1043</v>
      </c>
      <c r="C245" s="102" t="s">
        <v>8</v>
      </c>
      <c r="D245" s="103" t="s">
        <v>312</v>
      </c>
      <c r="E245" s="104">
        <v>1</v>
      </c>
      <c r="F245" s="103" t="s">
        <v>313</v>
      </c>
      <c r="G245" s="103" t="s">
        <v>314</v>
      </c>
      <c r="H245" s="103" t="s">
        <v>315</v>
      </c>
      <c r="I245" s="103">
        <v>1</v>
      </c>
      <c r="J245" s="104">
        <v>9.9499999999999993</v>
      </c>
      <c r="K245" s="103" t="s">
        <v>1914</v>
      </c>
      <c r="L245" s="103" t="s">
        <v>1052</v>
      </c>
      <c r="M245">
        <f t="shared" si="6"/>
        <v>9.9499999999999993</v>
      </c>
      <c r="N245" s="103">
        <f t="shared" si="7"/>
        <v>241</v>
      </c>
    </row>
    <row r="246" spans="1:14" s="69" customFormat="1" hidden="1" x14ac:dyDescent="0.3">
      <c r="A246" s="99" t="s">
        <v>1046</v>
      </c>
      <c r="B246" s="99" t="s">
        <v>1043</v>
      </c>
      <c r="C246" s="99" t="s">
        <v>8</v>
      </c>
      <c r="D246" s="69" t="s">
        <v>316</v>
      </c>
      <c r="E246" s="98">
        <v>1</v>
      </c>
      <c r="F246" s="69" t="s">
        <v>317</v>
      </c>
      <c r="G246" s="69" t="s">
        <v>318</v>
      </c>
      <c r="H246" s="69" t="s">
        <v>319</v>
      </c>
      <c r="I246" s="69">
        <v>1</v>
      </c>
      <c r="J246" s="98">
        <v>9.9499999999999993</v>
      </c>
      <c r="K246" s="69" t="s">
        <v>1914</v>
      </c>
      <c r="L246" s="69" t="s">
        <v>1052</v>
      </c>
      <c r="M246">
        <f t="shared" si="6"/>
        <v>9.9499999999999993</v>
      </c>
      <c r="N246" s="69">
        <f t="shared" si="7"/>
        <v>242</v>
      </c>
    </row>
    <row r="247" spans="1:14" s="69" customFormat="1" hidden="1" x14ac:dyDescent="0.3">
      <c r="A247" s="99" t="s">
        <v>1046</v>
      </c>
      <c r="B247" s="99" t="s">
        <v>1043</v>
      </c>
      <c r="C247" s="99" t="s">
        <v>8</v>
      </c>
      <c r="D247" s="69" t="s">
        <v>304</v>
      </c>
      <c r="E247" s="98">
        <v>1</v>
      </c>
      <c r="F247" s="69" t="s">
        <v>305</v>
      </c>
      <c r="G247" s="69" t="s">
        <v>306</v>
      </c>
      <c r="H247" s="69" t="s">
        <v>307</v>
      </c>
      <c r="I247" s="69">
        <v>1</v>
      </c>
      <c r="J247" s="98">
        <v>9.9499999999999993</v>
      </c>
      <c r="K247" s="69" t="s">
        <v>1914</v>
      </c>
      <c r="L247" s="69" t="s">
        <v>1052</v>
      </c>
      <c r="M247">
        <f t="shared" si="6"/>
        <v>9.9499999999999993</v>
      </c>
      <c r="N247" s="69">
        <f t="shared" si="7"/>
        <v>243</v>
      </c>
    </row>
    <row r="248" spans="1:14" s="69" customFormat="1" hidden="1" x14ac:dyDescent="0.3">
      <c r="A248" s="99" t="s">
        <v>1046</v>
      </c>
      <c r="B248" s="99" t="s">
        <v>1043</v>
      </c>
      <c r="C248" s="99" t="s">
        <v>8</v>
      </c>
      <c r="D248" s="69" t="s">
        <v>1128</v>
      </c>
      <c r="E248" s="98">
        <v>1</v>
      </c>
      <c r="F248" s="69" t="s">
        <v>1129</v>
      </c>
      <c r="G248" s="69" t="s">
        <v>1130</v>
      </c>
      <c r="H248" s="69" t="s">
        <v>1131</v>
      </c>
      <c r="I248" s="69">
        <v>1</v>
      </c>
      <c r="J248" s="98">
        <v>14.95</v>
      </c>
      <c r="K248" s="69" t="s">
        <v>1914</v>
      </c>
      <c r="L248" s="69" t="s">
        <v>1052</v>
      </c>
      <c r="M248">
        <f t="shared" si="6"/>
        <v>14.95</v>
      </c>
      <c r="N248" s="69">
        <f t="shared" si="7"/>
        <v>244</v>
      </c>
    </row>
    <row r="249" spans="1:14" s="69" customFormat="1" hidden="1" x14ac:dyDescent="0.3">
      <c r="A249" s="99" t="s">
        <v>1046</v>
      </c>
      <c r="B249" s="99" t="s">
        <v>1043</v>
      </c>
      <c r="C249" s="99" t="s">
        <v>8</v>
      </c>
      <c r="D249" s="69" t="s">
        <v>1148</v>
      </c>
      <c r="E249" s="98">
        <v>1</v>
      </c>
      <c r="F249" s="69" t="s">
        <v>1149</v>
      </c>
      <c r="G249" s="69" t="s">
        <v>1150</v>
      </c>
      <c r="H249" s="69" t="s">
        <v>1151</v>
      </c>
      <c r="I249" s="69">
        <v>1</v>
      </c>
      <c r="J249" s="98">
        <v>9.9499999999999993</v>
      </c>
      <c r="K249" s="69" t="s">
        <v>1914</v>
      </c>
      <c r="L249" s="69" t="s">
        <v>1052</v>
      </c>
      <c r="M249">
        <f t="shared" si="6"/>
        <v>9.9499999999999993</v>
      </c>
      <c r="N249" s="69">
        <f t="shared" si="7"/>
        <v>245</v>
      </c>
    </row>
    <row r="250" spans="1:14" s="69" customFormat="1" hidden="1" x14ac:dyDescent="0.3">
      <c r="A250" s="99" t="s">
        <v>1046</v>
      </c>
      <c r="B250" s="99" t="s">
        <v>1043</v>
      </c>
      <c r="C250" s="99" t="s">
        <v>8</v>
      </c>
      <c r="D250" s="69" t="s">
        <v>799</v>
      </c>
      <c r="E250" s="98">
        <v>4</v>
      </c>
      <c r="F250" s="69" t="s">
        <v>800</v>
      </c>
      <c r="G250" s="69" t="s">
        <v>801</v>
      </c>
      <c r="H250" s="69" t="s">
        <v>802</v>
      </c>
      <c r="I250" s="69">
        <v>1</v>
      </c>
      <c r="J250" s="98">
        <v>2.95</v>
      </c>
      <c r="K250" s="69" t="s">
        <v>1914</v>
      </c>
      <c r="L250" s="69" t="s">
        <v>1052</v>
      </c>
      <c r="M250">
        <f t="shared" si="6"/>
        <v>11.8</v>
      </c>
      <c r="N250" s="69">
        <f t="shared" si="7"/>
        <v>246</v>
      </c>
    </row>
    <row r="251" spans="1:14" s="69" customFormat="1" ht="16.2" hidden="1" x14ac:dyDescent="0.3">
      <c r="A251" s="99" t="s">
        <v>1046</v>
      </c>
      <c r="B251" s="99" t="s">
        <v>1737</v>
      </c>
      <c r="C251" s="99" t="s">
        <v>8</v>
      </c>
      <c r="D251" s="69" t="s">
        <v>1172</v>
      </c>
      <c r="E251" s="98">
        <v>1</v>
      </c>
      <c r="F251" s="69" t="s">
        <v>1173</v>
      </c>
      <c r="G251" s="69" t="s">
        <v>1174</v>
      </c>
      <c r="H251" s="69" t="s">
        <v>1175</v>
      </c>
      <c r="J251" s="98">
        <v>20</v>
      </c>
      <c r="K251" s="69" t="s">
        <v>1914</v>
      </c>
      <c r="L251" s="71" t="s">
        <v>1050</v>
      </c>
      <c r="M251">
        <f t="shared" si="6"/>
        <v>20</v>
      </c>
      <c r="N251" s="69">
        <f t="shared" si="7"/>
        <v>247</v>
      </c>
    </row>
    <row r="252" spans="1:14" s="69" customFormat="1" ht="16.2" hidden="1" x14ac:dyDescent="0.3">
      <c r="A252" s="99" t="s">
        <v>1046</v>
      </c>
      <c r="B252" s="99" t="s">
        <v>1737</v>
      </c>
      <c r="C252" s="99" t="s">
        <v>8</v>
      </c>
      <c r="D252" s="69" t="s">
        <v>1152</v>
      </c>
      <c r="E252" s="98">
        <v>1</v>
      </c>
      <c r="F252" s="69" t="s">
        <v>1153</v>
      </c>
      <c r="G252" s="69" t="s">
        <v>1154</v>
      </c>
      <c r="H252" s="69" t="s">
        <v>1155</v>
      </c>
      <c r="J252" s="98">
        <v>9</v>
      </c>
      <c r="K252" s="69" t="s">
        <v>1914</v>
      </c>
      <c r="L252" s="71" t="s">
        <v>1050</v>
      </c>
      <c r="M252">
        <f t="shared" si="6"/>
        <v>9</v>
      </c>
      <c r="N252" s="69">
        <f t="shared" si="7"/>
        <v>248</v>
      </c>
    </row>
    <row r="253" spans="1:14" s="69" customFormat="1" ht="16.2" hidden="1" x14ac:dyDescent="0.3">
      <c r="A253" s="99" t="s">
        <v>1046</v>
      </c>
      <c r="B253" s="99" t="s">
        <v>1737</v>
      </c>
      <c r="C253" s="99" t="s">
        <v>8</v>
      </c>
      <c r="D253" s="69" t="s">
        <v>1156</v>
      </c>
      <c r="E253" s="98">
        <v>1</v>
      </c>
      <c r="F253" s="69" t="s">
        <v>1157</v>
      </c>
      <c r="G253" s="69" t="s">
        <v>1158</v>
      </c>
      <c r="H253" s="69" t="s">
        <v>1159</v>
      </c>
      <c r="J253" s="98">
        <v>5</v>
      </c>
      <c r="K253" s="69" t="s">
        <v>1914</v>
      </c>
      <c r="L253" s="71" t="s">
        <v>1050</v>
      </c>
      <c r="M253">
        <f t="shared" si="6"/>
        <v>5</v>
      </c>
      <c r="N253" s="69">
        <f t="shared" si="7"/>
        <v>249</v>
      </c>
    </row>
    <row r="254" spans="1:14" s="69" customFormat="1" ht="16.2" hidden="1" x14ac:dyDescent="0.3">
      <c r="A254" s="99" t="s">
        <v>1046</v>
      </c>
      <c r="B254" s="99" t="s">
        <v>1737</v>
      </c>
      <c r="C254" s="99" t="s">
        <v>8</v>
      </c>
      <c r="D254" s="69" t="s">
        <v>1164</v>
      </c>
      <c r="E254" s="98">
        <v>1</v>
      </c>
      <c r="F254" s="69" t="s">
        <v>1165</v>
      </c>
      <c r="G254" s="69" t="s">
        <v>1166</v>
      </c>
      <c r="H254" s="69" t="s">
        <v>1167</v>
      </c>
      <c r="J254" s="98">
        <v>15</v>
      </c>
      <c r="K254" s="69" t="s">
        <v>1914</v>
      </c>
      <c r="L254" s="71" t="s">
        <v>1050</v>
      </c>
      <c r="M254">
        <f t="shared" si="6"/>
        <v>15</v>
      </c>
      <c r="N254" s="69">
        <f t="shared" si="7"/>
        <v>250</v>
      </c>
    </row>
    <row r="255" spans="1:14" s="69" customFormat="1" ht="16.2" hidden="1" x14ac:dyDescent="0.3">
      <c r="A255" s="99" t="s">
        <v>1046</v>
      </c>
      <c r="B255" s="99" t="s">
        <v>1737</v>
      </c>
      <c r="C255" s="99" t="s">
        <v>8</v>
      </c>
      <c r="D255" s="69" t="s">
        <v>1168</v>
      </c>
      <c r="E255" s="98">
        <v>1</v>
      </c>
      <c r="F255" s="69" t="s">
        <v>1169</v>
      </c>
      <c r="G255" s="69" t="s">
        <v>1170</v>
      </c>
      <c r="H255" s="69" t="s">
        <v>1171</v>
      </c>
      <c r="J255" s="98">
        <v>15</v>
      </c>
      <c r="K255" s="69" t="s">
        <v>1914</v>
      </c>
      <c r="L255" s="71" t="s">
        <v>1050</v>
      </c>
      <c r="M255">
        <f t="shared" si="6"/>
        <v>15</v>
      </c>
      <c r="N255" s="69">
        <f t="shared" si="7"/>
        <v>251</v>
      </c>
    </row>
    <row r="256" spans="1:14" s="12" customFormat="1" hidden="1" x14ac:dyDescent="0.3">
      <c r="A256" s="51" t="s">
        <v>1046</v>
      </c>
      <c r="B256" s="51" t="s">
        <v>1180</v>
      </c>
      <c r="C256" s="51" t="s">
        <v>8</v>
      </c>
      <c r="D256" s="12" t="s">
        <v>2437</v>
      </c>
      <c r="E256" s="89">
        <v>1</v>
      </c>
      <c r="F256" s="12" t="s">
        <v>2438</v>
      </c>
      <c r="G256" s="12" t="s">
        <v>2439</v>
      </c>
      <c r="H256" s="12" t="s">
        <v>2440</v>
      </c>
      <c r="J256" s="89">
        <v>15</v>
      </c>
      <c r="K256" s="12" t="s">
        <v>1914</v>
      </c>
      <c r="L256" s="12" t="s">
        <v>1050</v>
      </c>
      <c r="M256">
        <f t="shared" si="6"/>
        <v>15</v>
      </c>
      <c r="N256" s="12">
        <f t="shared" si="7"/>
        <v>252</v>
      </c>
    </row>
    <row r="257" spans="1:14" s="12" customFormat="1" hidden="1" x14ac:dyDescent="0.3">
      <c r="A257" s="51" t="s">
        <v>1046</v>
      </c>
      <c r="B257" s="51" t="s">
        <v>1180</v>
      </c>
      <c r="C257" s="51" t="s">
        <v>8</v>
      </c>
      <c r="D257" s="12" t="s">
        <v>2441</v>
      </c>
      <c r="E257" s="89">
        <v>1</v>
      </c>
      <c r="F257" s="12" t="s">
        <v>2442</v>
      </c>
      <c r="G257" s="12" t="s">
        <v>2443</v>
      </c>
      <c r="H257" s="12" t="s">
        <v>2444</v>
      </c>
      <c r="J257" s="89">
        <v>10</v>
      </c>
      <c r="K257" s="12" t="s">
        <v>1914</v>
      </c>
      <c r="L257" s="12" t="s">
        <v>1050</v>
      </c>
      <c r="M257">
        <f t="shared" si="6"/>
        <v>10</v>
      </c>
      <c r="N257" s="12">
        <f t="shared" si="7"/>
        <v>253</v>
      </c>
    </row>
    <row r="258" spans="1:14" s="69" customFormat="1" ht="16.2" hidden="1" x14ac:dyDescent="0.3">
      <c r="A258" s="99" t="s">
        <v>1047</v>
      </c>
      <c r="B258" s="99" t="s">
        <v>1738</v>
      </c>
      <c r="C258" s="99" t="s">
        <v>8</v>
      </c>
      <c r="D258" s="69" t="s">
        <v>1076</v>
      </c>
      <c r="E258" s="98">
        <v>1</v>
      </c>
      <c r="F258" s="69" t="s">
        <v>1077</v>
      </c>
      <c r="G258" s="69" t="s">
        <v>1078</v>
      </c>
      <c r="H258" s="69" t="s">
        <v>1079</v>
      </c>
      <c r="J258" s="98">
        <v>15</v>
      </c>
      <c r="K258" s="69" t="s">
        <v>1914</v>
      </c>
      <c r="L258" s="71" t="s">
        <v>1050</v>
      </c>
      <c r="M258">
        <f t="shared" si="6"/>
        <v>15</v>
      </c>
      <c r="N258" s="69">
        <f t="shared" si="7"/>
        <v>254</v>
      </c>
    </row>
    <row r="259" spans="1:14" s="69" customFormat="1" ht="16.2" hidden="1" x14ac:dyDescent="0.3">
      <c r="A259" s="99" t="s">
        <v>1047</v>
      </c>
      <c r="B259" s="99" t="s">
        <v>1738</v>
      </c>
      <c r="C259" s="99" t="s">
        <v>8</v>
      </c>
      <c r="D259" s="69" t="s">
        <v>1152</v>
      </c>
      <c r="E259" s="98">
        <v>1</v>
      </c>
      <c r="F259" s="69" t="s">
        <v>1153</v>
      </c>
      <c r="G259" s="69" t="s">
        <v>1154</v>
      </c>
      <c r="H259" s="69" t="s">
        <v>1155</v>
      </c>
      <c r="J259" s="98">
        <v>9</v>
      </c>
      <c r="K259" s="69" t="s">
        <v>1914</v>
      </c>
      <c r="L259" s="71" t="s">
        <v>1050</v>
      </c>
      <c r="M259">
        <f t="shared" si="6"/>
        <v>9</v>
      </c>
      <c r="N259" s="69">
        <f t="shared" si="7"/>
        <v>255</v>
      </c>
    </row>
    <row r="260" spans="1:14" s="69" customFormat="1" ht="16.2" hidden="1" x14ac:dyDescent="0.3">
      <c r="A260" s="99" t="s">
        <v>1047</v>
      </c>
      <c r="B260" s="99" t="s">
        <v>1738</v>
      </c>
      <c r="C260" s="99" t="s">
        <v>8</v>
      </c>
      <c r="D260" s="69" t="s">
        <v>1160</v>
      </c>
      <c r="E260" s="98">
        <v>1</v>
      </c>
      <c r="F260" s="69" t="s">
        <v>1161</v>
      </c>
      <c r="G260" s="69" t="s">
        <v>1162</v>
      </c>
      <c r="H260" s="69" t="s">
        <v>1163</v>
      </c>
      <c r="J260" s="98">
        <v>30</v>
      </c>
      <c r="K260" s="69" t="s">
        <v>1914</v>
      </c>
      <c r="L260" s="71" t="s">
        <v>1050</v>
      </c>
      <c r="M260">
        <f t="shared" si="6"/>
        <v>30</v>
      </c>
      <c r="N260" s="69">
        <f t="shared" si="7"/>
        <v>256</v>
      </c>
    </row>
    <row r="261" spans="1:14" s="69" customFormat="1" ht="16.2" hidden="1" x14ac:dyDescent="0.3">
      <c r="A261" s="99" t="s">
        <v>1047</v>
      </c>
      <c r="B261" s="99" t="s">
        <v>1738</v>
      </c>
      <c r="C261" s="99" t="s">
        <v>8</v>
      </c>
      <c r="D261" s="69" t="s">
        <v>1156</v>
      </c>
      <c r="E261" s="98">
        <v>1</v>
      </c>
      <c r="F261" s="69" t="s">
        <v>1157</v>
      </c>
      <c r="G261" s="69" t="s">
        <v>1158</v>
      </c>
      <c r="H261" s="69" t="s">
        <v>1159</v>
      </c>
      <c r="J261" s="98">
        <v>5</v>
      </c>
      <c r="K261" s="69" t="s">
        <v>1914</v>
      </c>
      <c r="L261" s="71" t="s">
        <v>1050</v>
      </c>
      <c r="M261">
        <f t="shared" ref="M261:M324" si="8">E261*J261</f>
        <v>5</v>
      </c>
      <c r="N261" s="69">
        <f t="shared" ref="N261:N324" si="9">IF($N260="List #",1,$N260+1)</f>
        <v>257</v>
      </c>
    </row>
    <row r="262" spans="1:14" s="69" customFormat="1" ht="16.2" hidden="1" x14ac:dyDescent="0.3">
      <c r="A262" s="99" t="s">
        <v>1047</v>
      </c>
      <c r="B262" s="99" t="s">
        <v>1738</v>
      </c>
      <c r="C262" s="99" t="s">
        <v>8</v>
      </c>
      <c r="D262" s="69" t="s">
        <v>1164</v>
      </c>
      <c r="E262" s="98">
        <v>1</v>
      </c>
      <c r="F262" s="69" t="s">
        <v>1165</v>
      </c>
      <c r="G262" s="69" t="s">
        <v>1166</v>
      </c>
      <c r="H262" s="69" t="s">
        <v>1167</v>
      </c>
      <c r="J262" s="98">
        <v>15</v>
      </c>
      <c r="K262" s="69" t="s">
        <v>1914</v>
      </c>
      <c r="L262" s="71" t="s">
        <v>1050</v>
      </c>
      <c r="M262">
        <f t="shared" si="8"/>
        <v>15</v>
      </c>
      <c r="N262" s="69">
        <f t="shared" si="9"/>
        <v>258</v>
      </c>
    </row>
    <row r="263" spans="1:14" s="69" customFormat="1" hidden="1" x14ac:dyDescent="0.3">
      <c r="A263" s="99" t="s">
        <v>1047</v>
      </c>
      <c r="B263" s="99" t="s">
        <v>1067</v>
      </c>
      <c r="C263" s="99" t="s">
        <v>8</v>
      </c>
      <c r="D263" s="69" t="s">
        <v>351</v>
      </c>
      <c r="E263" s="98">
        <v>1</v>
      </c>
      <c r="F263" s="69" t="s">
        <v>352</v>
      </c>
      <c r="G263" s="69" t="s">
        <v>353</v>
      </c>
      <c r="H263" s="69" t="s">
        <v>354</v>
      </c>
      <c r="J263" s="98">
        <v>24.95</v>
      </c>
      <c r="K263" s="69" t="s">
        <v>1914</v>
      </c>
      <c r="L263" s="69" t="s">
        <v>1051</v>
      </c>
      <c r="M263">
        <f t="shared" si="8"/>
        <v>24.95</v>
      </c>
      <c r="N263" s="69">
        <f t="shared" si="9"/>
        <v>259</v>
      </c>
    </row>
    <row r="264" spans="1:14" s="69" customFormat="1" hidden="1" x14ac:dyDescent="0.3">
      <c r="A264" s="99" t="s">
        <v>1047</v>
      </c>
      <c r="B264" s="99" t="s">
        <v>1618</v>
      </c>
      <c r="C264" s="99" t="s">
        <v>8</v>
      </c>
      <c r="D264" s="69" t="s">
        <v>355</v>
      </c>
      <c r="E264" s="98">
        <v>1</v>
      </c>
      <c r="F264" s="69" t="s">
        <v>356</v>
      </c>
      <c r="G264" s="69" t="s">
        <v>357</v>
      </c>
      <c r="H264" s="69" t="s">
        <v>358</v>
      </c>
      <c r="I264" s="69">
        <v>1</v>
      </c>
      <c r="J264" s="98">
        <v>39.950000000000003</v>
      </c>
      <c r="K264" s="69" t="s">
        <v>1914</v>
      </c>
      <c r="L264" s="69" t="s">
        <v>1044</v>
      </c>
      <c r="M264">
        <f t="shared" si="8"/>
        <v>39.950000000000003</v>
      </c>
      <c r="N264" s="69">
        <f t="shared" si="9"/>
        <v>260</v>
      </c>
    </row>
    <row r="265" spans="1:14" s="69" customFormat="1" hidden="1" x14ac:dyDescent="0.3">
      <c r="A265" s="99" t="s">
        <v>1047</v>
      </c>
      <c r="B265" s="99" t="s">
        <v>1066</v>
      </c>
      <c r="C265" s="99" t="s">
        <v>8</v>
      </c>
      <c r="D265" s="69" t="s">
        <v>324</v>
      </c>
      <c r="E265" s="98">
        <v>1</v>
      </c>
      <c r="F265" s="69" t="s">
        <v>325</v>
      </c>
      <c r="G265" s="69" t="s">
        <v>326</v>
      </c>
      <c r="H265" s="69" t="s">
        <v>327</v>
      </c>
      <c r="I265" s="69">
        <v>1</v>
      </c>
      <c r="J265" s="98">
        <v>39.950000000000003</v>
      </c>
      <c r="K265" s="69" t="s">
        <v>1914</v>
      </c>
      <c r="L265" s="69" t="s">
        <v>1055</v>
      </c>
      <c r="M265">
        <f t="shared" si="8"/>
        <v>39.950000000000003</v>
      </c>
      <c r="N265" s="69">
        <f t="shared" si="9"/>
        <v>261</v>
      </c>
    </row>
    <row r="266" spans="1:14" s="69" customFormat="1" hidden="1" x14ac:dyDescent="0.3">
      <c r="A266" s="99" t="s">
        <v>1047</v>
      </c>
      <c r="B266" s="99" t="s">
        <v>1066</v>
      </c>
      <c r="C266" s="99" t="s">
        <v>8</v>
      </c>
      <c r="D266" s="69" t="s">
        <v>328</v>
      </c>
      <c r="E266" s="98">
        <v>1</v>
      </c>
      <c r="F266" s="69" t="s">
        <v>329</v>
      </c>
      <c r="G266" s="69" t="s">
        <v>330</v>
      </c>
      <c r="H266" s="69" t="s">
        <v>331</v>
      </c>
      <c r="I266" s="69">
        <v>1</v>
      </c>
      <c r="J266" s="98">
        <v>14.95</v>
      </c>
      <c r="K266" s="69" t="s">
        <v>1914</v>
      </c>
      <c r="L266" s="69" t="s">
        <v>1055</v>
      </c>
      <c r="M266">
        <f t="shared" si="8"/>
        <v>14.95</v>
      </c>
      <c r="N266" s="69">
        <f t="shared" si="9"/>
        <v>262</v>
      </c>
    </row>
    <row r="267" spans="1:14" s="12" customFormat="1" x14ac:dyDescent="0.3">
      <c r="A267" s="90" t="s">
        <v>896</v>
      </c>
      <c r="B267" s="90" t="s">
        <v>994</v>
      </c>
      <c r="C267" s="90" t="s">
        <v>8</v>
      </c>
      <c r="D267" s="85" t="s">
        <v>787</v>
      </c>
      <c r="E267" s="64">
        <v>1</v>
      </c>
      <c r="F267" s="64" t="s">
        <v>788</v>
      </c>
      <c r="G267" s="64" t="s">
        <v>789</v>
      </c>
      <c r="H267" s="64" t="s">
        <v>790</v>
      </c>
      <c r="I267" s="64"/>
      <c r="J267" s="145">
        <v>19.95</v>
      </c>
      <c r="K267" s="64" t="s">
        <v>1910</v>
      </c>
      <c r="L267" s="5"/>
      <c r="M267">
        <f t="shared" si="8"/>
        <v>19.95</v>
      </c>
      <c r="N267" s="12">
        <f t="shared" si="9"/>
        <v>263</v>
      </c>
    </row>
    <row r="268" spans="1:14" s="103" customFormat="1" hidden="1" x14ac:dyDescent="0.3">
      <c r="A268" s="90" t="s">
        <v>896</v>
      </c>
      <c r="B268" s="90" t="s">
        <v>994</v>
      </c>
      <c r="C268" s="90" t="s">
        <v>8</v>
      </c>
      <c r="D268" s="85" t="s">
        <v>1100</v>
      </c>
      <c r="E268" s="64">
        <v>0</v>
      </c>
      <c r="F268" s="64" t="s">
        <v>1101</v>
      </c>
      <c r="G268" s="64" t="s">
        <v>1102</v>
      </c>
      <c r="H268" s="64" t="s">
        <v>1103</v>
      </c>
      <c r="I268" s="64">
        <v>1</v>
      </c>
      <c r="J268" s="145">
        <v>3.95</v>
      </c>
      <c r="K268" s="64" t="s">
        <v>1910</v>
      </c>
      <c r="L268" s="64" t="s">
        <v>1309</v>
      </c>
      <c r="M268">
        <f t="shared" si="8"/>
        <v>0</v>
      </c>
      <c r="N268" s="103">
        <f t="shared" si="9"/>
        <v>264</v>
      </c>
    </row>
    <row r="269" spans="1:14" s="103" customFormat="1" x14ac:dyDescent="0.3">
      <c r="A269" s="90" t="s">
        <v>896</v>
      </c>
      <c r="B269" s="90" t="s">
        <v>994</v>
      </c>
      <c r="C269" s="90" t="s">
        <v>8</v>
      </c>
      <c r="D269" s="85" t="s">
        <v>1310</v>
      </c>
      <c r="E269" s="64">
        <f>4*FilterSpecs!$C$3</f>
        <v>20</v>
      </c>
      <c r="F269" s="64" t="s">
        <v>1311</v>
      </c>
      <c r="G269" s="64" t="s">
        <v>1312</v>
      </c>
      <c r="H269" s="64" t="s">
        <v>1313</v>
      </c>
      <c r="I269" s="64">
        <v>1</v>
      </c>
      <c r="J269" s="145">
        <v>3.95</v>
      </c>
      <c r="K269" s="64" t="s">
        <v>1910</v>
      </c>
      <c r="L269" s="64" t="s">
        <v>1309</v>
      </c>
      <c r="M269">
        <f t="shared" si="8"/>
        <v>79</v>
      </c>
      <c r="N269" s="103">
        <f t="shared" si="9"/>
        <v>265</v>
      </c>
    </row>
    <row r="270" spans="1:14" s="103" customFormat="1" hidden="1" x14ac:dyDescent="0.3">
      <c r="A270" s="12" t="s">
        <v>896</v>
      </c>
      <c r="B270" s="12" t="s">
        <v>994</v>
      </c>
      <c r="C270" s="12" t="s">
        <v>1898</v>
      </c>
      <c r="D270" s="86" t="s">
        <v>2114</v>
      </c>
      <c r="E270" s="12">
        <v>0</v>
      </c>
      <c r="F270" s="12"/>
      <c r="G270" s="12"/>
      <c r="H270" s="51" t="s">
        <v>2115</v>
      </c>
      <c r="I270"/>
      <c r="J270" s="95">
        <v>4</v>
      </c>
      <c r="K270" s="51" t="s">
        <v>1910</v>
      </c>
      <c r="L270"/>
      <c r="M270">
        <f t="shared" si="8"/>
        <v>0</v>
      </c>
      <c r="N270" s="103">
        <f t="shared" si="9"/>
        <v>266</v>
      </c>
    </row>
    <row r="271" spans="1:14" s="103" customFormat="1" x14ac:dyDescent="0.3">
      <c r="A271" s="90" t="s">
        <v>896</v>
      </c>
      <c r="B271" s="90" t="s">
        <v>994</v>
      </c>
      <c r="C271" s="90" t="s">
        <v>8</v>
      </c>
      <c r="D271" s="85" t="s">
        <v>933</v>
      </c>
      <c r="E271" s="64">
        <f>3*FilterSpecs!$C$3</f>
        <v>15</v>
      </c>
      <c r="F271" s="64" t="s">
        <v>934</v>
      </c>
      <c r="G271" s="64" t="s">
        <v>935</v>
      </c>
      <c r="H271" s="64" t="s">
        <v>936</v>
      </c>
      <c r="I271" s="64">
        <v>1</v>
      </c>
      <c r="J271" s="145">
        <v>8.5</v>
      </c>
      <c r="K271" s="64" t="s">
        <v>1911</v>
      </c>
      <c r="L271" s="5"/>
      <c r="M271">
        <f t="shared" si="8"/>
        <v>127.5</v>
      </c>
      <c r="N271" s="103">
        <f t="shared" si="9"/>
        <v>267</v>
      </c>
    </row>
    <row r="272" spans="1:14" s="103" customFormat="1" x14ac:dyDescent="0.3">
      <c r="A272" s="90" t="s">
        <v>896</v>
      </c>
      <c r="B272" s="90" t="s">
        <v>994</v>
      </c>
      <c r="C272" s="90" t="s">
        <v>8</v>
      </c>
      <c r="D272" s="85" t="s">
        <v>1839</v>
      </c>
      <c r="E272" s="64">
        <v>1</v>
      </c>
      <c r="F272" s="64" t="s">
        <v>1840</v>
      </c>
      <c r="G272" s="64" t="s">
        <v>1841</v>
      </c>
      <c r="H272" s="64" t="s">
        <v>1842</v>
      </c>
      <c r="I272" s="64">
        <v>1</v>
      </c>
      <c r="J272" s="145">
        <v>4.95</v>
      </c>
      <c r="K272" s="64" t="s">
        <v>1910</v>
      </c>
      <c r="L272" s="5"/>
      <c r="M272">
        <f t="shared" si="8"/>
        <v>4.95</v>
      </c>
      <c r="N272" s="103">
        <f t="shared" si="9"/>
        <v>268</v>
      </c>
    </row>
    <row r="273" spans="1:14" s="103" customFormat="1" hidden="1" x14ac:dyDescent="0.3">
      <c r="A273" s="90" t="s">
        <v>896</v>
      </c>
      <c r="B273" s="90" t="s">
        <v>994</v>
      </c>
      <c r="C273" s="90" t="s">
        <v>8</v>
      </c>
      <c r="D273" s="85" t="s">
        <v>1847</v>
      </c>
      <c r="E273" s="64">
        <v>0</v>
      </c>
      <c r="F273" s="64" t="s">
        <v>1848</v>
      </c>
      <c r="G273" s="64" t="s">
        <v>1849</v>
      </c>
      <c r="H273" s="64" t="s">
        <v>1850</v>
      </c>
      <c r="I273" s="64"/>
      <c r="J273" s="145">
        <v>2.95</v>
      </c>
      <c r="K273" s="64" t="s">
        <v>1910</v>
      </c>
      <c r="L273" s="5"/>
      <c r="M273">
        <f t="shared" si="8"/>
        <v>0</v>
      </c>
      <c r="N273" s="103">
        <f t="shared" si="9"/>
        <v>269</v>
      </c>
    </row>
    <row r="274" spans="1:14" s="103" customFormat="1" x14ac:dyDescent="0.3">
      <c r="A274" s="90" t="s">
        <v>896</v>
      </c>
      <c r="B274" s="90" t="s">
        <v>994</v>
      </c>
      <c r="C274" s="90" t="s">
        <v>8</v>
      </c>
      <c r="D274" s="85" t="s">
        <v>1771</v>
      </c>
      <c r="E274" s="64">
        <v>1</v>
      </c>
      <c r="F274" s="64" t="s">
        <v>1772</v>
      </c>
      <c r="G274" s="64" t="s">
        <v>1773</v>
      </c>
      <c r="H274" s="64" t="s">
        <v>1774</v>
      </c>
      <c r="I274" s="64">
        <v>1</v>
      </c>
      <c r="J274" s="145">
        <v>9.9499999999999993</v>
      </c>
      <c r="K274" s="64" t="s">
        <v>1910</v>
      </c>
      <c r="L274" s="5"/>
      <c r="M274">
        <f t="shared" si="8"/>
        <v>9.9499999999999993</v>
      </c>
      <c r="N274" s="103">
        <f t="shared" si="9"/>
        <v>270</v>
      </c>
    </row>
    <row r="275" spans="1:14" s="103" customFormat="1" hidden="1" x14ac:dyDescent="0.3">
      <c r="A275" s="12" t="s">
        <v>896</v>
      </c>
      <c r="B275" s="12" t="s">
        <v>994</v>
      </c>
      <c r="C275" s="12" t="s">
        <v>1898</v>
      </c>
      <c r="D275" s="86" t="s">
        <v>2100</v>
      </c>
      <c r="E275" s="12">
        <v>0</v>
      </c>
      <c r="F275" s="12"/>
      <c r="G275" s="12"/>
      <c r="H275" s="51" t="s">
        <v>2101</v>
      </c>
      <c r="I275"/>
      <c r="J275" s="95">
        <v>9.9499999999999993</v>
      </c>
      <c r="K275" s="51" t="s">
        <v>1910</v>
      </c>
      <c r="L275"/>
      <c r="M275">
        <f t="shared" si="8"/>
        <v>0</v>
      </c>
      <c r="N275" s="103">
        <f t="shared" si="9"/>
        <v>271</v>
      </c>
    </row>
    <row r="276" spans="1:14" s="103" customFormat="1" hidden="1" x14ac:dyDescent="0.3">
      <c r="A276" s="12" t="s">
        <v>896</v>
      </c>
      <c r="B276" s="12" t="s">
        <v>994</v>
      </c>
      <c r="C276" s="12" t="s">
        <v>1898</v>
      </c>
      <c r="D276" s="86" t="s">
        <v>2112</v>
      </c>
      <c r="E276" s="12">
        <v>0</v>
      </c>
      <c r="F276" s="12"/>
      <c r="G276" s="12"/>
      <c r="H276" s="51" t="s">
        <v>2113</v>
      </c>
      <c r="I276"/>
      <c r="J276" s="95">
        <v>14.95</v>
      </c>
      <c r="K276" s="51" t="s">
        <v>1910</v>
      </c>
      <c r="L276"/>
      <c r="M276">
        <f t="shared" si="8"/>
        <v>0</v>
      </c>
      <c r="N276" s="103">
        <f t="shared" si="9"/>
        <v>272</v>
      </c>
    </row>
    <row r="277" spans="1:14" s="103" customFormat="1" hidden="1" x14ac:dyDescent="0.3">
      <c r="A277" s="12" t="s">
        <v>896</v>
      </c>
      <c r="B277" s="12" t="s">
        <v>994</v>
      </c>
      <c r="C277" s="12" t="s">
        <v>1898</v>
      </c>
      <c r="D277" s="86" t="s">
        <v>2104</v>
      </c>
      <c r="E277" s="12">
        <v>0</v>
      </c>
      <c r="F277" s="12"/>
      <c r="G277" s="12"/>
      <c r="H277" s="51" t="s">
        <v>2105</v>
      </c>
      <c r="I277"/>
      <c r="J277" s="95">
        <v>14.95</v>
      </c>
      <c r="K277" s="51" t="s">
        <v>1910</v>
      </c>
      <c r="L277"/>
      <c r="M277">
        <f t="shared" si="8"/>
        <v>0</v>
      </c>
      <c r="N277" s="103">
        <f t="shared" si="9"/>
        <v>273</v>
      </c>
    </row>
    <row r="278" spans="1:14" s="103" customFormat="1" hidden="1" x14ac:dyDescent="0.3">
      <c r="A278" s="12" t="s">
        <v>896</v>
      </c>
      <c r="B278" s="12" t="s">
        <v>994</v>
      </c>
      <c r="C278" s="12" t="s">
        <v>1898</v>
      </c>
      <c r="D278" s="86" t="s">
        <v>2102</v>
      </c>
      <c r="E278" s="12">
        <v>0</v>
      </c>
      <c r="F278" s="12"/>
      <c r="G278" s="12"/>
      <c r="H278" s="51" t="s">
        <v>2103</v>
      </c>
      <c r="I278"/>
      <c r="J278" s="95">
        <v>19.95</v>
      </c>
      <c r="K278" s="51" t="s">
        <v>1910</v>
      </c>
      <c r="L278"/>
      <c r="M278">
        <f t="shared" si="8"/>
        <v>0</v>
      </c>
      <c r="N278" s="103">
        <f t="shared" si="9"/>
        <v>274</v>
      </c>
    </row>
    <row r="279" spans="1:14" s="103" customFormat="1" hidden="1" x14ac:dyDescent="0.3">
      <c r="A279" s="12" t="s">
        <v>896</v>
      </c>
      <c r="B279" s="12" t="s">
        <v>994</v>
      </c>
      <c r="C279" s="12" t="s">
        <v>1898</v>
      </c>
      <c r="D279" s="86" t="s">
        <v>2106</v>
      </c>
      <c r="E279" s="12">
        <v>0</v>
      </c>
      <c r="F279" s="12"/>
      <c r="G279" s="12"/>
      <c r="H279" s="51" t="s">
        <v>2107</v>
      </c>
      <c r="I279"/>
      <c r="J279" s="95">
        <v>0.75</v>
      </c>
      <c r="K279" s="51" t="s">
        <v>1910</v>
      </c>
      <c r="L279"/>
      <c r="M279">
        <f t="shared" si="8"/>
        <v>0</v>
      </c>
      <c r="N279" s="103">
        <f t="shared" si="9"/>
        <v>275</v>
      </c>
    </row>
    <row r="280" spans="1:14" s="103" customFormat="1" hidden="1" x14ac:dyDescent="0.3">
      <c r="A280" s="12" t="s">
        <v>896</v>
      </c>
      <c r="B280" s="12" t="s">
        <v>994</v>
      </c>
      <c r="C280" s="12" t="s">
        <v>1898</v>
      </c>
      <c r="D280" s="86" t="s">
        <v>2108</v>
      </c>
      <c r="E280" s="12">
        <v>0</v>
      </c>
      <c r="F280" s="12"/>
      <c r="G280" s="12"/>
      <c r="H280" s="51" t="s">
        <v>2109</v>
      </c>
      <c r="I280"/>
      <c r="J280" s="95">
        <v>0.95</v>
      </c>
      <c r="K280" s="51" t="s">
        <v>1910</v>
      </c>
      <c r="L280"/>
      <c r="M280">
        <f t="shared" si="8"/>
        <v>0</v>
      </c>
      <c r="N280" s="103">
        <f t="shared" si="9"/>
        <v>276</v>
      </c>
    </row>
    <row r="281" spans="1:14" s="103" customFormat="1" hidden="1" x14ac:dyDescent="0.3">
      <c r="A281" s="12" t="s">
        <v>896</v>
      </c>
      <c r="B281" s="12" t="s">
        <v>994</v>
      </c>
      <c r="C281" s="12" t="s">
        <v>1898</v>
      </c>
      <c r="D281" s="86" t="s">
        <v>2110</v>
      </c>
      <c r="E281" s="12">
        <v>0</v>
      </c>
      <c r="F281" s="12"/>
      <c r="G281" s="12"/>
      <c r="H281" s="51" t="s">
        <v>2111</v>
      </c>
      <c r="I281"/>
      <c r="J281" s="95">
        <v>0.95</v>
      </c>
      <c r="K281" s="51" t="s">
        <v>1910</v>
      </c>
      <c r="L281"/>
      <c r="M281">
        <f t="shared" si="8"/>
        <v>0</v>
      </c>
      <c r="N281" s="103">
        <f t="shared" si="9"/>
        <v>277</v>
      </c>
    </row>
    <row r="282" spans="1:14" s="103" customFormat="1" x14ac:dyDescent="0.3">
      <c r="A282" s="90" t="s">
        <v>896</v>
      </c>
      <c r="B282" s="90" t="s">
        <v>994</v>
      </c>
      <c r="C282" s="90" t="s">
        <v>8</v>
      </c>
      <c r="D282" s="85" t="s">
        <v>945</v>
      </c>
      <c r="E282" s="104">
        <f>FilterSpecs!$C$3</f>
        <v>5</v>
      </c>
      <c r="F282" s="64" t="s">
        <v>946</v>
      </c>
      <c r="G282" s="64" t="s">
        <v>947</v>
      </c>
      <c r="H282" s="64" t="s">
        <v>948</v>
      </c>
      <c r="I282" s="64">
        <v>1</v>
      </c>
      <c r="J282" s="145">
        <v>7.95</v>
      </c>
      <c r="K282" s="64" t="s">
        <v>1910</v>
      </c>
      <c r="L282" s="5"/>
      <c r="M282">
        <f t="shared" si="8"/>
        <v>39.75</v>
      </c>
      <c r="N282" s="103">
        <f t="shared" si="9"/>
        <v>278</v>
      </c>
    </row>
    <row r="283" spans="1:14" s="103" customFormat="1" x14ac:dyDescent="0.3">
      <c r="A283" s="90" t="s">
        <v>896</v>
      </c>
      <c r="B283" s="90" t="s">
        <v>994</v>
      </c>
      <c r="C283" s="90" t="s">
        <v>8</v>
      </c>
      <c r="D283" s="85" t="s">
        <v>941</v>
      </c>
      <c r="E283" s="64">
        <f>2*FilterSpecs!$C$3</f>
        <v>10</v>
      </c>
      <c r="F283" s="64" t="s">
        <v>942</v>
      </c>
      <c r="G283" s="64" t="s">
        <v>943</v>
      </c>
      <c r="H283" s="64" t="s">
        <v>944</v>
      </c>
      <c r="I283" s="64">
        <v>1</v>
      </c>
      <c r="J283" s="145">
        <v>7.95</v>
      </c>
      <c r="K283" s="64" t="s">
        <v>1911</v>
      </c>
      <c r="L283" s="5"/>
      <c r="M283">
        <f t="shared" si="8"/>
        <v>79.5</v>
      </c>
      <c r="N283" s="103">
        <f t="shared" si="9"/>
        <v>279</v>
      </c>
    </row>
    <row r="284" spans="1:14" s="103" customFormat="1" x14ac:dyDescent="0.3">
      <c r="A284" s="90" t="s">
        <v>896</v>
      </c>
      <c r="B284" s="90" t="s">
        <v>1301</v>
      </c>
      <c r="C284" s="90" t="s">
        <v>8</v>
      </c>
      <c r="D284" s="85" t="s">
        <v>639</v>
      </c>
      <c r="E284" s="64">
        <f>FilterSpecs!$C$3</f>
        <v>5</v>
      </c>
      <c r="F284" s="64" t="s">
        <v>640</v>
      </c>
      <c r="G284" s="64" t="s">
        <v>641</v>
      </c>
      <c r="H284" s="64" t="s">
        <v>642</v>
      </c>
      <c r="I284" s="64"/>
      <c r="J284" s="145">
        <v>8.9499999999999993</v>
      </c>
      <c r="K284" s="64" t="s">
        <v>1911</v>
      </c>
      <c r="L284" s="5"/>
      <c r="M284">
        <f t="shared" si="8"/>
        <v>44.75</v>
      </c>
      <c r="N284" s="103">
        <f t="shared" si="9"/>
        <v>280</v>
      </c>
    </row>
    <row r="285" spans="1:14" s="103" customFormat="1" x14ac:dyDescent="0.3">
      <c r="A285" s="90" t="s">
        <v>896</v>
      </c>
      <c r="B285" s="90" t="s">
        <v>1301</v>
      </c>
      <c r="C285" s="90" t="s">
        <v>8</v>
      </c>
      <c r="D285" s="85" t="s">
        <v>659</v>
      </c>
      <c r="E285" s="64">
        <f>FilterSpecs!$C$3</f>
        <v>5</v>
      </c>
      <c r="F285" s="64" t="s">
        <v>660</v>
      </c>
      <c r="G285" s="64" t="s">
        <v>661</v>
      </c>
      <c r="H285" s="64" t="s">
        <v>662</v>
      </c>
      <c r="I285" s="64"/>
      <c r="J285" s="145">
        <v>11.95</v>
      </c>
      <c r="K285" s="64" t="s">
        <v>1911</v>
      </c>
      <c r="L285" s="5"/>
      <c r="M285">
        <f t="shared" si="8"/>
        <v>59.75</v>
      </c>
      <c r="N285" s="103">
        <f t="shared" si="9"/>
        <v>281</v>
      </c>
    </row>
    <row r="286" spans="1:14" s="103" customFormat="1" x14ac:dyDescent="0.3">
      <c r="A286" s="90" t="s">
        <v>896</v>
      </c>
      <c r="B286" s="90" t="s">
        <v>1301</v>
      </c>
      <c r="C286" s="90" t="s">
        <v>8</v>
      </c>
      <c r="D286" s="85" t="s">
        <v>1104</v>
      </c>
      <c r="E286" s="64">
        <v>1</v>
      </c>
      <c r="F286" s="64" t="s">
        <v>1105</v>
      </c>
      <c r="G286" s="64" t="s">
        <v>1106</v>
      </c>
      <c r="H286" s="64" t="s">
        <v>1107</v>
      </c>
      <c r="I286" s="64">
        <v>1</v>
      </c>
      <c r="J286" s="145">
        <v>0.1</v>
      </c>
      <c r="K286" s="64" t="s">
        <v>1910</v>
      </c>
      <c r="L286" s="5"/>
      <c r="M286">
        <f t="shared" si="8"/>
        <v>0.1</v>
      </c>
      <c r="N286" s="103">
        <f t="shared" si="9"/>
        <v>282</v>
      </c>
    </row>
    <row r="287" spans="1:14" s="103" customFormat="1" hidden="1" x14ac:dyDescent="0.3">
      <c r="A287" s="86" t="s">
        <v>17</v>
      </c>
      <c r="B287" s="86" t="s">
        <v>1301</v>
      </c>
      <c r="C287" s="86" t="s">
        <v>1898</v>
      </c>
      <c r="D287" s="86" t="s">
        <v>2093</v>
      </c>
      <c r="E287" s="89">
        <v>0</v>
      </c>
      <c r="F287" s="12"/>
      <c r="G287" s="12"/>
      <c r="H287" s="51" t="s">
        <v>2092</v>
      </c>
      <c r="I287"/>
      <c r="J287" s="95">
        <v>7.5</v>
      </c>
      <c r="K287" s="82" t="s">
        <v>1910</v>
      </c>
      <c r="L287"/>
      <c r="M287">
        <f t="shared" si="8"/>
        <v>0</v>
      </c>
      <c r="N287" s="103">
        <f t="shared" si="9"/>
        <v>283</v>
      </c>
    </row>
    <row r="288" spans="1:14" s="103" customFormat="1" hidden="1" x14ac:dyDescent="0.3">
      <c r="A288" s="86" t="s">
        <v>17</v>
      </c>
      <c r="B288" s="86" t="s">
        <v>1301</v>
      </c>
      <c r="C288" s="86" t="s">
        <v>1898</v>
      </c>
      <c r="D288" s="86" t="s">
        <v>2091</v>
      </c>
      <c r="E288" s="89">
        <v>0</v>
      </c>
      <c r="F288" s="12"/>
      <c r="G288" s="12"/>
      <c r="H288" s="51" t="s">
        <v>2090</v>
      </c>
      <c r="I288"/>
      <c r="J288" s="95">
        <v>5.95</v>
      </c>
      <c r="K288" s="82" t="s">
        <v>1910</v>
      </c>
      <c r="L288"/>
      <c r="M288">
        <f t="shared" si="8"/>
        <v>0</v>
      </c>
      <c r="N288" s="103">
        <f t="shared" si="9"/>
        <v>284</v>
      </c>
    </row>
    <row r="289" spans="1:14" s="103" customFormat="1" x14ac:dyDescent="0.3">
      <c r="A289" s="90" t="s">
        <v>896</v>
      </c>
      <c r="B289" s="90" t="s">
        <v>890</v>
      </c>
      <c r="C289" s="90" t="s">
        <v>8</v>
      </c>
      <c r="D289" s="85" t="s">
        <v>647</v>
      </c>
      <c r="E289" s="64">
        <f>FilterSpecs!$C$3</f>
        <v>5</v>
      </c>
      <c r="F289" s="64" t="s">
        <v>648</v>
      </c>
      <c r="G289" s="64" t="s">
        <v>649</v>
      </c>
      <c r="H289" s="64" t="s">
        <v>650</v>
      </c>
      <c r="I289" s="64">
        <v>1</v>
      </c>
      <c r="J289" s="145">
        <v>0.95</v>
      </c>
      <c r="K289" s="64" t="s">
        <v>1911</v>
      </c>
      <c r="L289" s="5"/>
      <c r="M289">
        <f t="shared" si="8"/>
        <v>4.75</v>
      </c>
      <c r="N289" s="103">
        <f t="shared" si="9"/>
        <v>285</v>
      </c>
    </row>
    <row r="290" spans="1:14" s="103" customFormat="1" x14ac:dyDescent="0.3">
      <c r="A290" s="90" t="s">
        <v>896</v>
      </c>
      <c r="B290" s="90" t="s">
        <v>890</v>
      </c>
      <c r="C290" s="90" t="s">
        <v>8</v>
      </c>
      <c r="D290" s="85" t="s">
        <v>655</v>
      </c>
      <c r="E290" s="64">
        <f>FilterSpecs!$C$3</f>
        <v>5</v>
      </c>
      <c r="F290" s="64" t="s">
        <v>656</v>
      </c>
      <c r="G290" s="64" t="s">
        <v>657</v>
      </c>
      <c r="H290" s="64" t="s">
        <v>658</v>
      </c>
      <c r="I290" s="64">
        <v>1</v>
      </c>
      <c r="J290" s="145">
        <v>0.95</v>
      </c>
      <c r="K290" s="64" t="s">
        <v>1911</v>
      </c>
      <c r="L290" s="5"/>
      <c r="M290">
        <f t="shared" si="8"/>
        <v>4.75</v>
      </c>
      <c r="N290" s="103">
        <f t="shared" si="9"/>
        <v>286</v>
      </c>
    </row>
    <row r="291" spans="1:14" s="103" customFormat="1" hidden="1" x14ac:dyDescent="0.3">
      <c r="A291" s="12" t="s">
        <v>896</v>
      </c>
      <c r="B291" s="12" t="s">
        <v>890</v>
      </c>
      <c r="C291" s="12" t="s">
        <v>1898</v>
      </c>
      <c r="D291" s="86" t="s">
        <v>2116</v>
      </c>
      <c r="E291" s="12">
        <v>0</v>
      </c>
      <c r="F291" s="12"/>
      <c r="G291" s="12"/>
      <c r="H291" s="51" t="s">
        <v>2117</v>
      </c>
      <c r="I291"/>
      <c r="J291" s="95">
        <v>0.95</v>
      </c>
      <c r="K291" s="51" t="s">
        <v>1910</v>
      </c>
      <c r="L291"/>
      <c r="M291">
        <f t="shared" si="8"/>
        <v>0</v>
      </c>
      <c r="N291" s="103">
        <f t="shared" si="9"/>
        <v>287</v>
      </c>
    </row>
    <row r="292" spans="1:14" s="103" customFormat="1" x14ac:dyDescent="0.3">
      <c r="A292" s="90" t="s">
        <v>896</v>
      </c>
      <c r="B292" s="90" t="s">
        <v>890</v>
      </c>
      <c r="C292" s="90" t="s">
        <v>8</v>
      </c>
      <c r="D292" s="85" t="s">
        <v>1248</v>
      </c>
      <c r="E292" s="64">
        <v>2</v>
      </c>
      <c r="F292" s="64" t="s">
        <v>1249</v>
      </c>
      <c r="G292" s="64" t="s">
        <v>1250</v>
      </c>
      <c r="H292" s="64" t="s">
        <v>1251</v>
      </c>
      <c r="I292" s="64">
        <v>1</v>
      </c>
      <c r="J292" s="145">
        <v>7.95</v>
      </c>
      <c r="K292" s="64" t="s">
        <v>1910</v>
      </c>
      <c r="L292" s="5"/>
      <c r="M292">
        <f t="shared" si="8"/>
        <v>15.9</v>
      </c>
      <c r="N292" s="103">
        <f t="shared" si="9"/>
        <v>288</v>
      </c>
    </row>
    <row r="293" spans="1:14" s="12" customFormat="1" hidden="1" x14ac:dyDescent="0.3">
      <c r="A293" s="112" t="s">
        <v>896</v>
      </c>
      <c r="B293" s="112" t="s">
        <v>890</v>
      </c>
      <c r="C293" s="112" t="s">
        <v>1898</v>
      </c>
      <c r="D293" s="112" t="s">
        <v>2479</v>
      </c>
      <c r="E293" s="112">
        <v>0</v>
      </c>
      <c r="F293"/>
      <c r="G293"/>
      <c r="H293" s="112" t="s">
        <v>2478</v>
      </c>
      <c r="I293" s="113">
        <v>115</v>
      </c>
      <c r="J293" s="114">
        <v>4.95</v>
      </c>
      <c r="K293" s="51" t="s">
        <v>1910</v>
      </c>
      <c r="L293"/>
      <c r="M293">
        <f t="shared" si="8"/>
        <v>0</v>
      </c>
      <c r="N293" s="12">
        <f t="shared" si="9"/>
        <v>289</v>
      </c>
    </row>
    <row r="294" spans="1:14" s="12" customFormat="1" x14ac:dyDescent="0.3">
      <c r="A294" s="90" t="s">
        <v>896</v>
      </c>
      <c r="B294" s="90" t="s">
        <v>2026</v>
      </c>
      <c r="C294" s="90" t="s">
        <v>8</v>
      </c>
      <c r="D294" s="85" t="s">
        <v>1256</v>
      </c>
      <c r="E294" s="64">
        <v>1</v>
      </c>
      <c r="F294" s="64" t="s">
        <v>1257</v>
      </c>
      <c r="G294" s="64" t="s">
        <v>1258</v>
      </c>
      <c r="H294" s="64" t="s">
        <v>1259</v>
      </c>
      <c r="I294" s="64"/>
      <c r="J294" s="145">
        <v>34.950000000000003</v>
      </c>
      <c r="K294" s="64" t="s">
        <v>1910</v>
      </c>
      <c r="L294" s="5"/>
      <c r="M294">
        <f t="shared" si="8"/>
        <v>34.950000000000003</v>
      </c>
      <c r="N294" s="12">
        <f t="shared" si="9"/>
        <v>290</v>
      </c>
    </row>
    <row r="295" spans="1:14" s="12" customFormat="1" hidden="1" x14ac:dyDescent="0.3">
      <c r="A295" s="90" t="s">
        <v>896</v>
      </c>
      <c r="B295" s="90" t="s">
        <v>2026</v>
      </c>
      <c r="C295" s="90" t="s">
        <v>8</v>
      </c>
      <c r="D295" s="85" t="s">
        <v>1260</v>
      </c>
      <c r="E295" s="64">
        <v>0</v>
      </c>
      <c r="F295" s="64" t="s">
        <v>1261</v>
      </c>
      <c r="G295" s="64" t="s">
        <v>1262</v>
      </c>
      <c r="H295" s="64" t="s">
        <v>1263</v>
      </c>
      <c r="I295" s="64">
        <v>1</v>
      </c>
      <c r="J295" s="145">
        <v>9.9499999999999993</v>
      </c>
      <c r="K295" s="64" t="s">
        <v>1910</v>
      </c>
      <c r="L295" s="5"/>
      <c r="M295">
        <f t="shared" si="8"/>
        <v>0</v>
      </c>
      <c r="N295" s="12">
        <f t="shared" si="9"/>
        <v>291</v>
      </c>
    </row>
    <row r="296" spans="1:14" s="12" customFormat="1" x14ac:dyDescent="0.3">
      <c r="A296" s="12" t="s">
        <v>896</v>
      </c>
      <c r="B296" s="12" t="s">
        <v>2026</v>
      </c>
      <c r="C296" s="12" t="s">
        <v>1898</v>
      </c>
      <c r="D296" s="86" t="s">
        <v>2120</v>
      </c>
      <c r="E296" s="12">
        <v>3</v>
      </c>
      <c r="H296" s="51" t="s">
        <v>2121</v>
      </c>
      <c r="I296"/>
      <c r="J296" s="95">
        <v>4.95</v>
      </c>
      <c r="K296" s="51" t="s">
        <v>1910</v>
      </c>
      <c r="L296"/>
      <c r="M296">
        <f t="shared" si="8"/>
        <v>14.850000000000001</v>
      </c>
      <c r="N296" s="12">
        <f t="shared" si="9"/>
        <v>292</v>
      </c>
    </row>
    <row r="297" spans="1:14" s="12" customFormat="1" x14ac:dyDescent="0.3">
      <c r="A297" s="12" t="s">
        <v>896</v>
      </c>
      <c r="B297" s="12" t="s">
        <v>2026</v>
      </c>
      <c r="C297" s="12" t="s">
        <v>1898</v>
      </c>
      <c r="D297" s="86" t="s">
        <v>2122</v>
      </c>
      <c r="E297" s="12">
        <v>1</v>
      </c>
      <c r="H297" s="51" t="s">
        <v>2123</v>
      </c>
      <c r="I297"/>
      <c r="J297" s="95">
        <v>17.95</v>
      </c>
      <c r="K297" s="51" t="s">
        <v>1910</v>
      </c>
      <c r="L297"/>
      <c r="M297">
        <f t="shared" si="8"/>
        <v>17.95</v>
      </c>
      <c r="N297" s="12">
        <f t="shared" si="9"/>
        <v>293</v>
      </c>
    </row>
    <row r="298" spans="1:14" s="12" customFormat="1" x14ac:dyDescent="0.3">
      <c r="A298" s="90" t="s">
        <v>896</v>
      </c>
      <c r="B298" s="90" t="s">
        <v>1302</v>
      </c>
      <c r="C298" s="90" t="s">
        <v>8</v>
      </c>
      <c r="D298" s="85" t="s">
        <v>1088</v>
      </c>
      <c r="E298" s="64">
        <v>3</v>
      </c>
      <c r="F298" s="64" t="s">
        <v>1089</v>
      </c>
      <c r="G298" s="64" t="s">
        <v>1090</v>
      </c>
      <c r="H298" s="64" t="s">
        <v>1091</v>
      </c>
      <c r="I298" s="64">
        <v>1</v>
      </c>
      <c r="J298" s="145">
        <v>1.95</v>
      </c>
      <c r="K298" s="64" t="s">
        <v>1910</v>
      </c>
      <c r="L298" s="64" t="s">
        <v>1210</v>
      </c>
      <c r="M298">
        <f t="shared" si="8"/>
        <v>5.85</v>
      </c>
      <c r="N298" s="12">
        <f t="shared" si="9"/>
        <v>294</v>
      </c>
    </row>
    <row r="299" spans="1:14" s="12" customFormat="1" x14ac:dyDescent="0.3">
      <c r="A299" s="90" t="s">
        <v>896</v>
      </c>
      <c r="B299" s="90" t="s">
        <v>1302</v>
      </c>
      <c r="C299" s="90" t="s">
        <v>8</v>
      </c>
      <c r="D299" s="85" t="s">
        <v>1268</v>
      </c>
      <c r="E299" s="64">
        <v>3</v>
      </c>
      <c r="F299" s="64" t="s">
        <v>1269</v>
      </c>
      <c r="G299" s="64" t="s">
        <v>1270</v>
      </c>
      <c r="H299" s="64" t="s">
        <v>1271</v>
      </c>
      <c r="I299" s="64"/>
      <c r="J299" s="145">
        <v>1.5</v>
      </c>
      <c r="K299" s="64" t="s">
        <v>1910</v>
      </c>
      <c r="L299" s="5"/>
      <c r="M299">
        <f t="shared" si="8"/>
        <v>4.5</v>
      </c>
      <c r="N299" s="12">
        <f t="shared" si="9"/>
        <v>295</v>
      </c>
    </row>
    <row r="300" spans="1:14" s="12" customFormat="1" x14ac:dyDescent="0.3">
      <c r="A300" s="90" t="s">
        <v>896</v>
      </c>
      <c r="B300" s="90" t="s">
        <v>1302</v>
      </c>
      <c r="C300" s="90" t="s">
        <v>8</v>
      </c>
      <c r="D300" s="85" t="s">
        <v>1084</v>
      </c>
      <c r="E300" s="64">
        <v>3</v>
      </c>
      <c r="F300" s="64" t="s">
        <v>1085</v>
      </c>
      <c r="G300" s="64" t="s">
        <v>1086</v>
      </c>
      <c r="H300" s="64" t="s">
        <v>1087</v>
      </c>
      <c r="I300" s="64">
        <v>1</v>
      </c>
      <c r="J300" s="145">
        <v>0.95</v>
      </c>
      <c r="K300" s="64" t="s">
        <v>1910</v>
      </c>
      <c r="L300" s="64" t="s">
        <v>1210</v>
      </c>
      <c r="M300">
        <f t="shared" si="8"/>
        <v>2.8499999999999996</v>
      </c>
      <c r="N300" s="12">
        <f t="shared" si="9"/>
        <v>296</v>
      </c>
    </row>
    <row r="301" spans="1:14" s="12" customFormat="1" x14ac:dyDescent="0.3">
      <c r="A301" s="12" t="s">
        <v>896</v>
      </c>
      <c r="B301" s="12" t="s">
        <v>1302</v>
      </c>
      <c r="C301" s="12" t="s">
        <v>1898</v>
      </c>
      <c r="D301" s="86" t="s">
        <v>2118</v>
      </c>
      <c r="E301" s="104">
        <f>2*FilterSpecs!$C$3</f>
        <v>10</v>
      </c>
      <c r="H301" s="51" t="s">
        <v>2119</v>
      </c>
      <c r="I301"/>
      <c r="J301" s="95">
        <v>0.75</v>
      </c>
      <c r="K301" s="51" t="s">
        <v>1910</v>
      </c>
      <c r="L301"/>
      <c r="M301">
        <f t="shared" si="8"/>
        <v>7.5</v>
      </c>
      <c r="N301" s="12">
        <f t="shared" si="9"/>
        <v>297</v>
      </c>
    </row>
    <row r="302" spans="1:14" s="12" customFormat="1" x14ac:dyDescent="0.3">
      <c r="A302" s="90" t="s">
        <v>896</v>
      </c>
      <c r="B302" s="90" t="s">
        <v>1302</v>
      </c>
      <c r="C302" s="90" t="s">
        <v>8</v>
      </c>
      <c r="D302" s="85" t="s">
        <v>1264</v>
      </c>
      <c r="E302" s="64">
        <v>2</v>
      </c>
      <c r="F302" s="64" t="s">
        <v>1265</v>
      </c>
      <c r="G302" s="64" t="s">
        <v>1266</v>
      </c>
      <c r="H302" s="64" t="s">
        <v>1267</v>
      </c>
      <c r="I302" s="64">
        <v>1</v>
      </c>
      <c r="J302" s="145">
        <v>1.95</v>
      </c>
      <c r="K302" s="64" t="s">
        <v>1910</v>
      </c>
      <c r="L302" s="5"/>
      <c r="M302">
        <f t="shared" si="8"/>
        <v>3.9</v>
      </c>
      <c r="N302" s="12">
        <f t="shared" si="9"/>
        <v>298</v>
      </c>
    </row>
    <row r="303" spans="1:14" s="12" customFormat="1" x14ac:dyDescent="0.3">
      <c r="A303" s="90" t="s">
        <v>896</v>
      </c>
      <c r="B303" s="90" t="s">
        <v>1302</v>
      </c>
      <c r="C303" s="90" t="s">
        <v>8</v>
      </c>
      <c r="D303" s="85" t="s">
        <v>1080</v>
      </c>
      <c r="E303" s="64">
        <v>3</v>
      </c>
      <c r="F303" s="64" t="s">
        <v>1081</v>
      </c>
      <c r="G303" s="64" t="s">
        <v>1082</v>
      </c>
      <c r="H303" s="64" t="s">
        <v>1083</v>
      </c>
      <c r="I303" s="64"/>
      <c r="J303" s="145">
        <v>3.95</v>
      </c>
      <c r="K303" s="64" t="s">
        <v>1910</v>
      </c>
      <c r="L303" s="5"/>
      <c r="M303">
        <f t="shared" si="8"/>
        <v>11.850000000000001</v>
      </c>
      <c r="N303" s="12">
        <f t="shared" si="9"/>
        <v>299</v>
      </c>
    </row>
    <row r="304" spans="1:14" s="12" customFormat="1" x14ac:dyDescent="0.3">
      <c r="A304" s="90" t="s">
        <v>896</v>
      </c>
      <c r="B304" s="90" t="s">
        <v>995</v>
      </c>
      <c r="C304" s="90" t="s">
        <v>8</v>
      </c>
      <c r="D304" s="85" t="s">
        <v>643</v>
      </c>
      <c r="E304" s="64">
        <v>3</v>
      </c>
      <c r="F304" s="64" t="s">
        <v>644</v>
      </c>
      <c r="G304" s="64" t="s">
        <v>645</v>
      </c>
      <c r="H304" s="64" t="s">
        <v>646</v>
      </c>
      <c r="I304" s="64"/>
      <c r="J304" s="145">
        <v>3.95</v>
      </c>
      <c r="K304" s="64" t="s">
        <v>1910</v>
      </c>
      <c r="L304" s="5"/>
      <c r="M304">
        <f t="shared" si="8"/>
        <v>11.850000000000001</v>
      </c>
      <c r="N304" s="12">
        <f t="shared" si="9"/>
        <v>300</v>
      </c>
    </row>
    <row r="305" spans="1:14" s="12" customFormat="1" x14ac:dyDescent="0.3">
      <c r="A305" s="90" t="s">
        <v>896</v>
      </c>
      <c r="B305" s="90" t="s">
        <v>995</v>
      </c>
      <c r="C305" s="90" t="s">
        <v>8</v>
      </c>
      <c r="D305" s="85" t="s">
        <v>651</v>
      </c>
      <c r="E305" s="104">
        <f>FilterSpecs!$C$3</f>
        <v>5</v>
      </c>
      <c r="F305" s="64" t="s">
        <v>652</v>
      </c>
      <c r="G305" s="64" t="s">
        <v>653</v>
      </c>
      <c r="H305" s="64" t="s">
        <v>654</v>
      </c>
      <c r="I305" s="64">
        <v>1</v>
      </c>
      <c r="J305" s="145">
        <v>2.95</v>
      </c>
      <c r="K305" s="64" t="s">
        <v>1910</v>
      </c>
      <c r="L305" s="5"/>
      <c r="M305">
        <f t="shared" si="8"/>
        <v>14.75</v>
      </c>
      <c r="N305" s="12">
        <f t="shared" si="9"/>
        <v>301</v>
      </c>
    </row>
    <row r="306" spans="1:14" s="12" customFormat="1" x14ac:dyDescent="0.3">
      <c r="A306" s="90" t="s">
        <v>896</v>
      </c>
      <c r="B306" s="90" t="s">
        <v>995</v>
      </c>
      <c r="C306" s="90" t="s">
        <v>8</v>
      </c>
      <c r="D306" s="85" t="s">
        <v>707</v>
      </c>
      <c r="E306" s="104">
        <f>FilterSpecs!$C$3</f>
        <v>5</v>
      </c>
      <c r="F306" s="64" t="s">
        <v>708</v>
      </c>
      <c r="G306" s="64" t="s">
        <v>709</v>
      </c>
      <c r="H306" s="64" t="s">
        <v>710</v>
      </c>
      <c r="I306" s="64">
        <v>1</v>
      </c>
      <c r="J306" s="145">
        <v>1.5</v>
      </c>
      <c r="K306" s="64" t="s">
        <v>1910</v>
      </c>
      <c r="L306" s="5"/>
      <c r="M306">
        <f t="shared" si="8"/>
        <v>7.5</v>
      </c>
      <c r="N306" s="12">
        <f t="shared" si="9"/>
        <v>302</v>
      </c>
    </row>
    <row r="307" spans="1:14" s="12" customFormat="1" x14ac:dyDescent="0.3">
      <c r="A307" s="90" t="s">
        <v>896</v>
      </c>
      <c r="B307" s="90" t="s">
        <v>995</v>
      </c>
      <c r="C307" s="90" t="s">
        <v>8</v>
      </c>
      <c r="D307" s="85" t="s">
        <v>909</v>
      </c>
      <c r="E307" s="64">
        <v>3</v>
      </c>
      <c r="F307" s="64" t="s">
        <v>910</v>
      </c>
      <c r="G307" s="64" t="s">
        <v>911</v>
      </c>
      <c r="H307" s="64" t="s">
        <v>912</v>
      </c>
      <c r="I307" s="64">
        <v>1</v>
      </c>
      <c r="J307" s="145">
        <v>3.95</v>
      </c>
      <c r="K307" s="64" t="s">
        <v>1910</v>
      </c>
      <c r="L307" s="5"/>
      <c r="M307">
        <f t="shared" si="8"/>
        <v>11.850000000000001</v>
      </c>
      <c r="N307" s="12">
        <f t="shared" si="9"/>
        <v>303</v>
      </c>
    </row>
    <row r="308" spans="1:14" s="12" customFormat="1" x14ac:dyDescent="0.3">
      <c r="A308" s="90" t="s">
        <v>896</v>
      </c>
      <c r="B308" s="90" t="s">
        <v>995</v>
      </c>
      <c r="C308" s="90" t="s">
        <v>8</v>
      </c>
      <c r="D308" s="85" t="s">
        <v>913</v>
      </c>
      <c r="E308" s="104">
        <f>FilterSpecs!$C$3</f>
        <v>5</v>
      </c>
      <c r="F308" s="64" t="s">
        <v>914</v>
      </c>
      <c r="G308" s="64" t="s">
        <v>915</v>
      </c>
      <c r="H308" s="64" t="s">
        <v>916</v>
      </c>
      <c r="I308" s="64">
        <v>1</v>
      </c>
      <c r="J308" s="145">
        <v>0.46</v>
      </c>
      <c r="K308" s="64" t="s">
        <v>1910</v>
      </c>
      <c r="L308" s="5"/>
      <c r="M308">
        <f t="shared" si="8"/>
        <v>2.3000000000000003</v>
      </c>
      <c r="N308" s="12">
        <f t="shared" si="9"/>
        <v>304</v>
      </c>
    </row>
    <row r="309" spans="1:14" s="12" customFormat="1" x14ac:dyDescent="0.3">
      <c r="A309" s="90" t="s">
        <v>896</v>
      </c>
      <c r="B309" s="90" t="s">
        <v>995</v>
      </c>
      <c r="C309" s="90" t="s">
        <v>8</v>
      </c>
      <c r="D309" s="85" t="s">
        <v>937</v>
      </c>
      <c r="E309" s="104">
        <f>2*FilterSpecs!$C$3</f>
        <v>10</v>
      </c>
      <c r="F309" s="64" t="s">
        <v>938</v>
      </c>
      <c r="G309" s="64" t="s">
        <v>939</v>
      </c>
      <c r="H309" s="64" t="s">
        <v>940</v>
      </c>
      <c r="I309" s="64">
        <v>1</v>
      </c>
      <c r="J309" s="145">
        <v>3.95</v>
      </c>
      <c r="K309" s="64" t="s">
        <v>1910</v>
      </c>
      <c r="L309" s="5"/>
      <c r="M309">
        <f t="shared" si="8"/>
        <v>39.5</v>
      </c>
      <c r="N309" s="12">
        <f t="shared" si="9"/>
        <v>305</v>
      </c>
    </row>
    <row r="310" spans="1:14" s="103" customFormat="1" x14ac:dyDescent="0.3">
      <c r="A310" s="90" t="s">
        <v>896</v>
      </c>
      <c r="B310" s="90" t="s">
        <v>1303</v>
      </c>
      <c r="C310" s="90" t="s">
        <v>8</v>
      </c>
      <c r="D310" s="85" t="s">
        <v>1240</v>
      </c>
      <c r="E310" s="64">
        <v>1</v>
      </c>
      <c r="F310" s="64" t="s">
        <v>1241</v>
      </c>
      <c r="G310" s="64" t="s">
        <v>1242</v>
      </c>
      <c r="H310" s="64" t="s">
        <v>1243</v>
      </c>
      <c r="I310" s="64">
        <v>1</v>
      </c>
      <c r="J310" s="145">
        <v>2.95</v>
      </c>
      <c r="K310" s="64" t="s">
        <v>1910</v>
      </c>
      <c r="L310" s="5"/>
      <c r="M310">
        <f t="shared" si="8"/>
        <v>2.95</v>
      </c>
      <c r="N310" s="103">
        <f t="shared" si="9"/>
        <v>306</v>
      </c>
    </row>
    <row r="311" spans="1:14" s="103" customFormat="1" x14ac:dyDescent="0.3">
      <c r="A311" s="90" t="s">
        <v>896</v>
      </c>
      <c r="B311" s="90" t="s">
        <v>1303</v>
      </c>
      <c r="C311" s="90" t="s">
        <v>8</v>
      </c>
      <c r="D311" s="85" t="s">
        <v>1244</v>
      </c>
      <c r="E311" s="64">
        <v>1</v>
      </c>
      <c r="F311" s="64" t="s">
        <v>1245</v>
      </c>
      <c r="G311" s="64" t="s">
        <v>1246</v>
      </c>
      <c r="H311" s="64" t="s">
        <v>1247</v>
      </c>
      <c r="I311" s="64">
        <v>1</v>
      </c>
      <c r="J311" s="145">
        <v>3.95</v>
      </c>
      <c r="K311" s="64" t="s">
        <v>1910</v>
      </c>
      <c r="L311" s="5"/>
      <c r="M311">
        <f t="shared" si="8"/>
        <v>3.95</v>
      </c>
      <c r="N311" s="103">
        <f t="shared" si="9"/>
        <v>307</v>
      </c>
    </row>
    <row r="312" spans="1:14" s="103" customFormat="1" x14ac:dyDescent="0.3">
      <c r="A312" s="102" t="s">
        <v>897</v>
      </c>
      <c r="B312" s="102" t="s">
        <v>891</v>
      </c>
      <c r="C312" s="102" t="s">
        <v>8</v>
      </c>
      <c r="D312" s="103" t="s">
        <v>1295</v>
      </c>
      <c r="E312" s="104">
        <f>SUM(E313:E317)</f>
        <v>4</v>
      </c>
      <c r="F312" s="103" t="s">
        <v>1296</v>
      </c>
      <c r="G312" s="103" t="s">
        <v>1297</v>
      </c>
      <c r="H312" s="103" t="s">
        <v>1298</v>
      </c>
      <c r="I312" s="103">
        <v>1</v>
      </c>
      <c r="J312" s="104">
        <v>1.5</v>
      </c>
      <c r="K312" s="107" t="s">
        <v>1911</v>
      </c>
      <c r="M312">
        <f t="shared" si="8"/>
        <v>6</v>
      </c>
      <c r="N312" s="103">
        <f t="shared" si="9"/>
        <v>308</v>
      </c>
    </row>
    <row r="313" spans="1:14" s="103" customFormat="1" x14ac:dyDescent="0.3">
      <c r="A313" s="102" t="s">
        <v>897</v>
      </c>
      <c r="B313" s="102" t="s">
        <v>891</v>
      </c>
      <c r="C313" s="102" t="s">
        <v>8</v>
      </c>
      <c r="D313" s="103" t="s">
        <v>603</v>
      </c>
      <c r="E313" s="104">
        <v>1</v>
      </c>
      <c r="F313" s="103" t="s">
        <v>604</v>
      </c>
      <c r="G313" s="103" t="s">
        <v>605</v>
      </c>
      <c r="H313" s="103" t="s">
        <v>606</v>
      </c>
      <c r="J313" s="104">
        <v>1.95</v>
      </c>
      <c r="K313" s="103" t="s">
        <v>1910</v>
      </c>
      <c r="M313">
        <f t="shared" si="8"/>
        <v>1.95</v>
      </c>
      <c r="N313" s="103">
        <f t="shared" si="9"/>
        <v>309</v>
      </c>
    </row>
    <row r="314" spans="1:14" s="103" customFormat="1" x14ac:dyDescent="0.3">
      <c r="A314" s="102" t="s">
        <v>897</v>
      </c>
      <c r="B314" s="102" t="s">
        <v>891</v>
      </c>
      <c r="C314" s="102" t="s">
        <v>8</v>
      </c>
      <c r="D314" s="103" t="s">
        <v>607</v>
      </c>
      <c r="E314" s="104">
        <v>1</v>
      </c>
      <c r="F314" s="103" t="s">
        <v>608</v>
      </c>
      <c r="G314" s="103" t="s">
        <v>609</v>
      </c>
      <c r="H314" s="103" t="s">
        <v>610</v>
      </c>
      <c r="J314" s="104">
        <v>1.95</v>
      </c>
      <c r="K314" s="103" t="s">
        <v>1910</v>
      </c>
      <c r="M314">
        <f t="shared" si="8"/>
        <v>1.95</v>
      </c>
      <c r="N314" s="103">
        <f t="shared" si="9"/>
        <v>310</v>
      </c>
    </row>
    <row r="315" spans="1:14" s="103" customFormat="1" x14ac:dyDescent="0.3">
      <c r="A315" s="102" t="s">
        <v>897</v>
      </c>
      <c r="B315" s="102" t="s">
        <v>891</v>
      </c>
      <c r="C315" s="102" t="s">
        <v>8</v>
      </c>
      <c r="D315" s="103" t="s">
        <v>1293</v>
      </c>
      <c r="E315" s="104">
        <v>1</v>
      </c>
      <c r="F315" s="103" t="s">
        <v>1299</v>
      </c>
      <c r="G315" s="103" t="s">
        <v>1300</v>
      </c>
      <c r="H315" s="103" t="s">
        <v>1294</v>
      </c>
      <c r="J315" s="104">
        <v>1.95</v>
      </c>
      <c r="K315" s="103" t="s">
        <v>1910</v>
      </c>
      <c r="M315">
        <f t="shared" si="8"/>
        <v>1.95</v>
      </c>
      <c r="N315" s="103">
        <f t="shared" si="9"/>
        <v>311</v>
      </c>
    </row>
    <row r="316" spans="1:14" s="12" customFormat="1" hidden="1" x14ac:dyDescent="0.3">
      <c r="A316" s="51" t="s">
        <v>897</v>
      </c>
      <c r="B316" s="51" t="s">
        <v>891</v>
      </c>
      <c r="C316" s="51" t="s">
        <v>8</v>
      </c>
      <c r="D316" s="12" t="s">
        <v>1709</v>
      </c>
      <c r="E316" s="89">
        <v>0</v>
      </c>
      <c r="F316" s="12" t="s">
        <v>1710</v>
      </c>
      <c r="G316" s="12" t="s">
        <v>1711</v>
      </c>
      <c r="H316" s="12" t="s">
        <v>1712</v>
      </c>
      <c r="J316" s="89">
        <v>1.95</v>
      </c>
      <c r="K316" s="12" t="s">
        <v>1910</v>
      </c>
      <c r="M316">
        <f t="shared" si="8"/>
        <v>0</v>
      </c>
      <c r="N316" s="12">
        <f t="shared" si="9"/>
        <v>312</v>
      </c>
    </row>
    <row r="317" spans="1:14" s="12" customFormat="1" x14ac:dyDescent="0.3">
      <c r="A317" s="51" t="s">
        <v>897</v>
      </c>
      <c r="B317" s="51" t="s">
        <v>891</v>
      </c>
      <c r="C317" s="51" t="s">
        <v>8</v>
      </c>
      <c r="D317" s="12" t="s">
        <v>1713</v>
      </c>
      <c r="E317" s="89">
        <v>1</v>
      </c>
      <c r="F317" s="12" t="s">
        <v>1714</v>
      </c>
      <c r="G317" s="12" t="s">
        <v>1715</v>
      </c>
      <c r="H317" s="12" t="s">
        <v>1716</v>
      </c>
      <c r="J317" s="89">
        <v>1.95</v>
      </c>
      <c r="K317" s="12" t="s">
        <v>1910</v>
      </c>
      <c r="M317">
        <f t="shared" si="8"/>
        <v>1.95</v>
      </c>
      <c r="N317" s="12">
        <f t="shared" si="9"/>
        <v>313</v>
      </c>
    </row>
    <row r="318" spans="1:14" s="12" customFormat="1" hidden="1" x14ac:dyDescent="0.3">
      <c r="A318" s="12" t="s">
        <v>897</v>
      </c>
      <c r="B318" s="12" t="s">
        <v>891</v>
      </c>
      <c r="C318" s="12" t="s">
        <v>1898</v>
      </c>
      <c r="D318" s="12" t="s">
        <v>2136</v>
      </c>
      <c r="E318" s="89">
        <v>0</v>
      </c>
      <c r="H318" s="51" t="s">
        <v>2137</v>
      </c>
      <c r="I318"/>
      <c r="J318" s="95">
        <v>2.5</v>
      </c>
      <c r="K318" s="51" t="s">
        <v>1910</v>
      </c>
      <c r="L318"/>
      <c r="M318">
        <f t="shared" si="8"/>
        <v>0</v>
      </c>
      <c r="N318" s="12">
        <f t="shared" si="9"/>
        <v>314</v>
      </c>
    </row>
    <row r="319" spans="1:14" s="12" customFormat="1" x14ac:dyDescent="0.3">
      <c r="A319" s="51" t="s">
        <v>897</v>
      </c>
      <c r="B319" s="51" t="s">
        <v>891</v>
      </c>
      <c r="C319" s="51" t="s">
        <v>8</v>
      </c>
      <c r="D319" s="12" t="s">
        <v>615</v>
      </c>
      <c r="E319" s="89">
        <v>2</v>
      </c>
      <c r="F319" s="12" t="s">
        <v>616</v>
      </c>
      <c r="G319" s="12" t="s">
        <v>617</v>
      </c>
      <c r="H319" s="12" t="s">
        <v>618</v>
      </c>
      <c r="I319" s="12">
        <v>1</v>
      </c>
      <c r="J319" s="89">
        <v>0.35</v>
      </c>
      <c r="K319" s="12" t="s">
        <v>1910</v>
      </c>
      <c r="M319">
        <f t="shared" si="8"/>
        <v>0.7</v>
      </c>
      <c r="N319" s="12">
        <f t="shared" si="9"/>
        <v>315</v>
      </c>
    </row>
    <row r="320" spans="1:14" s="12" customFormat="1" x14ac:dyDescent="0.3">
      <c r="A320" s="51" t="s">
        <v>897</v>
      </c>
      <c r="B320" s="51" t="s">
        <v>891</v>
      </c>
      <c r="C320" s="51" t="s">
        <v>8</v>
      </c>
      <c r="D320" s="12" t="s">
        <v>627</v>
      </c>
      <c r="E320" s="89">
        <v>2</v>
      </c>
      <c r="F320" s="12" t="s">
        <v>628</v>
      </c>
      <c r="G320" s="12" t="s">
        <v>629</v>
      </c>
      <c r="H320" s="12" t="s">
        <v>630</v>
      </c>
      <c r="I320" s="12">
        <v>1</v>
      </c>
      <c r="J320" s="89">
        <v>0.5</v>
      </c>
      <c r="K320" s="12" t="s">
        <v>1910</v>
      </c>
      <c r="M320">
        <f t="shared" si="8"/>
        <v>1</v>
      </c>
      <c r="N320" s="12">
        <f t="shared" si="9"/>
        <v>316</v>
      </c>
    </row>
    <row r="321" spans="1:14" s="12" customFormat="1" x14ac:dyDescent="0.3">
      <c r="A321" s="51" t="s">
        <v>897</v>
      </c>
      <c r="B321" s="51" t="s">
        <v>891</v>
      </c>
      <c r="C321" s="51" t="s">
        <v>8</v>
      </c>
      <c r="D321" s="12" t="s">
        <v>623</v>
      </c>
      <c r="E321" s="89">
        <v>2</v>
      </c>
      <c r="F321" s="12" t="s">
        <v>624</v>
      </c>
      <c r="G321" s="12" t="s">
        <v>625</v>
      </c>
      <c r="H321" s="12" t="s">
        <v>626</v>
      </c>
      <c r="I321" s="12">
        <v>1</v>
      </c>
      <c r="J321" s="89">
        <v>0.5</v>
      </c>
      <c r="K321" s="12" t="s">
        <v>1910</v>
      </c>
      <c r="M321">
        <f t="shared" si="8"/>
        <v>1</v>
      </c>
      <c r="N321" s="12">
        <f t="shared" si="9"/>
        <v>317</v>
      </c>
    </row>
    <row r="322" spans="1:14" s="12" customFormat="1" hidden="1" x14ac:dyDescent="0.3">
      <c r="A322" s="12" t="s">
        <v>897</v>
      </c>
      <c r="B322" s="12" t="s">
        <v>891</v>
      </c>
      <c r="C322" s="12" t="s">
        <v>1898</v>
      </c>
      <c r="D322" s="12" t="s">
        <v>2124</v>
      </c>
      <c r="E322" s="89">
        <v>0</v>
      </c>
      <c r="H322" s="51" t="s">
        <v>2125</v>
      </c>
      <c r="I322"/>
      <c r="J322" s="95">
        <v>1.95</v>
      </c>
      <c r="K322" s="51" t="s">
        <v>1910</v>
      </c>
      <c r="L322"/>
      <c r="M322">
        <f t="shared" si="8"/>
        <v>0</v>
      </c>
      <c r="N322" s="12">
        <f t="shared" si="9"/>
        <v>318</v>
      </c>
    </row>
    <row r="323" spans="1:14" s="103" customFormat="1" hidden="1" x14ac:dyDescent="0.3">
      <c r="A323" s="103" t="s">
        <v>897</v>
      </c>
      <c r="B323" s="103" t="s">
        <v>891</v>
      </c>
      <c r="C323" s="103" t="s">
        <v>1898</v>
      </c>
      <c r="D323" s="103" t="s">
        <v>2126</v>
      </c>
      <c r="E323" s="104">
        <v>0</v>
      </c>
      <c r="H323" s="102" t="s">
        <v>2127</v>
      </c>
      <c r="I323" s="105"/>
      <c r="J323" s="111">
        <v>1.95</v>
      </c>
      <c r="K323" s="102" t="s">
        <v>1910</v>
      </c>
      <c r="L323" s="105"/>
      <c r="M323">
        <f t="shared" si="8"/>
        <v>0</v>
      </c>
      <c r="N323" s="103">
        <f t="shared" si="9"/>
        <v>319</v>
      </c>
    </row>
    <row r="324" spans="1:14" s="103" customFormat="1" x14ac:dyDescent="0.3">
      <c r="A324" s="102" t="s">
        <v>897</v>
      </c>
      <c r="B324" s="102" t="s">
        <v>891</v>
      </c>
      <c r="C324" s="102" t="s">
        <v>8</v>
      </c>
      <c r="D324" s="103" t="s">
        <v>619</v>
      </c>
      <c r="E324" s="104">
        <f>FilterSpecs!$C$3</f>
        <v>5</v>
      </c>
      <c r="F324" s="103" t="s">
        <v>620</v>
      </c>
      <c r="G324" s="103" t="s">
        <v>621</v>
      </c>
      <c r="H324" s="103" t="s">
        <v>622</v>
      </c>
      <c r="I324" s="103">
        <v>1</v>
      </c>
      <c r="J324" s="104">
        <v>0.5</v>
      </c>
      <c r="K324" s="103" t="s">
        <v>1911</v>
      </c>
      <c r="M324">
        <f t="shared" si="8"/>
        <v>2.5</v>
      </c>
      <c r="N324" s="103">
        <f t="shared" si="9"/>
        <v>320</v>
      </c>
    </row>
    <row r="325" spans="1:14" s="103" customFormat="1" x14ac:dyDescent="0.3">
      <c r="A325" s="102" t="s">
        <v>897</v>
      </c>
      <c r="B325" s="102" t="s">
        <v>891</v>
      </c>
      <c r="C325" s="102" t="s">
        <v>8</v>
      </c>
      <c r="D325" s="103" t="s">
        <v>531</v>
      </c>
      <c r="E325" s="104">
        <f>FilterSpecs!$C$3+2</f>
        <v>7</v>
      </c>
      <c r="F325" s="103" t="s">
        <v>532</v>
      </c>
      <c r="G325" s="103" t="s">
        <v>533</v>
      </c>
      <c r="H325" s="103" t="s">
        <v>534</v>
      </c>
      <c r="I325" s="103">
        <v>1</v>
      </c>
      <c r="J325" s="104">
        <v>0.95</v>
      </c>
      <c r="K325" s="107" t="s">
        <v>1911</v>
      </c>
      <c r="M325">
        <f t="shared" ref="M325:M388" si="10">E325*J325</f>
        <v>6.6499999999999995</v>
      </c>
      <c r="N325" s="103">
        <f t="shared" ref="N325:N388" si="11">IF($N324="List #",1,$N324+1)</f>
        <v>321</v>
      </c>
    </row>
    <row r="326" spans="1:14" s="103" customFormat="1" x14ac:dyDescent="0.3">
      <c r="A326" s="102" t="s">
        <v>897</v>
      </c>
      <c r="B326" s="102" t="s">
        <v>891</v>
      </c>
      <c r="C326" s="102" t="s">
        <v>8</v>
      </c>
      <c r="D326" s="103" t="s">
        <v>631</v>
      </c>
      <c r="E326" s="104">
        <v>2</v>
      </c>
      <c r="F326" s="103" t="s">
        <v>632</v>
      </c>
      <c r="G326" s="103" t="s">
        <v>633</v>
      </c>
      <c r="H326" s="103" t="s">
        <v>634</v>
      </c>
      <c r="I326" s="103">
        <v>1</v>
      </c>
      <c r="J326" s="104">
        <v>1.5</v>
      </c>
      <c r="K326" s="103" t="s">
        <v>1910</v>
      </c>
      <c r="M326">
        <f t="shared" si="10"/>
        <v>3</v>
      </c>
      <c r="N326" s="103">
        <f t="shared" si="11"/>
        <v>322</v>
      </c>
    </row>
    <row r="327" spans="1:14" s="103" customFormat="1" x14ac:dyDescent="0.3">
      <c r="A327" s="102" t="s">
        <v>897</v>
      </c>
      <c r="B327" s="102" t="s">
        <v>891</v>
      </c>
      <c r="C327" s="102" t="s">
        <v>8</v>
      </c>
      <c r="D327" s="103" t="s">
        <v>1334</v>
      </c>
      <c r="E327" s="104">
        <f>FilterSpecs!$C$3</f>
        <v>5</v>
      </c>
      <c r="F327" s="103" t="s">
        <v>1335</v>
      </c>
      <c r="G327" s="103" t="s">
        <v>1336</v>
      </c>
      <c r="H327" s="103" t="s">
        <v>1337</v>
      </c>
      <c r="I327" s="103">
        <v>1</v>
      </c>
      <c r="J327" s="104">
        <v>0.75</v>
      </c>
      <c r="K327" s="103" t="s">
        <v>1911</v>
      </c>
      <c r="M327">
        <f t="shared" si="10"/>
        <v>3.75</v>
      </c>
      <c r="N327" s="103">
        <f t="shared" si="11"/>
        <v>323</v>
      </c>
    </row>
    <row r="328" spans="1:14" s="12" customFormat="1" x14ac:dyDescent="0.3">
      <c r="A328" s="51" t="s">
        <v>897</v>
      </c>
      <c r="B328" s="51" t="s">
        <v>891</v>
      </c>
      <c r="C328" s="51" t="s">
        <v>8</v>
      </c>
      <c r="D328" s="12" t="s">
        <v>1677</v>
      </c>
      <c r="E328" s="89">
        <v>1</v>
      </c>
      <c r="F328" s="12" t="s">
        <v>1678</v>
      </c>
      <c r="G328" s="12" t="s">
        <v>1679</v>
      </c>
      <c r="H328" s="12" t="s">
        <v>1680</v>
      </c>
      <c r="I328" s="12">
        <v>1</v>
      </c>
      <c r="J328" s="89">
        <v>0.95</v>
      </c>
      <c r="K328" s="12" t="s">
        <v>1910</v>
      </c>
      <c r="M328">
        <f t="shared" si="10"/>
        <v>0.95</v>
      </c>
      <c r="N328" s="12">
        <f t="shared" si="11"/>
        <v>324</v>
      </c>
    </row>
    <row r="329" spans="1:14" s="12" customFormat="1" x14ac:dyDescent="0.3">
      <c r="A329" s="51" t="s">
        <v>897</v>
      </c>
      <c r="B329" s="51" t="s">
        <v>891</v>
      </c>
      <c r="C329" s="51" t="s">
        <v>8</v>
      </c>
      <c r="D329" s="12" t="s">
        <v>1693</v>
      </c>
      <c r="E329" s="89">
        <v>1</v>
      </c>
      <c r="F329" s="12" t="s">
        <v>1694</v>
      </c>
      <c r="G329" s="12" t="s">
        <v>1695</v>
      </c>
      <c r="H329" s="12" t="s">
        <v>1696</v>
      </c>
      <c r="I329" s="12">
        <v>1</v>
      </c>
      <c r="J329" s="89">
        <v>1.95</v>
      </c>
      <c r="K329" s="12" t="s">
        <v>1910</v>
      </c>
      <c r="M329">
        <f t="shared" si="10"/>
        <v>1.95</v>
      </c>
      <c r="N329" s="12">
        <f t="shared" si="11"/>
        <v>325</v>
      </c>
    </row>
    <row r="330" spans="1:14" s="12" customFormat="1" x14ac:dyDescent="0.3">
      <c r="A330" s="51" t="s">
        <v>897</v>
      </c>
      <c r="B330" s="51" t="s">
        <v>891</v>
      </c>
      <c r="C330" s="51" t="s">
        <v>8</v>
      </c>
      <c r="D330" s="12" t="s">
        <v>1689</v>
      </c>
      <c r="E330" s="89">
        <v>1</v>
      </c>
      <c r="F330" s="12" t="s">
        <v>1690</v>
      </c>
      <c r="G330" s="12" t="s">
        <v>1691</v>
      </c>
      <c r="H330" s="12" t="s">
        <v>1692</v>
      </c>
      <c r="I330" s="12">
        <v>1</v>
      </c>
      <c r="J330" s="89">
        <v>3.5</v>
      </c>
      <c r="K330" s="12" t="s">
        <v>1910</v>
      </c>
      <c r="M330">
        <f t="shared" si="10"/>
        <v>3.5</v>
      </c>
      <c r="N330" s="12">
        <f t="shared" si="11"/>
        <v>326</v>
      </c>
    </row>
    <row r="331" spans="1:14" s="103" customFormat="1" x14ac:dyDescent="0.3">
      <c r="A331" s="12" t="s">
        <v>897</v>
      </c>
      <c r="B331" s="12" t="s">
        <v>891</v>
      </c>
      <c r="C331" s="90" t="s">
        <v>8</v>
      </c>
      <c r="D331" s="85" t="s">
        <v>731</v>
      </c>
      <c r="E331" s="64">
        <v>3</v>
      </c>
      <c r="F331" s="64" t="s">
        <v>732</v>
      </c>
      <c r="G331" s="64" t="s">
        <v>733</v>
      </c>
      <c r="H331" s="64" t="s">
        <v>734</v>
      </c>
      <c r="I331" s="64"/>
      <c r="J331" s="145">
        <v>1.5</v>
      </c>
      <c r="K331" s="64" t="s">
        <v>1910</v>
      </c>
      <c r="L331" s="5"/>
      <c r="M331">
        <f t="shared" si="10"/>
        <v>4.5</v>
      </c>
      <c r="N331" s="103">
        <f t="shared" si="11"/>
        <v>327</v>
      </c>
    </row>
    <row r="332" spans="1:14" s="103" customFormat="1" hidden="1" x14ac:dyDescent="0.3">
      <c r="A332" s="12" t="s">
        <v>897</v>
      </c>
      <c r="B332" s="12" t="s">
        <v>891</v>
      </c>
      <c r="C332" s="90" t="s">
        <v>8</v>
      </c>
      <c r="D332" s="85" t="s">
        <v>1668</v>
      </c>
      <c r="E332" s="64">
        <v>0</v>
      </c>
      <c r="F332" s="64" t="s">
        <v>732</v>
      </c>
      <c r="G332" s="64" t="s">
        <v>733</v>
      </c>
      <c r="H332" s="64" t="s">
        <v>1667</v>
      </c>
      <c r="I332" s="64"/>
      <c r="J332" s="145">
        <v>1.5</v>
      </c>
      <c r="K332" s="64" t="s">
        <v>1910</v>
      </c>
      <c r="L332" s="5"/>
      <c r="M332">
        <f t="shared" si="10"/>
        <v>0</v>
      </c>
      <c r="N332" s="103">
        <f t="shared" si="11"/>
        <v>328</v>
      </c>
    </row>
    <row r="333" spans="1:14" s="12" customFormat="1" hidden="1" x14ac:dyDescent="0.3">
      <c r="A333" s="12" t="s">
        <v>897</v>
      </c>
      <c r="B333" s="12" t="s">
        <v>891</v>
      </c>
      <c r="C333" s="12" t="s">
        <v>1898</v>
      </c>
      <c r="D333" s="12" t="s">
        <v>2128</v>
      </c>
      <c r="E333" s="89">
        <v>0</v>
      </c>
      <c r="H333" s="51" t="s">
        <v>2129</v>
      </c>
      <c r="I333"/>
      <c r="J333" s="95">
        <v>0.5</v>
      </c>
      <c r="K333" s="51" t="s">
        <v>1910</v>
      </c>
      <c r="L333"/>
      <c r="M333">
        <f t="shared" si="10"/>
        <v>0</v>
      </c>
      <c r="N333" s="12">
        <f t="shared" si="11"/>
        <v>329</v>
      </c>
    </row>
    <row r="334" spans="1:14" s="12" customFormat="1" hidden="1" x14ac:dyDescent="0.3">
      <c r="A334" s="12" t="s">
        <v>897</v>
      </c>
      <c r="B334" s="12" t="s">
        <v>891</v>
      </c>
      <c r="C334" s="12" t="s">
        <v>1898</v>
      </c>
      <c r="D334" s="12" t="s">
        <v>2130</v>
      </c>
      <c r="E334" s="89">
        <v>0</v>
      </c>
      <c r="H334" s="51" t="s">
        <v>2131</v>
      </c>
      <c r="I334"/>
      <c r="J334" s="95">
        <v>0.95</v>
      </c>
      <c r="K334" s="51" t="s">
        <v>1910</v>
      </c>
      <c r="L334"/>
      <c r="M334">
        <f t="shared" si="10"/>
        <v>0</v>
      </c>
      <c r="N334" s="12">
        <f t="shared" si="11"/>
        <v>330</v>
      </c>
    </row>
    <row r="335" spans="1:14" s="12" customFormat="1" hidden="1" x14ac:dyDescent="0.3">
      <c r="A335" s="12" t="s">
        <v>897</v>
      </c>
      <c r="B335" s="12" t="s">
        <v>891</v>
      </c>
      <c r="C335" s="12" t="s">
        <v>1898</v>
      </c>
      <c r="D335" s="12" t="s">
        <v>2132</v>
      </c>
      <c r="E335" s="89">
        <v>0</v>
      </c>
      <c r="H335" s="51" t="s">
        <v>2133</v>
      </c>
      <c r="I335"/>
      <c r="J335" s="95">
        <v>0.95</v>
      </c>
      <c r="K335" s="51" t="s">
        <v>1910</v>
      </c>
      <c r="L335"/>
      <c r="M335">
        <f t="shared" si="10"/>
        <v>0</v>
      </c>
      <c r="N335" s="12">
        <f t="shared" si="11"/>
        <v>331</v>
      </c>
    </row>
    <row r="336" spans="1:14" s="12" customFormat="1" hidden="1" x14ac:dyDescent="0.3">
      <c r="A336" s="12" t="s">
        <v>897</v>
      </c>
      <c r="B336" s="12" t="s">
        <v>891</v>
      </c>
      <c r="C336" s="12" t="s">
        <v>1898</v>
      </c>
      <c r="D336" s="12" t="s">
        <v>2134</v>
      </c>
      <c r="E336" s="89">
        <v>0</v>
      </c>
      <c r="H336" s="51" t="s">
        <v>2135</v>
      </c>
      <c r="I336"/>
      <c r="J336" s="95">
        <v>3.95</v>
      </c>
      <c r="K336" s="51" t="s">
        <v>1910</v>
      </c>
      <c r="L336"/>
      <c r="M336">
        <f t="shared" si="10"/>
        <v>0</v>
      </c>
      <c r="N336" s="12">
        <f t="shared" si="11"/>
        <v>332</v>
      </c>
    </row>
    <row r="337" spans="1:14" s="12" customFormat="1" hidden="1" x14ac:dyDescent="0.3">
      <c r="A337" s="86" t="s">
        <v>897</v>
      </c>
      <c r="B337" s="86" t="s">
        <v>2027</v>
      </c>
      <c r="C337" s="86" t="s">
        <v>1898</v>
      </c>
      <c r="D337" s="86" t="s">
        <v>2138</v>
      </c>
      <c r="E337" s="89">
        <v>0</v>
      </c>
      <c r="H337" s="82" t="s">
        <v>2139</v>
      </c>
      <c r="I337"/>
      <c r="J337" s="95">
        <v>1.95</v>
      </c>
      <c r="K337" s="82" t="s">
        <v>1910</v>
      </c>
      <c r="L337"/>
      <c r="M337">
        <f t="shared" si="10"/>
        <v>0</v>
      </c>
      <c r="N337" s="12">
        <f t="shared" si="11"/>
        <v>333</v>
      </c>
    </row>
    <row r="338" spans="1:14" s="12" customFormat="1" hidden="1" x14ac:dyDescent="0.3">
      <c r="A338" s="86" t="s">
        <v>897</v>
      </c>
      <c r="B338" s="86" t="s">
        <v>2027</v>
      </c>
      <c r="C338" s="86" t="s">
        <v>1898</v>
      </c>
      <c r="D338" s="86" t="s">
        <v>2140</v>
      </c>
      <c r="E338" s="89">
        <v>0</v>
      </c>
      <c r="H338" s="82" t="s">
        <v>2141</v>
      </c>
      <c r="I338"/>
      <c r="J338" s="95">
        <v>2.25</v>
      </c>
      <c r="K338" s="82" t="s">
        <v>1910</v>
      </c>
      <c r="L338"/>
      <c r="M338">
        <f t="shared" si="10"/>
        <v>0</v>
      </c>
      <c r="N338" s="12">
        <f t="shared" si="11"/>
        <v>334</v>
      </c>
    </row>
    <row r="339" spans="1:14" s="12" customFormat="1" x14ac:dyDescent="0.3">
      <c r="A339" s="86" t="s">
        <v>897</v>
      </c>
      <c r="B339" s="86" t="s">
        <v>2027</v>
      </c>
      <c r="C339" s="86" t="s">
        <v>1898</v>
      </c>
      <c r="D339" s="86" t="s">
        <v>2142</v>
      </c>
      <c r="E339" s="89">
        <f>2*FilterSpecs!$C$3</f>
        <v>10</v>
      </c>
      <c r="H339" s="82" t="s">
        <v>2143</v>
      </c>
      <c r="I339"/>
      <c r="J339" s="95">
        <v>0.95</v>
      </c>
      <c r="K339" s="82" t="s">
        <v>1910</v>
      </c>
      <c r="L339"/>
      <c r="M339">
        <f t="shared" si="10"/>
        <v>9.5</v>
      </c>
      <c r="N339" s="12">
        <f t="shared" si="11"/>
        <v>335</v>
      </c>
    </row>
    <row r="340" spans="1:14" s="12" customFormat="1" x14ac:dyDescent="0.3">
      <c r="A340" s="82" t="s">
        <v>897</v>
      </c>
      <c r="B340" s="82" t="s">
        <v>1884</v>
      </c>
      <c r="C340" s="82" t="s">
        <v>8</v>
      </c>
      <c r="D340" s="86" t="s">
        <v>445</v>
      </c>
      <c r="E340" s="89">
        <f>2*FilterSpecs!$C$3</f>
        <v>10</v>
      </c>
      <c r="F340" s="12" t="s">
        <v>446</v>
      </c>
      <c r="G340" s="12" t="s">
        <v>447</v>
      </c>
      <c r="H340" s="86" t="s">
        <v>448</v>
      </c>
      <c r="I340" s="12">
        <v>1</v>
      </c>
      <c r="J340" s="89">
        <v>0.95</v>
      </c>
      <c r="K340" s="86" t="s">
        <v>1911</v>
      </c>
      <c r="M340">
        <f t="shared" si="10"/>
        <v>9.5</v>
      </c>
      <c r="N340" s="12">
        <f t="shared" si="11"/>
        <v>336</v>
      </c>
    </row>
    <row r="341" spans="1:14" s="12" customFormat="1" x14ac:dyDescent="0.3">
      <c r="A341" s="82" t="s">
        <v>897</v>
      </c>
      <c r="B341" s="82" t="s">
        <v>1884</v>
      </c>
      <c r="C341" s="82" t="s">
        <v>8</v>
      </c>
      <c r="D341" s="86" t="s">
        <v>1855</v>
      </c>
      <c r="E341" s="89">
        <f>FilterSpecs!$C$3</f>
        <v>5</v>
      </c>
      <c r="F341" s="12" t="s">
        <v>1856</v>
      </c>
      <c r="G341" s="12" t="s">
        <v>1857</v>
      </c>
      <c r="H341" s="86" t="s">
        <v>1858</v>
      </c>
      <c r="I341" s="12">
        <v>1</v>
      </c>
      <c r="J341" s="89">
        <v>0.95</v>
      </c>
      <c r="K341" s="86" t="s">
        <v>1910</v>
      </c>
      <c r="M341">
        <f t="shared" si="10"/>
        <v>4.75</v>
      </c>
      <c r="N341" s="12">
        <f t="shared" si="11"/>
        <v>337</v>
      </c>
    </row>
    <row r="342" spans="1:14" s="12" customFormat="1" hidden="1" x14ac:dyDescent="0.3">
      <c r="A342" s="82" t="s">
        <v>897</v>
      </c>
      <c r="B342" s="82" t="s">
        <v>1884</v>
      </c>
      <c r="C342" s="82" t="s">
        <v>8</v>
      </c>
      <c r="D342" s="86" t="s">
        <v>1361</v>
      </c>
      <c r="E342" s="89">
        <v>0</v>
      </c>
      <c r="F342" s="12" t="s">
        <v>1362</v>
      </c>
      <c r="G342" s="12" t="s">
        <v>1363</v>
      </c>
      <c r="H342" s="86" t="s">
        <v>1364</v>
      </c>
      <c r="J342" s="89">
        <v>0.5</v>
      </c>
      <c r="K342" s="86" t="s">
        <v>1913</v>
      </c>
      <c r="M342">
        <f t="shared" si="10"/>
        <v>0</v>
      </c>
      <c r="N342" s="12">
        <f t="shared" si="11"/>
        <v>338</v>
      </c>
    </row>
    <row r="343" spans="1:14" s="12" customFormat="1" hidden="1" x14ac:dyDescent="0.3">
      <c r="A343" s="82" t="s">
        <v>897</v>
      </c>
      <c r="B343" s="82" t="s">
        <v>1884</v>
      </c>
      <c r="C343" s="82" t="s">
        <v>8</v>
      </c>
      <c r="D343" s="86" t="s">
        <v>1759</v>
      </c>
      <c r="E343" s="89">
        <v>0</v>
      </c>
      <c r="F343" s="12" t="s">
        <v>1760</v>
      </c>
      <c r="G343" s="12" t="s">
        <v>1761</v>
      </c>
      <c r="H343" s="86" t="s">
        <v>1762</v>
      </c>
      <c r="I343" s="12">
        <v>1</v>
      </c>
      <c r="J343" s="89">
        <v>0.95</v>
      </c>
      <c r="K343" s="86" t="s">
        <v>1910</v>
      </c>
      <c r="M343">
        <f t="shared" si="10"/>
        <v>0</v>
      </c>
      <c r="N343" s="12">
        <f t="shared" si="11"/>
        <v>339</v>
      </c>
    </row>
    <row r="344" spans="1:14" s="12" customFormat="1" hidden="1" x14ac:dyDescent="0.3">
      <c r="A344" s="82" t="s">
        <v>897</v>
      </c>
      <c r="B344" s="82" t="s">
        <v>1884</v>
      </c>
      <c r="C344" s="82" t="s">
        <v>8</v>
      </c>
      <c r="D344" s="86" t="s">
        <v>1763</v>
      </c>
      <c r="E344" s="89">
        <v>0</v>
      </c>
      <c r="F344" s="12" t="s">
        <v>1764</v>
      </c>
      <c r="G344" s="12" t="s">
        <v>1765</v>
      </c>
      <c r="H344" s="86" t="s">
        <v>1766</v>
      </c>
      <c r="I344" s="12">
        <v>1</v>
      </c>
      <c r="J344" s="89">
        <v>0.95</v>
      </c>
      <c r="K344" s="86" t="s">
        <v>1910</v>
      </c>
      <c r="M344">
        <f t="shared" si="10"/>
        <v>0</v>
      </c>
      <c r="N344" s="12">
        <f t="shared" si="11"/>
        <v>340</v>
      </c>
    </row>
    <row r="345" spans="1:14" s="12" customFormat="1" hidden="1" x14ac:dyDescent="0.3">
      <c r="A345" s="86" t="s">
        <v>897</v>
      </c>
      <c r="B345" s="86" t="s">
        <v>1884</v>
      </c>
      <c r="C345" s="86" t="s">
        <v>1898</v>
      </c>
      <c r="D345" s="86" t="s">
        <v>2144</v>
      </c>
      <c r="E345" s="89">
        <v>0</v>
      </c>
      <c r="H345" s="82" t="s">
        <v>2145</v>
      </c>
      <c r="I345"/>
      <c r="J345" s="95">
        <v>1.5</v>
      </c>
      <c r="K345" s="82" t="s">
        <v>1910</v>
      </c>
      <c r="L345"/>
      <c r="M345">
        <f t="shared" si="10"/>
        <v>0</v>
      </c>
      <c r="N345" s="12">
        <f t="shared" si="11"/>
        <v>341</v>
      </c>
    </row>
    <row r="346" spans="1:14" s="12" customFormat="1" hidden="1" x14ac:dyDescent="0.3">
      <c r="A346" s="86" t="s">
        <v>897</v>
      </c>
      <c r="B346" s="86" t="s">
        <v>1884</v>
      </c>
      <c r="C346" s="86" t="s">
        <v>1898</v>
      </c>
      <c r="D346" s="86" t="s">
        <v>2146</v>
      </c>
      <c r="E346" s="89">
        <v>0</v>
      </c>
      <c r="H346" s="82" t="s">
        <v>2147</v>
      </c>
      <c r="I346"/>
      <c r="J346" s="95">
        <v>0.75</v>
      </c>
      <c r="K346" s="82" t="s">
        <v>1910</v>
      </c>
      <c r="L346"/>
      <c r="M346">
        <f t="shared" si="10"/>
        <v>0</v>
      </c>
      <c r="N346" s="12">
        <f t="shared" si="11"/>
        <v>342</v>
      </c>
    </row>
    <row r="347" spans="1:14" s="12" customFormat="1" hidden="1" x14ac:dyDescent="0.3">
      <c r="A347" s="86" t="s">
        <v>897</v>
      </c>
      <c r="B347" s="86" t="s">
        <v>1884</v>
      </c>
      <c r="C347" s="86" t="s">
        <v>1898</v>
      </c>
      <c r="D347" s="86" t="s">
        <v>2148</v>
      </c>
      <c r="E347" s="89">
        <v>0</v>
      </c>
      <c r="H347" s="82" t="s">
        <v>2149</v>
      </c>
      <c r="I347"/>
      <c r="J347" s="95">
        <v>2.5</v>
      </c>
      <c r="K347" s="82" t="s">
        <v>1910</v>
      </c>
      <c r="L347"/>
      <c r="M347">
        <f t="shared" si="10"/>
        <v>0</v>
      </c>
      <c r="N347" s="12">
        <f t="shared" si="11"/>
        <v>343</v>
      </c>
    </row>
    <row r="348" spans="1:14" s="12" customFormat="1" hidden="1" x14ac:dyDescent="0.3">
      <c r="A348" s="82" t="s">
        <v>897</v>
      </c>
      <c r="B348" s="82" t="s">
        <v>1886</v>
      </c>
      <c r="C348" s="82" t="s">
        <v>8</v>
      </c>
      <c r="D348" s="86" t="s">
        <v>1365</v>
      </c>
      <c r="E348" s="89">
        <v>0</v>
      </c>
      <c r="F348" s="12" t="s">
        <v>1366</v>
      </c>
      <c r="G348" s="12" t="s">
        <v>1367</v>
      </c>
      <c r="H348" s="86" t="s">
        <v>1368</v>
      </c>
      <c r="I348" s="12">
        <v>1</v>
      </c>
      <c r="J348" s="89">
        <v>0.45</v>
      </c>
      <c r="K348" s="86" t="s">
        <v>1910</v>
      </c>
      <c r="M348">
        <f t="shared" si="10"/>
        <v>0</v>
      </c>
      <c r="N348" s="12">
        <f t="shared" si="11"/>
        <v>344</v>
      </c>
    </row>
    <row r="349" spans="1:14" s="12" customFormat="1" hidden="1" x14ac:dyDescent="0.3">
      <c r="A349" s="82" t="s">
        <v>897</v>
      </c>
      <c r="B349" s="82" t="s">
        <v>1886</v>
      </c>
      <c r="C349" s="82" t="s">
        <v>8</v>
      </c>
      <c r="D349" s="86" t="s">
        <v>1373</v>
      </c>
      <c r="E349" s="89">
        <v>0</v>
      </c>
      <c r="F349" s="12" t="s">
        <v>1374</v>
      </c>
      <c r="G349" s="12" t="s">
        <v>1375</v>
      </c>
      <c r="H349" s="86" t="s">
        <v>1376</v>
      </c>
      <c r="I349" s="12">
        <v>1</v>
      </c>
      <c r="J349" s="89">
        <v>0.45</v>
      </c>
      <c r="K349" s="86" t="s">
        <v>1910</v>
      </c>
      <c r="M349">
        <f t="shared" si="10"/>
        <v>0</v>
      </c>
      <c r="N349" s="12">
        <f t="shared" si="11"/>
        <v>345</v>
      </c>
    </row>
    <row r="350" spans="1:14" s="12" customFormat="1" x14ac:dyDescent="0.3">
      <c r="A350" s="82" t="s">
        <v>897</v>
      </c>
      <c r="B350" s="82" t="s">
        <v>1886</v>
      </c>
      <c r="C350" s="82" t="s">
        <v>8</v>
      </c>
      <c r="D350" s="86" t="s">
        <v>1381</v>
      </c>
      <c r="E350" s="104">
        <f>FilterSpecs!$C$3+1</f>
        <v>6</v>
      </c>
      <c r="F350" s="12" t="s">
        <v>1382</v>
      </c>
      <c r="G350" s="12" t="s">
        <v>1383</v>
      </c>
      <c r="H350" s="86" t="s">
        <v>1384</v>
      </c>
      <c r="I350" s="12">
        <v>1</v>
      </c>
      <c r="J350" s="89">
        <v>0.45</v>
      </c>
      <c r="K350" s="86" t="s">
        <v>1910</v>
      </c>
      <c r="M350">
        <f t="shared" si="10"/>
        <v>2.7</v>
      </c>
      <c r="N350" s="12">
        <f t="shared" si="11"/>
        <v>346</v>
      </c>
    </row>
    <row r="351" spans="1:14" s="12" customFormat="1" x14ac:dyDescent="0.3">
      <c r="A351" s="82" t="s">
        <v>897</v>
      </c>
      <c r="B351" s="82" t="s">
        <v>1886</v>
      </c>
      <c r="C351" s="82" t="s">
        <v>8</v>
      </c>
      <c r="D351" s="86" t="s">
        <v>1385</v>
      </c>
      <c r="E351" s="104">
        <f>FilterSpecs!$C$3+1</f>
        <v>6</v>
      </c>
      <c r="F351" s="12" t="s">
        <v>1386</v>
      </c>
      <c r="G351" s="12" t="s">
        <v>1387</v>
      </c>
      <c r="H351" s="86" t="s">
        <v>1388</v>
      </c>
      <c r="I351" s="12">
        <v>1</v>
      </c>
      <c r="J351" s="89">
        <v>0.45</v>
      </c>
      <c r="K351" s="86" t="s">
        <v>1910</v>
      </c>
      <c r="M351">
        <f t="shared" si="10"/>
        <v>2.7</v>
      </c>
      <c r="N351" s="12">
        <f t="shared" si="11"/>
        <v>347</v>
      </c>
    </row>
    <row r="352" spans="1:14" s="12" customFormat="1" x14ac:dyDescent="0.3">
      <c r="A352" s="82" t="s">
        <v>897</v>
      </c>
      <c r="B352" s="82" t="s">
        <v>1886</v>
      </c>
      <c r="C352" s="82" t="s">
        <v>8</v>
      </c>
      <c r="D352" s="86" t="s">
        <v>1369</v>
      </c>
      <c r="E352" s="104">
        <f>FilterSpecs!$C$3+1</f>
        <v>6</v>
      </c>
      <c r="F352" s="12" t="s">
        <v>1370</v>
      </c>
      <c r="G352" s="12" t="s">
        <v>1371</v>
      </c>
      <c r="H352" s="86" t="s">
        <v>1372</v>
      </c>
      <c r="I352" s="12">
        <v>1</v>
      </c>
      <c r="J352" s="89">
        <v>0.45</v>
      </c>
      <c r="K352" s="86" t="s">
        <v>1910</v>
      </c>
      <c r="M352">
        <f t="shared" si="10"/>
        <v>2.7</v>
      </c>
      <c r="N352" s="12">
        <f t="shared" si="11"/>
        <v>348</v>
      </c>
    </row>
    <row r="353" spans="1:14" s="12" customFormat="1" x14ac:dyDescent="0.3">
      <c r="A353" s="82" t="s">
        <v>897</v>
      </c>
      <c r="B353" s="82" t="s">
        <v>1886</v>
      </c>
      <c r="C353" s="82" t="s">
        <v>8</v>
      </c>
      <c r="D353" s="86" t="s">
        <v>1357</v>
      </c>
      <c r="E353" s="104">
        <f>FilterSpecs!$C$3+1</f>
        <v>6</v>
      </c>
      <c r="F353" s="12" t="s">
        <v>1358</v>
      </c>
      <c r="G353" s="12" t="s">
        <v>1359</v>
      </c>
      <c r="H353" s="86" t="s">
        <v>1360</v>
      </c>
      <c r="I353" s="12">
        <v>1</v>
      </c>
      <c r="J353" s="89">
        <v>0.45</v>
      </c>
      <c r="K353" s="86" t="s">
        <v>1910</v>
      </c>
      <c r="M353">
        <f t="shared" si="10"/>
        <v>2.7</v>
      </c>
      <c r="N353" s="12">
        <f t="shared" si="11"/>
        <v>349</v>
      </c>
    </row>
    <row r="354" spans="1:14" s="12" customFormat="1" x14ac:dyDescent="0.3">
      <c r="A354" s="82" t="s">
        <v>897</v>
      </c>
      <c r="B354" s="82" t="s">
        <v>1886</v>
      </c>
      <c r="C354" s="82" t="s">
        <v>8</v>
      </c>
      <c r="D354" s="86" t="s">
        <v>2426</v>
      </c>
      <c r="E354" s="104">
        <f>FilterSpecs!$C$3+1</f>
        <v>6</v>
      </c>
      <c r="F354" s="12" t="s">
        <v>2427</v>
      </c>
      <c r="G354" s="12" t="s">
        <v>2428</v>
      </c>
      <c r="H354" s="86" t="s">
        <v>2429</v>
      </c>
      <c r="I354" s="12">
        <v>1</v>
      </c>
      <c r="J354" s="89">
        <v>1.95</v>
      </c>
      <c r="K354" s="82" t="s">
        <v>1910</v>
      </c>
      <c r="L354"/>
      <c r="M354">
        <f t="shared" si="10"/>
        <v>11.7</v>
      </c>
      <c r="N354" s="12">
        <f t="shared" si="11"/>
        <v>350</v>
      </c>
    </row>
    <row r="355" spans="1:14" s="103" customFormat="1" x14ac:dyDescent="0.3">
      <c r="A355" s="82" t="s">
        <v>897</v>
      </c>
      <c r="B355" s="82" t="s">
        <v>1885</v>
      </c>
      <c r="C355" s="82" t="s">
        <v>8</v>
      </c>
      <c r="D355" s="86" t="s">
        <v>1587</v>
      </c>
      <c r="E355" s="89">
        <f>2*FilterSpecs!$C$3</f>
        <v>10</v>
      </c>
      <c r="F355" s="12" t="s">
        <v>1588</v>
      </c>
      <c r="G355" s="12" t="s">
        <v>1589</v>
      </c>
      <c r="H355" s="86" t="s">
        <v>1590</v>
      </c>
      <c r="I355" s="12">
        <v>1</v>
      </c>
      <c r="J355" s="89">
        <v>0.35</v>
      </c>
      <c r="K355" s="86" t="s">
        <v>1910</v>
      </c>
      <c r="L355" s="12"/>
      <c r="M355">
        <f t="shared" si="10"/>
        <v>3.5</v>
      </c>
      <c r="N355" s="103">
        <f t="shared" si="11"/>
        <v>351</v>
      </c>
    </row>
    <row r="356" spans="1:14" s="103" customFormat="1" x14ac:dyDescent="0.3">
      <c r="A356" s="82" t="s">
        <v>897</v>
      </c>
      <c r="B356" s="82" t="s">
        <v>1885</v>
      </c>
      <c r="C356" s="82" t="s">
        <v>8</v>
      </c>
      <c r="D356" s="86" t="s">
        <v>1583</v>
      </c>
      <c r="E356" s="89">
        <v>10</v>
      </c>
      <c r="F356" s="12" t="s">
        <v>1584</v>
      </c>
      <c r="G356" s="12" t="s">
        <v>1585</v>
      </c>
      <c r="H356" s="86" t="s">
        <v>1586</v>
      </c>
      <c r="I356" s="12">
        <v>1</v>
      </c>
      <c r="J356" s="89">
        <v>0.5</v>
      </c>
      <c r="K356" s="86" t="s">
        <v>1910</v>
      </c>
      <c r="L356" s="12"/>
      <c r="M356">
        <f t="shared" si="10"/>
        <v>5</v>
      </c>
      <c r="N356" s="103">
        <f t="shared" si="11"/>
        <v>352</v>
      </c>
    </row>
    <row r="357" spans="1:14" s="103" customFormat="1" hidden="1" x14ac:dyDescent="0.3">
      <c r="A357" s="82" t="s">
        <v>897</v>
      </c>
      <c r="B357" s="82" t="s">
        <v>1888</v>
      </c>
      <c r="C357" s="82" t="s">
        <v>8</v>
      </c>
      <c r="D357" s="86" t="s">
        <v>457</v>
      </c>
      <c r="E357" s="89">
        <v>0</v>
      </c>
      <c r="F357" s="12" t="s">
        <v>458</v>
      </c>
      <c r="G357" s="12" t="s">
        <v>459</v>
      </c>
      <c r="H357" s="86" t="s">
        <v>460</v>
      </c>
      <c r="I357" s="12">
        <v>1</v>
      </c>
      <c r="J357" s="89">
        <v>0.75</v>
      </c>
      <c r="K357" s="86" t="s">
        <v>1910</v>
      </c>
      <c r="L357" s="12"/>
      <c r="M357">
        <f t="shared" si="10"/>
        <v>0</v>
      </c>
      <c r="N357" s="103">
        <f t="shared" si="11"/>
        <v>353</v>
      </c>
    </row>
    <row r="358" spans="1:14" s="103" customFormat="1" x14ac:dyDescent="0.3">
      <c r="A358" s="94" t="s">
        <v>897</v>
      </c>
      <c r="B358" s="94" t="s">
        <v>1888</v>
      </c>
      <c r="C358" s="94" t="s">
        <v>8</v>
      </c>
      <c r="D358" s="91" t="s">
        <v>901</v>
      </c>
      <c r="E358" s="93">
        <f>2*FilterSpecs!$C$3</f>
        <v>10</v>
      </c>
      <c r="F358" s="67" t="s">
        <v>902</v>
      </c>
      <c r="G358" s="67" t="s">
        <v>903</v>
      </c>
      <c r="H358" s="91" t="s">
        <v>904</v>
      </c>
      <c r="I358" s="67">
        <v>1</v>
      </c>
      <c r="J358" s="93">
        <v>0.95</v>
      </c>
      <c r="K358" s="91" t="s">
        <v>1911</v>
      </c>
      <c r="L358" s="67"/>
      <c r="M358">
        <f t="shared" si="10"/>
        <v>9.5</v>
      </c>
      <c r="N358" s="103">
        <f t="shared" si="11"/>
        <v>354</v>
      </c>
    </row>
    <row r="359" spans="1:14" s="103" customFormat="1" x14ac:dyDescent="0.3">
      <c r="A359" s="94" t="s">
        <v>897</v>
      </c>
      <c r="B359" s="94" t="s">
        <v>1888</v>
      </c>
      <c r="C359" s="94" t="s">
        <v>8</v>
      </c>
      <c r="D359" s="91" t="s">
        <v>1413</v>
      </c>
      <c r="E359" s="93">
        <f>2*FilterSpecs!$C$3</f>
        <v>10</v>
      </c>
      <c r="F359" s="67" t="s">
        <v>1414</v>
      </c>
      <c r="G359" s="67" t="s">
        <v>1415</v>
      </c>
      <c r="H359" s="91" t="s">
        <v>1416</v>
      </c>
      <c r="I359" s="67">
        <v>1</v>
      </c>
      <c r="J359" s="93">
        <v>0.95</v>
      </c>
      <c r="K359" s="91" t="s">
        <v>1911</v>
      </c>
      <c r="L359" s="67"/>
      <c r="M359">
        <f t="shared" si="10"/>
        <v>9.5</v>
      </c>
      <c r="N359" s="103">
        <f t="shared" si="11"/>
        <v>355</v>
      </c>
    </row>
    <row r="360" spans="1:14" s="103" customFormat="1" hidden="1" x14ac:dyDescent="0.3">
      <c r="A360" s="82" t="s">
        <v>897</v>
      </c>
      <c r="B360" s="82" t="s">
        <v>1888</v>
      </c>
      <c r="C360" s="82" t="s">
        <v>8</v>
      </c>
      <c r="D360" s="86" t="s">
        <v>1377</v>
      </c>
      <c r="E360" s="89">
        <v>0</v>
      </c>
      <c r="F360" s="12" t="s">
        <v>1378</v>
      </c>
      <c r="G360" s="12" t="s">
        <v>1379</v>
      </c>
      <c r="H360" s="86" t="s">
        <v>1380</v>
      </c>
      <c r="I360" s="12">
        <v>1</v>
      </c>
      <c r="J360" s="89">
        <v>1.5</v>
      </c>
      <c r="K360" s="86" t="s">
        <v>1910</v>
      </c>
      <c r="L360" s="12"/>
      <c r="M360">
        <f t="shared" si="10"/>
        <v>0</v>
      </c>
      <c r="N360" s="103">
        <f t="shared" si="11"/>
        <v>356</v>
      </c>
    </row>
    <row r="361" spans="1:14" s="12" customFormat="1" hidden="1" x14ac:dyDescent="0.3">
      <c r="A361" s="82" t="s">
        <v>897</v>
      </c>
      <c r="B361" s="82" t="s">
        <v>1888</v>
      </c>
      <c r="C361" s="82" t="s">
        <v>8</v>
      </c>
      <c r="D361" s="86" t="s">
        <v>1417</v>
      </c>
      <c r="E361" s="89">
        <v>0</v>
      </c>
      <c r="F361" s="12" t="s">
        <v>1418</v>
      </c>
      <c r="G361" s="12" t="s">
        <v>1419</v>
      </c>
      <c r="H361" s="86" t="s">
        <v>1420</v>
      </c>
      <c r="I361" s="12">
        <v>1</v>
      </c>
      <c r="J361" s="89">
        <v>1.5</v>
      </c>
      <c r="K361" s="86" t="s">
        <v>1910</v>
      </c>
      <c r="M361">
        <f t="shared" si="10"/>
        <v>0</v>
      </c>
      <c r="N361" s="12">
        <f t="shared" si="11"/>
        <v>357</v>
      </c>
    </row>
    <row r="362" spans="1:14" s="12" customFormat="1" hidden="1" x14ac:dyDescent="0.3">
      <c r="A362" s="82" t="s">
        <v>897</v>
      </c>
      <c r="B362" s="82" t="s">
        <v>1888</v>
      </c>
      <c r="C362" s="82" t="s">
        <v>8</v>
      </c>
      <c r="D362" s="86" t="s">
        <v>453</v>
      </c>
      <c r="E362" s="89">
        <v>0</v>
      </c>
      <c r="F362" s="12" t="s">
        <v>454</v>
      </c>
      <c r="G362" s="12" t="s">
        <v>455</v>
      </c>
      <c r="H362" s="86" t="s">
        <v>456</v>
      </c>
      <c r="I362" s="12">
        <v>1</v>
      </c>
      <c r="J362" s="89">
        <v>1.5</v>
      </c>
      <c r="K362" s="86" t="s">
        <v>1910</v>
      </c>
      <c r="M362">
        <f t="shared" si="10"/>
        <v>0</v>
      </c>
      <c r="N362" s="12">
        <f t="shared" si="11"/>
        <v>358</v>
      </c>
    </row>
    <row r="363" spans="1:14" s="12" customFormat="1" x14ac:dyDescent="0.3">
      <c r="A363" s="82" t="s">
        <v>897</v>
      </c>
      <c r="B363" s="82" t="s">
        <v>1888</v>
      </c>
      <c r="C363" s="82" t="s">
        <v>8</v>
      </c>
      <c r="D363" s="86" t="s">
        <v>449</v>
      </c>
      <c r="E363" s="89">
        <v>2</v>
      </c>
      <c r="F363" s="12" t="s">
        <v>450</v>
      </c>
      <c r="G363" s="12" t="s">
        <v>451</v>
      </c>
      <c r="H363" s="86" t="s">
        <v>452</v>
      </c>
      <c r="I363" s="12">
        <v>1</v>
      </c>
      <c r="J363" s="89">
        <v>1.5</v>
      </c>
      <c r="K363" s="86" t="s">
        <v>1910</v>
      </c>
      <c r="M363">
        <f t="shared" si="10"/>
        <v>3</v>
      </c>
      <c r="N363" s="12">
        <f t="shared" si="11"/>
        <v>359</v>
      </c>
    </row>
    <row r="364" spans="1:14" s="12" customFormat="1" hidden="1" x14ac:dyDescent="0.3">
      <c r="A364" s="82" t="s">
        <v>897</v>
      </c>
      <c r="B364" s="82" t="s">
        <v>1887</v>
      </c>
      <c r="C364" s="82" t="s">
        <v>8</v>
      </c>
      <c r="D364" s="86" t="s">
        <v>1669</v>
      </c>
      <c r="E364" s="89">
        <v>0</v>
      </c>
      <c r="F364" s="12" t="s">
        <v>1670</v>
      </c>
      <c r="G364" s="12" t="s">
        <v>1671</v>
      </c>
      <c r="H364" s="86" t="s">
        <v>1672</v>
      </c>
      <c r="I364" s="12">
        <v>1</v>
      </c>
      <c r="J364" s="89">
        <v>1.25</v>
      </c>
      <c r="K364" s="86" t="s">
        <v>1910</v>
      </c>
      <c r="M364">
        <f t="shared" si="10"/>
        <v>0</v>
      </c>
      <c r="N364" s="12">
        <f t="shared" si="11"/>
        <v>360</v>
      </c>
    </row>
    <row r="365" spans="1:14" s="12" customFormat="1" hidden="1" x14ac:dyDescent="0.3">
      <c r="A365" s="82" t="s">
        <v>897</v>
      </c>
      <c r="B365" s="82" t="s">
        <v>1887</v>
      </c>
      <c r="C365" s="82" t="s">
        <v>8</v>
      </c>
      <c r="D365" s="86" t="s">
        <v>1721</v>
      </c>
      <c r="E365" s="89">
        <v>0</v>
      </c>
      <c r="F365" s="12" t="s">
        <v>1722</v>
      </c>
      <c r="G365" s="12" t="s">
        <v>1723</v>
      </c>
      <c r="H365" s="86" t="s">
        <v>1724</v>
      </c>
      <c r="I365" s="12">
        <v>1</v>
      </c>
      <c r="J365" s="89">
        <v>1.95</v>
      </c>
      <c r="K365" s="86" t="s">
        <v>1910</v>
      </c>
      <c r="M365">
        <f t="shared" si="10"/>
        <v>0</v>
      </c>
      <c r="N365" s="12">
        <f t="shared" si="11"/>
        <v>361</v>
      </c>
    </row>
    <row r="366" spans="1:14" s="12" customFormat="1" hidden="1" x14ac:dyDescent="0.3">
      <c r="A366" s="82" t="s">
        <v>897</v>
      </c>
      <c r="B366" s="82" t="s">
        <v>1887</v>
      </c>
      <c r="C366" s="82" t="s">
        <v>8</v>
      </c>
      <c r="D366" s="86" t="s">
        <v>1725</v>
      </c>
      <c r="E366" s="89">
        <v>0</v>
      </c>
      <c r="F366" s="12" t="s">
        <v>1726</v>
      </c>
      <c r="G366" s="12" t="s">
        <v>1727</v>
      </c>
      <c r="H366" s="86" t="s">
        <v>1728</v>
      </c>
      <c r="I366" s="12">
        <v>1</v>
      </c>
      <c r="J366" s="89">
        <v>3.95</v>
      </c>
      <c r="K366" s="86" t="s">
        <v>1910</v>
      </c>
      <c r="M366">
        <f t="shared" si="10"/>
        <v>0</v>
      </c>
      <c r="N366" s="12">
        <f t="shared" si="11"/>
        <v>362</v>
      </c>
    </row>
    <row r="367" spans="1:14" s="12" customFormat="1" hidden="1" x14ac:dyDescent="0.3">
      <c r="A367" s="82" t="s">
        <v>897</v>
      </c>
      <c r="B367" s="82" t="s">
        <v>1887</v>
      </c>
      <c r="C367" s="82" t="s">
        <v>8</v>
      </c>
      <c r="D367" s="86" t="s">
        <v>1717</v>
      </c>
      <c r="E367" s="89">
        <v>0</v>
      </c>
      <c r="F367" s="12" t="s">
        <v>1718</v>
      </c>
      <c r="G367" s="12" t="s">
        <v>1719</v>
      </c>
      <c r="H367" s="86" t="s">
        <v>1720</v>
      </c>
      <c r="I367" s="12">
        <v>1</v>
      </c>
      <c r="J367" s="89">
        <v>1.95</v>
      </c>
      <c r="K367" s="86" t="s">
        <v>1910</v>
      </c>
      <c r="M367">
        <f t="shared" si="10"/>
        <v>0</v>
      </c>
      <c r="N367" s="12">
        <f t="shared" si="11"/>
        <v>363</v>
      </c>
    </row>
    <row r="368" spans="1:14" s="12" customFormat="1" hidden="1" x14ac:dyDescent="0.3">
      <c r="A368" s="82" t="s">
        <v>897</v>
      </c>
      <c r="B368" s="82" t="s">
        <v>1889</v>
      </c>
      <c r="C368" s="82" t="s">
        <v>8</v>
      </c>
      <c r="D368" s="86" t="s">
        <v>703</v>
      </c>
      <c r="E368" s="89">
        <v>0</v>
      </c>
      <c r="F368" s="12" t="s">
        <v>704</v>
      </c>
      <c r="G368" s="12" t="s">
        <v>705</v>
      </c>
      <c r="H368" s="86" t="s">
        <v>706</v>
      </c>
      <c r="I368" s="12">
        <v>1</v>
      </c>
      <c r="J368" s="89">
        <v>1.95</v>
      </c>
      <c r="K368" s="86" t="s">
        <v>1910</v>
      </c>
      <c r="M368">
        <f t="shared" si="10"/>
        <v>0</v>
      </c>
      <c r="N368" s="12">
        <f t="shared" si="11"/>
        <v>364</v>
      </c>
    </row>
    <row r="369" spans="1:14" s="12" customFormat="1" x14ac:dyDescent="0.3">
      <c r="A369" s="82" t="s">
        <v>897</v>
      </c>
      <c r="B369" s="82" t="s">
        <v>1889</v>
      </c>
      <c r="C369" s="82" t="s">
        <v>8</v>
      </c>
      <c r="D369" s="86" t="s">
        <v>699</v>
      </c>
      <c r="E369" s="89">
        <f>E122+E123+E124+E125+E126+E127+E128+E129+E130+E131+E132+E133</f>
        <v>9</v>
      </c>
      <c r="F369" s="12" t="s">
        <v>700</v>
      </c>
      <c r="G369" s="12" t="s">
        <v>701</v>
      </c>
      <c r="H369" s="86" t="s">
        <v>702</v>
      </c>
      <c r="I369" s="12">
        <v>1</v>
      </c>
      <c r="J369" s="89">
        <v>1.95</v>
      </c>
      <c r="K369" s="86" t="s">
        <v>1911</v>
      </c>
      <c r="M369">
        <f t="shared" si="10"/>
        <v>17.55</v>
      </c>
      <c r="N369" s="12">
        <f t="shared" si="11"/>
        <v>365</v>
      </c>
    </row>
    <row r="370" spans="1:14" s="103" customFormat="1" hidden="1" x14ac:dyDescent="0.3">
      <c r="A370" s="82" t="s">
        <v>897</v>
      </c>
      <c r="B370" s="82" t="s">
        <v>1889</v>
      </c>
      <c r="C370" s="82" t="s">
        <v>8</v>
      </c>
      <c r="D370" s="86" t="s">
        <v>751</v>
      </c>
      <c r="E370" s="89">
        <v>0</v>
      </c>
      <c r="F370" s="12" t="s">
        <v>752</v>
      </c>
      <c r="G370" s="12" t="s">
        <v>753</v>
      </c>
      <c r="H370" s="86" t="s">
        <v>754</v>
      </c>
      <c r="I370" s="12">
        <v>1</v>
      </c>
      <c r="J370" s="89">
        <v>0.35</v>
      </c>
      <c r="K370" s="86" t="s">
        <v>1910</v>
      </c>
      <c r="L370" s="12"/>
      <c r="M370">
        <f t="shared" si="10"/>
        <v>0</v>
      </c>
      <c r="N370" s="103">
        <f t="shared" si="11"/>
        <v>366</v>
      </c>
    </row>
    <row r="371" spans="1:14" s="103" customFormat="1" x14ac:dyDescent="0.3">
      <c r="A371" s="86" t="s">
        <v>897</v>
      </c>
      <c r="B371" s="86" t="s">
        <v>1889</v>
      </c>
      <c r="C371" s="86" t="s">
        <v>1898</v>
      </c>
      <c r="D371" s="86">
        <v>3525</v>
      </c>
      <c r="E371" s="89">
        <v>1</v>
      </c>
      <c r="F371" s="12"/>
      <c r="G371" s="12"/>
      <c r="H371" s="82" t="s">
        <v>2150</v>
      </c>
      <c r="I371"/>
      <c r="J371" s="95">
        <v>0.95</v>
      </c>
      <c r="K371" s="82" t="s">
        <v>1910</v>
      </c>
      <c r="L371"/>
      <c r="M371">
        <f t="shared" si="10"/>
        <v>0.95</v>
      </c>
      <c r="N371" s="103">
        <f t="shared" si="11"/>
        <v>367</v>
      </c>
    </row>
    <row r="372" spans="1:14" s="103" customFormat="1" hidden="1" x14ac:dyDescent="0.3">
      <c r="A372" s="102" t="s">
        <v>897</v>
      </c>
      <c r="B372" s="107" t="s">
        <v>1617</v>
      </c>
      <c r="C372" s="107" t="s">
        <v>8</v>
      </c>
      <c r="D372" s="106" t="s">
        <v>367</v>
      </c>
      <c r="E372" s="104">
        <v>0</v>
      </c>
      <c r="F372" s="103" t="s">
        <v>368</v>
      </c>
      <c r="G372" s="103" t="s">
        <v>369</v>
      </c>
      <c r="H372" s="106" t="s">
        <v>370</v>
      </c>
      <c r="I372" s="103">
        <v>1</v>
      </c>
      <c r="J372" s="104">
        <v>14.95</v>
      </c>
      <c r="K372" s="106" t="s">
        <v>1913</v>
      </c>
      <c r="M372">
        <f t="shared" si="10"/>
        <v>0</v>
      </c>
      <c r="N372" s="103">
        <f t="shared" si="11"/>
        <v>368</v>
      </c>
    </row>
    <row r="373" spans="1:14" s="103" customFormat="1" x14ac:dyDescent="0.3">
      <c r="A373" s="103" t="s">
        <v>897</v>
      </c>
      <c r="B373" s="86" t="s">
        <v>1617</v>
      </c>
      <c r="C373" s="86" t="s">
        <v>1898</v>
      </c>
      <c r="D373" s="86" t="s">
        <v>2153</v>
      </c>
      <c r="E373" s="89">
        <v>1</v>
      </c>
      <c r="F373" s="12"/>
      <c r="G373" s="12"/>
      <c r="H373" s="82" t="s">
        <v>2154</v>
      </c>
      <c r="I373"/>
      <c r="J373" s="95">
        <v>19.95</v>
      </c>
      <c r="K373" s="82" t="s">
        <v>1910</v>
      </c>
      <c r="L373"/>
      <c r="M373">
        <f t="shared" si="10"/>
        <v>19.95</v>
      </c>
      <c r="N373" s="103">
        <f t="shared" si="11"/>
        <v>369</v>
      </c>
    </row>
    <row r="374" spans="1:14" s="103" customFormat="1" hidden="1" x14ac:dyDescent="0.3">
      <c r="A374" s="102" t="s">
        <v>897</v>
      </c>
      <c r="B374" s="82" t="s">
        <v>1617</v>
      </c>
      <c r="C374" s="82" t="s">
        <v>8</v>
      </c>
      <c r="D374" s="86" t="s">
        <v>1567</v>
      </c>
      <c r="E374" s="89">
        <v>0</v>
      </c>
      <c r="F374" s="12" t="s">
        <v>1568</v>
      </c>
      <c r="G374" s="12" t="s">
        <v>1569</v>
      </c>
      <c r="H374" s="86" t="s">
        <v>1570</v>
      </c>
      <c r="I374" s="12">
        <v>1</v>
      </c>
      <c r="J374" s="89">
        <v>0.5</v>
      </c>
      <c r="K374" s="86" t="s">
        <v>1910</v>
      </c>
      <c r="L374" s="12"/>
      <c r="M374">
        <f t="shared" si="10"/>
        <v>0</v>
      </c>
      <c r="N374" s="103">
        <f t="shared" si="11"/>
        <v>370</v>
      </c>
    </row>
    <row r="375" spans="1:14" s="103" customFormat="1" hidden="1" x14ac:dyDescent="0.3">
      <c r="A375" s="102" t="s">
        <v>897</v>
      </c>
      <c r="B375" s="82" t="s">
        <v>1617</v>
      </c>
      <c r="C375" s="82" t="s">
        <v>8</v>
      </c>
      <c r="D375" s="86" t="s">
        <v>1571</v>
      </c>
      <c r="E375" s="89">
        <v>0</v>
      </c>
      <c r="F375" s="12" t="s">
        <v>1572</v>
      </c>
      <c r="G375" s="12" t="s">
        <v>1573</v>
      </c>
      <c r="H375" s="86" t="s">
        <v>1574</v>
      </c>
      <c r="I375" s="12">
        <v>1</v>
      </c>
      <c r="J375" s="89">
        <v>0.5</v>
      </c>
      <c r="K375" s="86" t="s">
        <v>1910</v>
      </c>
      <c r="L375" s="12"/>
      <c r="M375">
        <f t="shared" si="10"/>
        <v>0</v>
      </c>
      <c r="N375" s="103">
        <f t="shared" si="11"/>
        <v>371</v>
      </c>
    </row>
    <row r="376" spans="1:14" s="103" customFormat="1" hidden="1" x14ac:dyDescent="0.3">
      <c r="A376" s="102" t="s">
        <v>897</v>
      </c>
      <c r="B376" s="82" t="s">
        <v>1617</v>
      </c>
      <c r="C376" s="82" t="s">
        <v>8</v>
      </c>
      <c r="D376" s="86" t="s">
        <v>1555</v>
      </c>
      <c r="E376" s="89">
        <v>0</v>
      </c>
      <c r="F376" s="12" t="s">
        <v>1556</v>
      </c>
      <c r="G376" s="12" t="s">
        <v>1557</v>
      </c>
      <c r="H376" s="86" t="s">
        <v>1558</v>
      </c>
      <c r="I376" s="12">
        <v>1</v>
      </c>
      <c r="J376" s="89">
        <v>0.5</v>
      </c>
      <c r="K376" s="86" t="s">
        <v>1910</v>
      </c>
      <c r="L376" s="12"/>
      <c r="M376">
        <f t="shared" si="10"/>
        <v>0</v>
      </c>
      <c r="N376" s="103">
        <f t="shared" si="11"/>
        <v>372</v>
      </c>
    </row>
    <row r="377" spans="1:14" s="103" customFormat="1" hidden="1" x14ac:dyDescent="0.3">
      <c r="A377" s="102" t="s">
        <v>897</v>
      </c>
      <c r="B377" s="82" t="s">
        <v>1617</v>
      </c>
      <c r="C377" s="82" t="s">
        <v>8</v>
      </c>
      <c r="D377" s="86" t="s">
        <v>1559</v>
      </c>
      <c r="E377" s="89">
        <v>0</v>
      </c>
      <c r="F377" s="12" t="s">
        <v>1560</v>
      </c>
      <c r="G377" s="12" t="s">
        <v>1561</v>
      </c>
      <c r="H377" s="86" t="s">
        <v>1562</v>
      </c>
      <c r="I377" s="12">
        <v>1</v>
      </c>
      <c r="J377" s="89">
        <v>0.95</v>
      </c>
      <c r="K377" s="86" t="s">
        <v>1910</v>
      </c>
      <c r="L377" s="12"/>
      <c r="M377">
        <f t="shared" si="10"/>
        <v>0</v>
      </c>
      <c r="N377" s="103">
        <f t="shared" si="11"/>
        <v>373</v>
      </c>
    </row>
    <row r="378" spans="1:14" s="103" customFormat="1" hidden="1" x14ac:dyDescent="0.3">
      <c r="A378" s="102" t="s">
        <v>897</v>
      </c>
      <c r="B378" s="107" t="s">
        <v>1617</v>
      </c>
      <c r="C378" s="107" t="s">
        <v>8</v>
      </c>
      <c r="D378" s="106" t="s">
        <v>1563</v>
      </c>
      <c r="E378" s="104">
        <v>0</v>
      </c>
      <c r="F378" s="103" t="s">
        <v>1564</v>
      </c>
      <c r="G378" s="103" t="s">
        <v>1565</v>
      </c>
      <c r="H378" s="106" t="s">
        <v>1566</v>
      </c>
      <c r="I378" s="103">
        <v>1</v>
      </c>
      <c r="J378" s="104">
        <v>0.95</v>
      </c>
      <c r="K378" s="106" t="s">
        <v>1913</v>
      </c>
      <c r="M378">
        <f t="shared" si="10"/>
        <v>0</v>
      </c>
      <c r="N378" s="103">
        <f t="shared" si="11"/>
        <v>374</v>
      </c>
    </row>
    <row r="379" spans="1:14" s="103" customFormat="1" hidden="1" x14ac:dyDescent="0.3">
      <c r="A379" s="102" t="s">
        <v>897</v>
      </c>
      <c r="B379" s="82" t="s">
        <v>1617</v>
      </c>
      <c r="C379" s="82" t="s">
        <v>8</v>
      </c>
      <c r="D379" s="86" t="s">
        <v>1575</v>
      </c>
      <c r="E379" s="89">
        <v>0</v>
      </c>
      <c r="F379" s="12" t="s">
        <v>1576</v>
      </c>
      <c r="G379" s="12" t="s">
        <v>1577</v>
      </c>
      <c r="H379" s="86" t="s">
        <v>1578</v>
      </c>
      <c r="I379" s="12"/>
      <c r="J379" s="89">
        <v>1.95</v>
      </c>
      <c r="K379" s="86" t="s">
        <v>1913</v>
      </c>
      <c r="L379" s="12"/>
      <c r="M379">
        <f t="shared" si="10"/>
        <v>0</v>
      </c>
      <c r="N379" s="103">
        <f t="shared" si="11"/>
        <v>375</v>
      </c>
    </row>
    <row r="380" spans="1:14" s="103" customFormat="1" x14ac:dyDescent="0.3">
      <c r="A380" s="102" t="s">
        <v>897</v>
      </c>
      <c r="B380" s="82" t="s">
        <v>1617</v>
      </c>
      <c r="C380" s="82" t="s">
        <v>8</v>
      </c>
      <c r="D380" s="86" t="s">
        <v>391</v>
      </c>
      <c r="E380" s="89">
        <v>6</v>
      </c>
      <c r="F380" s="12" t="s">
        <v>392</v>
      </c>
      <c r="G380" s="12" t="s">
        <v>393</v>
      </c>
      <c r="H380" s="86" t="s">
        <v>394</v>
      </c>
      <c r="I380" s="12">
        <v>1</v>
      </c>
      <c r="J380" s="89">
        <v>0.5</v>
      </c>
      <c r="K380" s="86" t="s">
        <v>1910</v>
      </c>
      <c r="L380" s="12"/>
      <c r="M380">
        <f t="shared" si="10"/>
        <v>3</v>
      </c>
      <c r="N380" s="103">
        <f t="shared" si="11"/>
        <v>376</v>
      </c>
    </row>
    <row r="381" spans="1:14" s="103" customFormat="1" x14ac:dyDescent="0.3">
      <c r="A381" s="102" t="s">
        <v>897</v>
      </c>
      <c r="B381" s="82" t="s">
        <v>1617</v>
      </c>
      <c r="C381" s="82" t="s">
        <v>8</v>
      </c>
      <c r="D381" s="86" t="s">
        <v>379</v>
      </c>
      <c r="E381" s="89">
        <v>2</v>
      </c>
      <c r="F381" s="12" t="s">
        <v>380</v>
      </c>
      <c r="G381" s="12" t="s">
        <v>381</v>
      </c>
      <c r="H381" s="86" t="s">
        <v>382</v>
      </c>
      <c r="I381" s="12">
        <v>1</v>
      </c>
      <c r="J381" s="89">
        <v>1.95</v>
      </c>
      <c r="K381" s="86" t="s">
        <v>1910</v>
      </c>
      <c r="L381" s="12"/>
      <c r="M381">
        <f t="shared" si="10"/>
        <v>3.9</v>
      </c>
      <c r="N381" s="103">
        <f t="shared" si="11"/>
        <v>377</v>
      </c>
    </row>
    <row r="382" spans="1:14" s="103" customFormat="1" x14ac:dyDescent="0.3">
      <c r="A382" s="102" t="s">
        <v>897</v>
      </c>
      <c r="B382" s="82" t="s">
        <v>1617</v>
      </c>
      <c r="C382" s="82" t="s">
        <v>8</v>
      </c>
      <c r="D382" s="86" t="s">
        <v>395</v>
      </c>
      <c r="E382" s="89">
        <v>3</v>
      </c>
      <c r="F382" s="12" t="s">
        <v>396</v>
      </c>
      <c r="G382" s="12" t="s">
        <v>397</v>
      </c>
      <c r="H382" s="86" t="s">
        <v>398</v>
      </c>
      <c r="I382" s="12">
        <v>1</v>
      </c>
      <c r="J382" s="89">
        <v>0.95</v>
      </c>
      <c r="K382" s="86" t="s">
        <v>1910</v>
      </c>
      <c r="L382" s="12"/>
      <c r="M382">
        <f t="shared" si="10"/>
        <v>2.8499999999999996</v>
      </c>
      <c r="N382" s="103">
        <f t="shared" si="11"/>
        <v>378</v>
      </c>
    </row>
    <row r="383" spans="1:14" s="103" customFormat="1" x14ac:dyDescent="0.3">
      <c r="A383" s="102" t="s">
        <v>897</v>
      </c>
      <c r="B383" s="82" t="s">
        <v>1617</v>
      </c>
      <c r="C383" s="82" t="s">
        <v>8</v>
      </c>
      <c r="D383" s="86" t="s">
        <v>1272</v>
      </c>
      <c r="E383" s="89">
        <v>2</v>
      </c>
      <c r="F383" s="12" t="s">
        <v>1273</v>
      </c>
      <c r="G383" s="12" t="s">
        <v>1274</v>
      </c>
      <c r="H383" s="86" t="s">
        <v>1275</v>
      </c>
      <c r="I383" s="12">
        <v>1</v>
      </c>
      <c r="J383" s="89">
        <v>1.5</v>
      </c>
      <c r="K383" s="86" t="s">
        <v>1910</v>
      </c>
      <c r="L383" s="12"/>
      <c r="M383">
        <f t="shared" si="10"/>
        <v>3</v>
      </c>
      <c r="N383" s="103">
        <f t="shared" si="11"/>
        <v>379</v>
      </c>
    </row>
    <row r="384" spans="1:14" s="103" customFormat="1" x14ac:dyDescent="0.3">
      <c r="A384" s="102" t="s">
        <v>897</v>
      </c>
      <c r="B384" s="82" t="s">
        <v>1617</v>
      </c>
      <c r="C384" s="82" t="s">
        <v>8</v>
      </c>
      <c r="D384" s="86" t="s">
        <v>383</v>
      </c>
      <c r="E384" s="89">
        <v>1</v>
      </c>
      <c r="F384" s="12" t="s">
        <v>384</v>
      </c>
      <c r="G384" s="12" t="s">
        <v>385</v>
      </c>
      <c r="H384" s="86" t="s">
        <v>386</v>
      </c>
      <c r="I384" s="12">
        <v>1</v>
      </c>
      <c r="J384" s="89">
        <v>1.95</v>
      </c>
      <c r="K384" s="86" t="s">
        <v>1910</v>
      </c>
      <c r="L384" s="12"/>
      <c r="M384">
        <f t="shared" si="10"/>
        <v>1.95</v>
      </c>
      <c r="N384" s="103">
        <f t="shared" si="11"/>
        <v>380</v>
      </c>
    </row>
    <row r="385" spans="1:14" s="103" customFormat="1" x14ac:dyDescent="0.3">
      <c r="A385" s="102" t="s">
        <v>897</v>
      </c>
      <c r="B385" s="82" t="s">
        <v>1617</v>
      </c>
      <c r="C385" s="82" t="s">
        <v>8</v>
      </c>
      <c r="D385" s="86" t="s">
        <v>1843</v>
      </c>
      <c r="E385" s="89">
        <v>1</v>
      </c>
      <c r="F385" s="12" t="s">
        <v>1844</v>
      </c>
      <c r="G385" s="12" t="s">
        <v>1845</v>
      </c>
      <c r="H385" s="86" t="s">
        <v>1846</v>
      </c>
      <c r="I385" s="12">
        <v>1</v>
      </c>
      <c r="J385" s="89">
        <v>0.5</v>
      </c>
      <c r="K385" s="86" t="s">
        <v>1913</v>
      </c>
      <c r="L385" s="12"/>
      <c r="M385">
        <f t="shared" si="10"/>
        <v>0.5</v>
      </c>
      <c r="N385" s="103">
        <f t="shared" si="11"/>
        <v>381</v>
      </c>
    </row>
    <row r="386" spans="1:14" s="103" customFormat="1" hidden="1" x14ac:dyDescent="0.3">
      <c r="A386" s="118" t="s">
        <v>897</v>
      </c>
      <c r="B386" s="112" t="s">
        <v>1617</v>
      </c>
      <c r="C386" s="112" t="s">
        <v>1898</v>
      </c>
      <c r="D386" s="112" t="s">
        <v>2477</v>
      </c>
      <c r="E386" s="114">
        <v>0</v>
      </c>
      <c r="F386"/>
      <c r="G386"/>
      <c r="H386" s="112" t="s">
        <v>2476</v>
      </c>
      <c r="I386" s="113">
        <v>114</v>
      </c>
      <c r="J386" s="114">
        <v>0.75</v>
      </c>
      <c r="K386" s="51" t="s">
        <v>1910</v>
      </c>
      <c r="L386"/>
      <c r="M386">
        <f t="shared" si="10"/>
        <v>0</v>
      </c>
      <c r="N386" s="103">
        <f t="shared" si="11"/>
        <v>382</v>
      </c>
    </row>
    <row r="387" spans="1:14" s="103" customFormat="1" x14ac:dyDescent="0.3">
      <c r="A387" s="102" t="s">
        <v>897</v>
      </c>
      <c r="B387" s="82" t="s">
        <v>1617</v>
      </c>
      <c r="C387" s="82" t="s">
        <v>8</v>
      </c>
      <c r="D387" s="86" t="s">
        <v>663</v>
      </c>
      <c r="E387" s="89">
        <v>5</v>
      </c>
      <c r="F387" s="12" t="s">
        <v>664</v>
      </c>
      <c r="G387" s="12" t="s">
        <v>665</v>
      </c>
      <c r="H387" s="86" t="s">
        <v>666</v>
      </c>
      <c r="I387" s="12">
        <v>1</v>
      </c>
      <c r="J387" s="89">
        <v>0.95</v>
      </c>
      <c r="K387" s="86" t="s">
        <v>1913</v>
      </c>
      <c r="L387" s="12"/>
      <c r="M387">
        <f t="shared" si="10"/>
        <v>4.75</v>
      </c>
      <c r="N387" s="103">
        <f t="shared" si="11"/>
        <v>383</v>
      </c>
    </row>
    <row r="388" spans="1:14" s="103" customFormat="1" x14ac:dyDescent="0.3">
      <c r="A388" s="102" t="s">
        <v>897</v>
      </c>
      <c r="B388" s="82" t="s">
        <v>1617</v>
      </c>
      <c r="C388" s="82" t="s">
        <v>8</v>
      </c>
      <c r="D388" s="86" t="s">
        <v>961</v>
      </c>
      <c r="E388" s="89">
        <v>1</v>
      </c>
      <c r="F388" s="12" t="s">
        <v>962</v>
      </c>
      <c r="G388" s="12" t="s">
        <v>963</v>
      </c>
      <c r="H388" s="86" t="s">
        <v>964</v>
      </c>
      <c r="I388" s="12">
        <v>1</v>
      </c>
      <c r="J388" s="89">
        <v>1.5</v>
      </c>
      <c r="K388" s="86" t="s">
        <v>1910</v>
      </c>
      <c r="L388" s="12"/>
      <c r="M388">
        <f t="shared" si="10"/>
        <v>1.5</v>
      </c>
      <c r="N388" s="103">
        <f t="shared" si="11"/>
        <v>384</v>
      </c>
    </row>
    <row r="389" spans="1:14" s="103" customFormat="1" x14ac:dyDescent="0.3">
      <c r="A389" s="102" t="s">
        <v>897</v>
      </c>
      <c r="B389" s="82" t="s">
        <v>1617</v>
      </c>
      <c r="C389" s="82" t="s">
        <v>8</v>
      </c>
      <c r="D389" s="86" t="s">
        <v>403</v>
      </c>
      <c r="E389" s="89">
        <v>2</v>
      </c>
      <c r="F389" s="12" t="s">
        <v>404</v>
      </c>
      <c r="G389" s="12" t="s">
        <v>405</v>
      </c>
      <c r="H389" s="86" t="s">
        <v>406</v>
      </c>
      <c r="I389" s="12">
        <v>1</v>
      </c>
      <c r="J389" s="89">
        <v>0.95</v>
      </c>
      <c r="K389" s="86" t="s">
        <v>1910</v>
      </c>
      <c r="L389" s="12"/>
      <c r="M389">
        <f t="shared" ref="M389:M452" si="12">E389*J389</f>
        <v>1.9</v>
      </c>
      <c r="N389" s="103">
        <f t="shared" ref="N389:N452" si="13">IF($N388="List #",1,$N388+1)</f>
        <v>385</v>
      </c>
    </row>
    <row r="390" spans="1:14" s="103" customFormat="1" x14ac:dyDescent="0.3">
      <c r="A390" s="102" t="s">
        <v>897</v>
      </c>
      <c r="B390" s="82" t="s">
        <v>1617</v>
      </c>
      <c r="C390" s="82" t="s">
        <v>8</v>
      </c>
      <c r="D390" s="86" t="s">
        <v>399</v>
      </c>
      <c r="E390" s="89">
        <v>3</v>
      </c>
      <c r="F390" s="12" t="s">
        <v>400</v>
      </c>
      <c r="G390" s="12" t="s">
        <v>401</v>
      </c>
      <c r="H390" s="86" t="s">
        <v>402</v>
      </c>
      <c r="I390" s="12">
        <v>1</v>
      </c>
      <c r="J390" s="89">
        <v>2.2999999999999998</v>
      </c>
      <c r="K390" s="86" t="s">
        <v>1910</v>
      </c>
      <c r="L390" s="12"/>
      <c r="M390">
        <f t="shared" si="12"/>
        <v>6.8999999999999995</v>
      </c>
      <c r="N390" s="103">
        <f t="shared" si="13"/>
        <v>386</v>
      </c>
    </row>
    <row r="391" spans="1:14" s="103" customFormat="1" x14ac:dyDescent="0.3">
      <c r="A391" s="102" t="s">
        <v>897</v>
      </c>
      <c r="B391" s="82" t="s">
        <v>1617</v>
      </c>
      <c r="C391" s="82" t="s">
        <v>8</v>
      </c>
      <c r="D391" s="86" t="s">
        <v>1096</v>
      </c>
      <c r="E391" s="89">
        <v>1</v>
      </c>
      <c r="F391" s="12" t="s">
        <v>1097</v>
      </c>
      <c r="G391" s="12" t="s">
        <v>1098</v>
      </c>
      <c r="H391" s="86" t="s">
        <v>1099</v>
      </c>
      <c r="I391" s="12">
        <v>1</v>
      </c>
      <c r="J391" s="89">
        <v>1.95</v>
      </c>
      <c r="K391" s="86" t="s">
        <v>1910</v>
      </c>
      <c r="L391" s="12"/>
      <c r="M391">
        <f t="shared" si="12"/>
        <v>1.95</v>
      </c>
      <c r="N391" s="103">
        <f t="shared" si="13"/>
        <v>387</v>
      </c>
    </row>
    <row r="392" spans="1:14" s="103" customFormat="1" hidden="1" x14ac:dyDescent="0.3">
      <c r="A392" s="103" t="s">
        <v>897</v>
      </c>
      <c r="B392" s="86" t="s">
        <v>1617</v>
      </c>
      <c r="C392" s="86" t="s">
        <v>1898</v>
      </c>
      <c r="D392" s="86" t="s">
        <v>2151</v>
      </c>
      <c r="E392" s="89">
        <v>0</v>
      </c>
      <c r="F392" s="12"/>
      <c r="G392" s="12"/>
      <c r="H392" s="82" t="s">
        <v>2152</v>
      </c>
      <c r="I392"/>
      <c r="J392" s="95">
        <v>1.5</v>
      </c>
      <c r="K392" s="82" t="s">
        <v>1910</v>
      </c>
      <c r="L392"/>
      <c r="M392">
        <f t="shared" si="12"/>
        <v>0</v>
      </c>
      <c r="N392" s="103">
        <f t="shared" si="13"/>
        <v>388</v>
      </c>
    </row>
    <row r="393" spans="1:14" s="103" customFormat="1" hidden="1" x14ac:dyDescent="0.3">
      <c r="A393" s="102" t="s">
        <v>897</v>
      </c>
      <c r="B393" s="82" t="s">
        <v>1617</v>
      </c>
      <c r="C393" s="82" t="s">
        <v>8</v>
      </c>
      <c r="D393" s="86" t="s">
        <v>679</v>
      </c>
      <c r="E393" s="89">
        <v>0</v>
      </c>
      <c r="F393" s="12" t="s">
        <v>680</v>
      </c>
      <c r="G393" s="12" t="s">
        <v>681</v>
      </c>
      <c r="H393" s="86" t="s">
        <v>682</v>
      </c>
      <c r="I393" s="12">
        <v>1</v>
      </c>
      <c r="J393" s="89">
        <v>1.95</v>
      </c>
      <c r="K393" s="86" t="s">
        <v>1910</v>
      </c>
      <c r="L393" s="12"/>
      <c r="M393">
        <f t="shared" si="12"/>
        <v>0</v>
      </c>
      <c r="N393" s="103">
        <f t="shared" si="13"/>
        <v>389</v>
      </c>
    </row>
    <row r="394" spans="1:14" s="103" customFormat="1" hidden="1" x14ac:dyDescent="0.3">
      <c r="A394" s="102" t="s">
        <v>897</v>
      </c>
      <c r="B394" s="82" t="s">
        <v>1617</v>
      </c>
      <c r="C394" s="82" t="s">
        <v>8</v>
      </c>
      <c r="D394" s="86" t="s">
        <v>407</v>
      </c>
      <c r="E394" s="89">
        <v>0</v>
      </c>
      <c r="F394" s="12" t="s">
        <v>408</v>
      </c>
      <c r="G394" s="12" t="s">
        <v>409</v>
      </c>
      <c r="H394" s="86" t="s">
        <v>410</v>
      </c>
      <c r="I394" s="12">
        <v>1</v>
      </c>
      <c r="J394" s="89">
        <v>0.95</v>
      </c>
      <c r="K394" s="86" t="s">
        <v>1910</v>
      </c>
      <c r="L394" s="12"/>
      <c r="M394">
        <f t="shared" si="12"/>
        <v>0</v>
      </c>
      <c r="N394" s="103">
        <f t="shared" si="13"/>
        <v>390</v>
      </c>
    </row>
    <row r="395" spans="1:14" s="103" customFormat="1" hidden="1" x14ac:dyDescent="0.3">
      <c r="A395" s="102" t="s">
        <v>897</v>
      </c>
      <c r="B395" s="82" t="s">
        <v>1617</v>
      </c>
      <c r="C395" s="82" t="s">
        <v>8</v>
      </c>
      <c r="D395" s="86" t="s">
        <v>411</v>
      </c>
      <c r="E395" s="89">
        <v>0</v>
      </c>
      <c r="F395" s="12" t="s">
        <v>412</v>
      </c>
      <c r="G395" s="12" t="s">
        <v>413</v>
      </c>
      <c r="H395" s="86" t="s">
        <v>221</v>
      </c>
      <c r="I395" s="12">
        <v>1</v>
      </c>
      <c r="J395" s="89">
        <v>3.95</v>
      </c>
      <c r="K395" s="86" t="s">
        <v>2490</v>
      </c>
      <c r="L395" s="12"/>
      <c r="M395">
        <f t="shared" si="12"/>
        <v>0</v>
      </c>
      <c r="N395" s="103">
        <f t="shared" si="13"/>
        <v>391</v>
      </c>
    </row>
    <row r="396" spans="1:14" s="103" customFormat="1" x14ac:dyDescent="0.3">
      <c r="A396" s="102" t="s">
        <v>897</v>
      </c>
      <c r="B396" s="94" t="s">
        <v>1617</v>
      </c>
      <c r="C396" s="94" t="s">
        <v>8</v>
      </c>
      <c r="D396" s="91" t="s">
        <v>433</v>
      </c>
      <c r="E396" s="93">
        <f>FilterSpecs!$C$3</f>
        <v>5</v>
      </c>
      <c r="F396" s="67" t="s">
        <v>434</v>
      </c>
      <c r="G396" s="67" t="s">
        <v>435</v>
      </c>
      <c r="H396" s="91" t="s">
        <v>436</v>
      </c>
      <c r="I396" s="67">
        <v>1</v>
      </c>
      <c r="J396" s="93">
        <v>1.5</v>
      </c>
      <c r="K396" s="91" t="s">
        <v>1911</v>
      </c>
      <c r="L396" s="67"/>
      <c r="M396">
        <f t="shared" si="12"/>
        <v>7.5</v>
      </c>
      <c r="N396" s="103">
        <f t="shared" si="13"/>
        <v>392</v>
      </c>
    </row>
    <row r="397" spans="1:14" s="103" customFormat="1" hidden="1" x14ac:dyDescent="0.3">
      <c r="A397" s="102" t="s">
        <v>897</v>
      </c>
      <c r="B397" s="102" t="s">
        <v>1893</v>
      </c>
      <c r="C397" s="102" t="s">
        <v>8</v>
      </c>
      <c r="D397" s="103" t="s">
        <v>775</v>
      </c>
      <c r="E397" s="104">
        <v>0</v>
      </c>
      <c r="F397" s="103" t="s">
        <v>776</v>
      </c>
      <c r="G397" s="103" t="s">
        <v>777</v>
      </c>
      <c r="H397" s="103" t="s">
        <v>778</v>
      </c>
      <c r="I397" s="103">
        <v>1</v>
      </c>
      <c r="J397" s="104">
        <v>0.5</v>
      </c>
      <c r="K397" s="103" t="s">
        <v>1910</v>
      </c>
      <c r="M397">
        <f t="shared" si="12"/>
        <v>0</v>
      </c>
      <c r="N397" s="103">
        <f t="shared" si="13"/>
        <v>393</v>
      </c>
    </row>
    <row r="398" spans="1:14" s="103" customFormat="1" x14ac:dyDescent="0.3">
      <c r="A398" s="102" t="s">
        <v>897</v>
      </c>
      <c r="B398" s="102" t="s">
        <v>1893</v>
      </c>
      <c r="C398" s="102" t="s">
        <v>8</v>
      </c>
      <c r="D398" s="103" t="s">
        <v>1775</v>
      </c>
      <c r="E398" s="104">
        <v>1</v>
      </c>
      <c r="F398" s="103" t="s">
        <v>1776</v>
      </c>
      <c r="G398" s="103" t="s">
        <v>1777</v>
      </c>
      <c r="H398" s="103" t="s">
        <v>1778</v>
      </c>
      <c r="I398" s="103">
        <v>1</v>
      </c>
      <c r="J398" s="104">
        <v>2.95</v>
      </c>
      <c r="K398" s="103" t="s">
        <v>1910</v>
      </c>
      <c r="M398">
        <f t="shared" si="12"/>
        <v>2.95</v>
      </c>
      <c r="N398" s="103">
        <f t="shared" si="13"/>
        <v>394</v>
      </c>
    </row>
    <row r="399" spans="1:14" s="103" customFormat="1" hidden="1" x14ac:dyDescent="0.3">
      <c r="A399" s="102" t="s">
        <v>897</v>
      </c>
      <c r="B399" s="102" t="s">
        <v>1893</v>
      </c>
      <c r="C399" s="102" t="s">
        <v>8</v>
      </c>
      <c r="D399" s="103" t="s">
        <v>523</v>
      </c>
      <c r="E399" s="104">
        <v>0</v>
      </c>
      <c r="F399" s="103" t="s">
        <v>524</v>
      </c>
      <c r="G399" s="103" t="s">
        <v>525</v>
      </c>
      <c r="H399" s="103" t="s">
        <v>526</v>
      </c>
      <c r="I399" s="103">
        <v>1</v>
      </c>
      <c r="J399" s="104">
        <v>1.5</v>
      </c>
      <c r="K399" s="103" t="s">
        <v>1910</v>
      </c>
      <c r="M399">
        <f t="shared" si="12"/>
        <v>0</v>
      </c>
      <c r="N399" s="103">
        <f t="shared" si="13"/>
        <v>395</v>
      </c>
    </row>
    <row r="400" spans="1:14" s="103" customFormat="1" hidden="1" x14ac:dyDescent="0.3">
      <c r="A400" s="102" t="s">
        <v>897</v>
      </c>
      <c r="B400" s="102" t="s">
        <v>1893</v>
      </c>
      <c r="C400" s="102" t="s">
        <v>8</v>
      </c>
      <c r="D400" s="103" t="s">
        <v>527</v>
      </c>
      <c r="E400" s="104">
        <v>0</v>
      </c>
      <c r="F400" s="103" t="s">
        <v>528</v>
      </c>
      <c r="G400" s="103" t="s">
        <v>529</v>
      </c>
      <c r="H400" s="103" t="s">
        <v>530</v>
      </c>
      <c r="I400" s="103">
        <v>1</v>
      </c>
      <c r="J400" s="104">
        <v>0.5</v>
      </c>
      <c r="K400" s="103" t="s">
        <v>1910</v>
      </c>
      <c r="M400">
        <f t="shared" si="12"/>
        <v>0</v>
      </c>
      <c r="N400" s="103">
        <f t="shared" si="13"/>
        <v>396</v>
      </c>
    </row>
    <row r="401" spans="1:14" s="103" customFormat="1" hidden="1" x14ac:dyDescent="0.3">
      <c r="A401" s="102" t="s">
        <v>897</v>
      </c>
      <c r="B401" s="102" t="s">
        <v>1893</v>
      </c>
      <c r="C401" s="102" t="s">
        <v>8</v>
      </c>
      <c r="D401" s="103" t="s">
        <v>579</v>
      </c>
      <c r="E401" s="104">
        <v>0</v>
      </c>
      <c r="F401" s="103" t="s">
        <v>580</v>
      </c>
      <c r="G401" s="103" t="s">
        <v>581</v>
      </c>
      <c r="H401" s="103" t="s">
        <v>582</v>
      </c>
      <c r="I401" s="103">
        <v>1</v>
      </c>
      <c r="J401" s="104">
        <v>1.5</v>
      </c>
      <c r="K401" s="103" t="s">
        <v>1910</v>
      </c>
      <c r="M401">
        <f t="shared" si="12"/>
        <v>0</v>
      </c>
      <c r="N401" s="103">
        <f t="shared" si="13"/>
        <v>397</v>
      </c>
    </row>
    <row r="402" spans="1:14" s="103" customFormat="1" hidden="1" x14ac:dyDescent="0.3">
      <c r="A402" s="102" t="s">
        <v>897</v>
      </c>
      <c r="B402" s="102" t="s">
        <v>1893</v>
      </c>
      <c r="C402" s="102" t="s">
        <v>8</v>
      </c>
      <c r="D402" s="103" t="s">
        <v>481</v>
      </c>
      <c r="E402" s="104">
        <v>0</v>
      </c>
      <c r="F402" s="103" t="s">
        <v>482</v>
      </c>
      <c r="G402" s="103" t="s">
        <v>483</v>
      </c>
      <c r="H402" s="103" t="s">
        <v>484</v>
      </c>
      <c r="J402" s="104">
        <v>0.5</v>
      </c>
      <c r="K402" s="103" t="s">
        <v>1910</v>
      </c>
      <c r="M402">
        <f t="shared" si="12"/>
        <v>0</v>
      </c>
      <c r="N402" s="103">
        <f t="shared" si="13"/>
        <v>398</v>
      </c>
    </row>
    <row r="403" spans="1:14" s="103" customFormat="1" hidden="1" x14ac:dyDescent="0.3">
      <c r="A403" s="102" t="s">
        <v>897</v>
      </c>
      <c r="B403" s="102" t="s">
        <v>1893</v>
      </c>
      <c r="C403" s="102" t="s">
        <v>8</v>
      </c>
      <c r="D403" s="103" t="s">
        <v>477</v>
      </c>
      <c r="E403" s="104">
        <v>0</v>
      </c>
      <c r="F403" s="103" t="s">
        <v>478</v>
      </c>
      <c r="G403" s="103" t="s">
        <v>479</v>
      </c>
      <c r="H403" s="103" t="s">
        <v>480</v>
      </c>
      <c r="I403" s="103">
        <v>1</v>
      </c>
      <c r="J403" s="104">
        <v>1.5</v>
      </c>
      <c r="K403" s="103" t="s">
        <v>1910</v>
      </c>
      <c r="M403">
        <f t="shared" si="12"/>
        <v>0</v>
      </c>
      <c r="N403" s="103">
        <f t="shared" si="13"/>
        <v>399</v>
      </c>
    </row>
    <row r="404" spans="1:14" s="103" customFormat="1" x14ac:dyDescent="0.3">
      <c r="A404" s="103" t="s">
        <v>897</v>
      </c>
      <c r="B404" s="103" t="s">
        <v>1893</v>
      </c>
      <c r="C404" s="103" t="s">
        <v>1898</v>
      </c>
      <c r="D404" s="103" t="s">
        <v>2193</v>
      </c>
      <c r="E404" s="104">
        <f>FilterSpecs!$C$3</f>
        <v>5</v>
      </c>
      <c r="H404" s="102" t="s">
        <v>2194</v>
      </c>
      <c r="I404" s="105"/>
      <c r="J404" s="111">
        <v>1.95</v>
      </c>
      <c r="K404" s="102" t="s">
        <v>1911</v>
      </c>
      <c r="L404" s="105"/>
      <c r="M404">
        <f t="shared" si="12"/>
        <v>9.75</v>
      </c>
      <c r="N404" s="103">
        <f t="shared" si="13"/>
        <v>400</v>
      </c>
    </row>
    <row r="405" spans="1:14" s="103" customFormat="1" x14ac:dyDescent="0.3">
      <c r="A405" s="103" t="s">
        <v>897</v>
      </c>
      <c r="B405" s="103" t="s">
        <v>1893</v>
      </c>
      <c r="C405" s="103" t="s">
        <v>1898</v>
      </c>
      <c r="D405" s="103" t="s">
        <v>2175</v>
      </c>
      <c r="E405" s="104">
        <v>1</v>
      </c>
      <c r="H405" s="102" t="s">
        <v>2176</v>
      </c>
      <c r="I405" s="105"/>
      <c r="J405" s="111">
        <v>2.95</v>
      </c>
      <c r="K405" s="102" t="s">
        <v>1910</v>
      </c>
      <c r="L405" s="105"/>
      <c r="M405">
        <f t="shared" si="12"/>
        <v>2.95</v>
      </c>
      <c r="N405" s="103">
        <f t="shared" si="13"/>
        <v>401</v>
      </c>
    </row>
    <row r="406" spans="1:14" s="103" customFormat="1" hidden="1" x14ac:dyDescent="0.3">
      <c r="A406" s="102" t="s">
        <v>897</v>
      </c>
      <c r="B406" s="102" t="s">
        <v>1891</v>
      </c>
      <c r="C406" s="102" t="s">
        <v>8</v>
      </c>
      <c r="D406" s="103" t="s">
        <v>771</v>
      </c>
      <c r="E406" s="104">
        <v>0</v>
      </c>
      <c r="F406" s="103" t="s">
        <v>772</v>
      </c>
      <c r="G406" s="103" t="s">
        <v>773</v>
      </c>
      <c r="H406" s="103" t="s">
        <v>774</v>
      </c>
      <c r="I406" s="103">
        <v>1</v>
      </c>
      <c r="J406" s="104">
        <v>0.5</v>
      </c>
      <c r="K406" s="103" t="s">
        <v>1910</v>
      </c>
      <c r="M406">
        <f t="shared" si="12"/>
        <v>0</v>
      </c>
      <c r="N406" s="103">
        <f t="shared" si="13"/>
        <v>402</v>
      </c>
    </row>
    <row r="407" spans="1:14" s="103" customFormat="1" hidden="1" x14ac:dyDescent="0.3">
      <c r="A407" s="102" t="s">
        <v>897</v>
      </c>
      <c r="B407" s="102" t="s">
        <v>1891</v>
      </c>
      <c r="C407" s="102" t="s">
        <v>8</v>
      </c>
      <c r="D407" s="103" t="s">
        <v>515</v>
      </c>
      <c r="E407" s="104">
        <v>0</v>
      </c>
      <c r="F407" s="103" t="s">
        <v>516</v>
      </c>
      <c r="G407" s="103" t="s">
        <v>517</v>
      </c>
      <c r="H407" s="103" t="s">
        <v>518</v>
      </c>
      <c r="I407" s="103">
        <v>1</v>
      </c>
      <c r="J407" s="104">
        <v>0.95</v>
      </c>
      <c r="K407" s="103" t="s">
        <v>1910</v>
      </c>
      <c r="M407">
        <f t="shared" si="12"/>
        <v>0</v>
      </c>
      <c r="N407" s="103">
        <f t="shared" si="13"/>
        <v>403</v>
      </c>
    </row>
    <row r="408" spans="1:14" s="103" customFormat="1" x14ac:dyDescent="0.3">
      <c r="A408" s="102" t="s">
        <v>897</v>
      </c>
      <c r="B408" s="102" t="s">
        <v>1891</v>
      </c>
      <c r="C408" s="102" t="s">
        <v>8</v>
      </c>
      <c r="D408" s="103" t="s">
        <v>1791</v>
      </c>
      <c r="E408" s="104">
        <v>1</v>
      </c>
      <c r="F408" s="103" t="s">
        <v>1792</v>
      </c>
      <c r="G408" s="103" t="s">
        <v>1793</v>
      </c>
      <c r="H408" s="103" t="s">
        <v>1794</v>
      </c>
      <c r="I408" s="103">
        <v>1</v>
      </c>
      <c r="J408" s="104">
        <v>0.95</v>
      </c>
      <c r="K408" s="103" t="s">
        <v>1910</v>
      </c>
      <c r="M408">
        <f t="shared" si="12"/>
        <v>0.95</v>
      </c>
      <c r="N408" s="103">
        <f t="shared" si="13"/>
        <v>404</v>
      </c>
    </row>
    <row r="409" spans="1:14" s="103" customFormat="1" hidden="1" x14ac:dyDescent="0.3">
      <c r="A409" s="102" t="s">
        <v>897</v>
      </c>
      <c r="B409" s="102" t="s">
        <v>1891</v>
      </c>
      <c r="C409" s="102" t="s">
        <v>8</v>
      </c>
      <c r="D409" s="103" t="s">
        <v>755</v>
      </c>
      <c r="E409" s="104">
        <v>0</v>
      </c>
      <c r="F409" s="103" t="s">
        <v>756</v>
      </c>
      <c r="G409" s="103" t="s">
        <v>757</v>
      </c>
      <c r="H409" s="103" t="s">
        <v>758</v>
      </c>
      <c r="I409" s="103">
        <v>1</v>
      </c>
      <c r="J409" s="104">
        <v>1.5</v>
      </c>
      <c r="K409" s="103" t="s">
        <v>1910</v>
      </c>
      <c r="M409">
        <f t="shared" si="12"/>
        <v>0</v>
      </c>
      <c r="N409" s="103">
        <f t="shared" si="13"/>
        <v>405</v>
      </c>
    </row>
    <row r="410" spans="1:14" s="103" customFormat="1" x14ac:dyDescent="0.3">
      <c r="A410" s="103" t="s">
        <v>897</v>
      </c>
      <c r="B410" s="103" t="s">
        <v>1891</v>
      </c>
      <c r="C410" s="103" t="s">
        <v>1898</v>
      </c>
      <c r="D410" s="103" t="s">
        <v>2189</v>
      </c>
      <c r="E410" s="104">
        <v>1</v>
      </c>
      <c r="H410" s="102" t="s">
        <v>2190</v>
      </c>
      <c r="I410" s="105"/>
      <c r="J410" s="111">
        <v>4.95</v>
      </c>
      <c r="K410" s="102" t="s">
        <v>1910</v>
      </c>
      <c r="L410" s="105"/>
      <c r="M410">
        <f t="shared" si="12"/>
        <v>4.95</v>
      </c>
      <c r="N410" s="103">
        <f t="shared" si="13"/>
        <v>406</v>
      </c>
    </row>
    <row r="411" spans="1:14" s="103" customFormat="1" x14ac:dyDescent="0.3">
      <c r="A411" s="103" t="s">
        <v>897</v>
      </c>
      <c r="B411" s="103" t="s">
        <v>1891</v>
      </c>
      <c r="C411" s="103" t="s">
        <v>1898</v>
      </c>
      <c r="D411" s="103" t="s">
        <v>2181</v>
      </c>
      <c r="E411" s="104">
        <v>1</v>
      </c>
      <c r="H411" s="102" t="s">
        <v>2182</v>
      </c>
      <c r="I411" s="105"/>
      <c r="J411" s="111">
        <v>4.95</v>
      </c>
      <c r="K411" s="102" t="s">
        <v>1910</v>
      </c>
      <c r="L411" s="105"/>
      <c r="M411">
        <f t="shared" si="12"/>
        <v>4.95</v>
      </c>
      <c r="N411" s="103">
        <f t="shared" si="13"/>
        <v>407</v>
      </c>
    </row>
    <row r="412" spans="1:14" s="103" customFormat="1" x14ac:dyDescent="0.3">
      <c r="A412" s="102" t="s">
        <v>897</v>
      </c>
      <c r="B412" s="102" t="s">
        <v>1891</v>
      </c>
      <c r="C412" s="102" t="s">
        <v>8</v>
      </c>
      <c r="D412" s="103" t="s">
        <v>489</v>
      </c>
      <c r="E412" s="104">
        <f>FilterSpecs!$C$3</f>
        <v>5</v>
      </c>
      <c r="F412" s="103" t="s">
        <v>490</v>
      </c>
      <c r="G412" s="103" t="s">
        <v>491</v>
      </c>
      <c r="H412" s="103" t="s">
        <v>492</v>
      </c>
      <c r="I412" s="103">
        <v>1</v>
      </c>
      <c r="J412" s="104">
        <v>2.95</v>
      </c>
      <c r="K412" s="103" t="s">
        <v>1910</v>
      </c>
      <c r="M412">
        <f t="shared" si="12"/>
        <v>14.75</v>
      </c>
      <c r="N412" s="103">
        <f t="shared" si="13"/>
        <v>408</v>
      </c>
    </row>
    <row r="413" spans="1:14" s="103" customFormat="1" x14ac:dyDescent="0.3">
      <c r="A413" s="102" t="s">
        <v>897</v>
      </c>
      <c r="B413" s="102" t="s">
        <v>1891</v>
      </c>
      <c r="C413" s="102" t="s">
        <v>8</v>
      </c>
      <c r="D413" s="103" t="s">
        <v>473</v>
      </c>
      <c r="E413" s="104">
        <f>FilterSpecs!$C$3</f>
        <v>5</v>
      </c>
      <c r="F413" s="103" t="s">
        <v>474</v>
      </c>
      <c r="G413" s="103" t="s">
        <v>475</v>
      </c>
      <c r="H413" s="103" t="s">
        <v>476</v>
      </c>
      <c r="I413" s="103">
        <v>1</v>
      </c>
      <c r="J413" s="104">
        <v>0.75</v>
      </c>
      <c r="K413" s="103" t="s">
        <v>1910</v>
      </c>
      <c r="M413">
        <f t="shared" si="12"/>
        <v>3.75</v>
      </c>
      <c r="N413" s="103">
        <f t="shared" si="13"/>
        <v>409</v>
      </c>
    </row>
    <row r="414" spans="1:14" s="103" customFormat="1" hidden="1" x14ac:dyDescent="0.3">
      <c r="A414" s="118" t="s">
        <v>897</v>
      </c>
      <c r="B414" s="118" t="s">
        <v>1891</v>
      </c>
      <c r="C414" s="118" t="s">
        <v>1898</v>
      </c>
      <c r="D414" s="118" t="s">
        <v>2483</v>
      </c>
      <c r="E414" s="119">
        <v>0</v>
      </c>
      <c r="F414" s="105"/>
      <c r="G414" s="105"/>
      <c r="H414" s="118" t="s">
        <v>2482</v>
      </c>
      <c r="I414" s="120">
        <v>117</v>
      </c>
      <c r="J414" s="119">
        <v>3</v>
      </c>
      <c r="K414" s="102" t="s">
        <v>1910</v>
      </c>
      <c r="L414" s="105"/>
      <c r="M414">
        <f t="shared" si="12"/>
        <v>0</v>
      </c>
      <c r="N414" s="103">
        <f t="shared" si="13"/>
        <v>410</v>
      </c>
    </row>
    <row r="415" spans="1:14" s="103" customFormat="1" hidden="1" x14ac:dyDescent="0.3">
      <c r="A415" s="102" t="s">
        <v>897</v>
      </c>
      <c r="B415" s="102" t="s">
        <v>1891</v>
      </c>
      <c r="C415" s="102" t="s">
        <v>8</v>
      </c>
      <c r="D415" s="103" t="s">
        <v>759</v>
      </c>
      <c r="E415" s="104">
        <v>0</v>
      </c>
      <c r="F415" s="103" t="s">
        <v>760</v>
      </c>
      <c r="G415" s="103" t="s">
        <v>761</v>
      </c>
      <c r="H415" s="103" t="s">
        <v>762</v>
      </c>
      <c r="I415" s="103">
        <v>1</v>
      </c>
      <c r="J415" s="104">
        <v>1.95</v>
      </c>
      <c r="K415" s="103" t="s">
        <v>1910</v>
      </c>
      <c r="M415">
        <f t="shared" si="12"/>
        <v>0</v>
      </c>
      <c r="N415" s="103">
        <f t="shared" si="13"/>
        <v>411</v>
      </c>
    </row>
    <row r="416" spans="1:14" s="103" customFormat="1" hidden="1" x14ac:dyDescent="0.3">
      <c r="A416" s="103" t="s">
        <v>897</v>
      </c>
      <c r="B416" s="103" t="s">
        <v>1891</v>
      </c>
      <c r="C416" s="103" t="s">
        <v>1898</v>
      </c>
      <c r="D416" s="103" t="s">
        <v>2191</v>
      </c>
      <c r="E416" s="104">
        <v>0</v>
      </c>
      <c r="H416" s="102" t="s">
        <v>2192</v>
      </c>
      <c r="I416" s="105"/>
      <c r="J416" s="111">
        <v>5.95</v>
      </c>
      <c r="K416" s="102" t="s">
        <v>1913</v>
      </c>
      <c r="L416" s="105"/>
      <c r="M416">
        <f t="shared" si="12"/>
        <v>0</v>
      </c>
      <c r="N416" s="103">
        <f t="shared" si="13"/>
        <v>412</v>
      </c>
    </row>
    <row r="417" spans="1:14" s="103" customFormat="1" hidden="1" x14ac:dyDescent="0.3">
      <c r="A417" s="103" t="s">
        <v>897</v>
      </c>
      <c r="B417" s="103" t="s">
        <v>1891</v>
      </c>
      <c r="C417" s="103" t="s">
        <v>1898</v>
      </c>
      <c r="D417" s="103" t="s">
        <v>2183</v>
      </c>
      <c r="E417" s="104">
        <v>0</v>
      </c>
      <c r="H417" s="102" t="s">
        <v>2184</v>
      </c>
      <c r="I417" s="105"/>
      <c r="J417" s="111">
        <v>0.95</v>
      </c>
      <c r="K417" s="102" t="s">
        <v>1910</v>
      </c>
      <c r="L417" s="105"/>
      <c r="M417">
        <f t="shared" si="12"/>
        <v>0</v>
      </c>
      <c r="N417" s="103">
        <f t="shared" si="13"/>
        <v>413</v>
      </c>
    </row>
    <row r="418" spans="1:14" s="103" customFormat="1" x14ac:dyDescent="0.3">
      <c r="A418" s="103" t="s">
        <v>897</v>
      </c>
      <c r="B418" s="103" t="s">
        <v>1891</v>
      </c>
      <c r="C418" s="103" t="s">
        <v>1898</v>
      </c>
      <c r="D418" s="103" t="s">
        <v>2185</v>
      </c>
      <c r="E418" s="104">
        <v>1</v>
      </c>
      <c r="H418" s="102" t="s">
        <v>2186</v>
      </c>
      <c r="I418" s="105"/>
      <c r="J418" s="111">
        <v>7.5</v>
      </c>
      <c r="K418" s="102" t="s">
        <v>1910</v>
      </c>
      <c r="L418" s="105"/>
      <c r="M418">
        <f t="shared" si="12"/>
        <v>7.5</v>
      </c>
      <c r="N418" s="103">
        <f t="shared" si="13"/>
        <v>414</v>
      </c>
    </row>
    <row r="419" spans="1:14" s="103" customFormat="1" x14ac:dyDescent="0.3">
      <c r="A419" s="103" t="s">
        <v>897</v>
      </c>
      <c r="B419" s="103" t="s">
        <v>1891</v>
      </c>
      <c r="C419" s="103" t="s">
        <v>1898</v>
      </c>
      <c r="D419" s="103" t="s">
        <v>2187</v>
      </c>
      <c r="E419" s="104">
        <v>1</v>
      </c>
      <c r="H419" s="102" t="s">
        <v>2188</v>
      </c>
      <c r="I419" s="105"/>
      <c r="J419" s="111">
        <v>5.95</v>
      </c>
      <c r="K419" s="102" t="s">
        <v>1910</v>
      </c>
      <c r="L419" s="105"/>
      <c r="M419">
        <f t="shared" si="12"/>
        <v>5.95</v>
      </c>
      <c r="N419" s="103">
        <f t="shared" si="13"/>
        <v>415</v>
      </c>
    </row>
    <row r="420" spans="1:14" s="103" customFormat="1" hidden="1" x14ac:dyDescent="0.3">
      <c r="A420" s="102" t="s">
        <v>897</v>
      </c>
      <c r="B420" s="102" t="s">
        <v>1891</v>
      </c>
      <c r="C420" s="102" t="s">
        <v>8</v>
      </c>
      <c r="D420" s="103" t="s">
        <v>763</v>
      </c>
      <c r="E420" s="104">
        <v>0</v>
      </c>
      <c r="F420" s="103" t="s">
        <v>764</v>
      </c>
      <c r="G420" s="103" t="s">
        <v>765</v>
      </c>
      <c r="H420" s="103" t="s">
        <v>766</v>
      </c>
      <c r="I420" s="103">
        <v>1</v>
      </c>
      <c r="J420" s="104">
        <v>1.95</v>
      </c>
      <c r="K420" s="103" t="s">
        <v>1910</v>
      </c>
      <c r="M420">
        <f t="shared" si="12"/>
        <v>0</v>
      </c>
      <c r="N420" s="103">
        <f t="shared" si="13"/>
        <v>416</v>
      </c>
    </row>
    <row r="421" spans="1:14" s="103" customFormat="1" hidden="1" x14ac:dyDescent="0.3">
      <c r="A421" s="102" t="s">
        <v>897</v>
      </c>
      <c r="B421" s="102" t="s">
        <v>1891</v>
      </c>
      <c r="C421" s="102" t="s">
        <v>8</v>
      </c>
      <c r="D421" s="103" t="s">
        <v>1304</v>
      </c>
      <c r="E421" s="104">
        <v>0</v>
      </c>
      <c r="F421" s="103" t="s">
        <v>1305</v>
      </c>
      <c r="G421" s="103" t="s">
        <v>1306</v>
      </c>
      <c r="H421" s="103" t="s">
        <v>1307</v>
      </c>
      <c r="I421" s="103">
        <v>1</v>
      </c>
      <c r="J421" s="104">
        <v>4.95</v>
      </c>
      <c r="K421" s="103" t="s">
        <v>1910</v>
      </c>
      <c r="M421">
        <f t="shared" si="12"/>
        <v>0</v>
      </c>
      <c r="N421" s="103">
        <f t="shared" si="13"/>
        <v>417</v>
      </c>
    </row>
    <row r="422" spans="1:14" s="103" customFormat="1" hidden="1" x14ac:dyDescent="0.3">
      <c r="A422" s="102" t="s">
        <v>897</v>
      </c>
      <c r="B422" s="102" t="s">
        <v>1891</v>
      </c>
      <c r="C422" s="102" t="s">
        <v>8</v>
      </c>
      <c r="D422" s="103" t="s">
        <v>783</v>
      </c>
      <c r="E422" s="104">
        <v>0</v>
      </c>
      <c r="F422" s="103" t="s">
        <v>784</v>
      </c>
      <c r="G422" s="103" t="s">
        <v>785</v>
      </c>
      <c r="H422" s="103" t="s">
        <v>786</v>
      </c>
      <c r="I422" s="103">
        <v>1</v>
      </c>
      <c r="J422" s="104">
        <v>0.95</v>
      </c>
      <c r="K422" s="103" t="s">
        <v>1910</v>
      </c>
      <c r="M422">
        <f t="shared" si="12"/>
        <v>0</v>
      </c>
      <c r="N422" s="103">
        <f t="shared" si="13"/>
        <v>418</v>
      </c>
    </row>
    <row r="423" spans="1:14" s="103" customFormat="1" x14ac:dyDescent="0.3">
      <c r="A423" s="103" t="s">
        <v>897</v>
      </c>
      <c r="B423" s="103" t="s">
        <v>1891</v>
      </c>
      <c r="C423" s="103" t="s">
        <v>1898</v>
      </c>
      <c r="D423" s="103" t="s">
        <v>2179</v>
      </c>
      <c r="E423" s="104">
        <v>1</v>
      </c>
      <c r="H423" s="102" t="s">
        <v>2180</v>
      </c>
      <c r="I423" s="105"/>
      <c r="J423" s="111">
        <v>2.95</v>
      </c>
      <c r="K423" s="102" t="s">
        <v>1910</v>
      </c>
      <c r="L423" s="105"/>
      <c r="M423">
        <f t="shared" si="12"/>
        <v>2.95</v>
      </c>
      <c r="N423" s="103">
        <f t="shared" si="13"/>
        <v>419</v>
      </c>
    </row>
    <row r="424" spans="1:14" s="103" customFormat="1" hidden="1" x14ac:dyDescent="0.3">
      <c r="A424" s="103" t="s">
        <v>897</v>
      </c>
      <c r="B424" s="103" t="s">
        <v>1892</v>
      </c>
      <c r="C424" s="103" t="s">
        <v>1898</v>
      </c>
      <c r="D424" s="103" t="s">
        <v>2177</v>
      </c>
      <c r="E424" s="104">
        <v>0</v>
      </c>
      <c r="H424" s="102" t="s">
        <v>2178</v>
      </c>
      <c r="I424" s="105"/>
      <c r="J424" s="111">
        <v>0.95</v>
      </c>
      <c r="K424" s="102" t="s">
        <v>1910</v>
      </c>
      <c r="L424" s="105"/>
      <c r="M424">
        <f t="shared" si="12"/>
        <v>0</v>
      </c>
      <c r="N424" s="103">
        <f t="shared" si="13"/>
        <v>420</v>
      </c>
    </row>
    <row r="425" spans="1:14" s="103" customFormat="1" x14ac:dyDescent="0.3">
      <c r="A425" s="103" t="s">
        <v>897</v>
      </c>
      <c r="B425" s="103" t="s">
        <v>1892</v>
      </c>
      <c r="C425" s="103" t="s">
        <v>1898</v>
      </c>
      <c r="D425" s="103" t="s">
        <v>2171</v>
      </c>
      <c r="E425" s="104">
        <v>1</v>
      </c>
      <c r="H425" s="102" t="s">
        <v>2172</v>
      </c>
      <c r="I425" s="105"/>
      <c r="J425" s="111">
        <v>2.95</v>
      </c>
      <c r="K425" s="102" t="s">
        <v>1910</v>
      </c>
      <c r="L425" s="105"/>
      <c r="M425">
        <f t="shared" si="12"/>
        <v>2.95</v>
      </c>
      <c r="N425" s="103">
        <f t="shared" si="13"/>
        <v>421</v>
      </c>
    </row>
    <row r="426" spans="1:14" s="103" customFormat="1" x14ac:dyDescent="0.3">
      <c r="A426" s="103" t="s">
        <v>897</v>
      </c>
      <c r="B426" s="103" t="s">
        <v>1892</v>
      </c>
      <c r="C426" s="103" t="s">
        <v>1898</v>
      </c>
      <c r="D426" s="103" t="s">
        <v>2173</v>
      </c>
      <c r="E426" s="104">
        <v>1</v>
      </c>
      <c r="H426" s="102" t="s">
        <v>2174</v>
      </c>
      <c r="I426" s="105"/>
      <c r="J426" s="111">
        <v>7.95</v>
      </c>
      <c r="K426" s="102" t="s">
        <v>1910</v>
      </c>
      <c r="L426" s="105"/>
      <c r="M426">
        <f t="shared" si="12"/>
        <v>7.95</v>
      </c>
      <c r="N426" s="103">
        <f t="shared" si="13"/>
        <v>422</v>
      </c>
    </row>
    <row r="427" spans="1:14" s="103" customFormat="1" x14ac:dyDescent="0.3">
      <c r="A427" s="103" t="s">
        <v>897</v>
      </c>
      <c r="B427" s="103" t="s">
        <v>1892</v>
      </c>
      <c r="C427" s="103" t="s">
        <v>1898</v>
      </c>
      <c r="D427" s="103" t="s">
        <v>2163</v>
      </c>
      <c r="E427" s="104">
        <v>1</v>
      </c>
      <c r="H427" s="102" t="s">
        <v>2164</v>
      </c>
      <c r="I427" s="105"/>
      <c r="J427" s="111">
        <v>4.95</v>
      </c>
      <c r="K427" s="102" t="s">
        <v>1910</v>
      </c>
      <c r="L427" s="105"/>
      <c r="M427">
        <f t="shared" si="12"/>
        <v>4.95</v>
      </c>
      <c r="N427" s="103">
        <f t="shared" si="13"/>
        <v>423</v>
      </c>
    </row>
    <row r="428" spans="1:14" s="103" customFormat="1" x14ac:dyDescent="0.3">
      <c r="A428" s="103" t="s">
        <v>897</v>
      </c>
      <c r="B428" s="103" t="s">
        <v>1892</v>
      </c>
      <c r="C428" s="103" t="s">
        <v>1898</v>
      </c>
      <c r="D428" s="103" t="s">
        <v>2161</v>
      </c>
      <c r="E428" s="104">
        <v>1</v>
      </c>
      <c r="H428" s="102" t="s">
        <v>2162</v>
      </c>
      <c r="I428" s="105"/>
      <c r="J428" s="111">
        <v>5.95</v>
      </c>
      <c r="K428" s="102" t="s">
        <v>1910</v>
      </c>
      <c r="L428" s="105"/>
      <c r="M428">
        <f t="shared" si="12"/>
        <v>5.95</v>
      </c>
      <c r="N428" s="103">
        <f t="shared" si="13"/>
        <v>424</v>
      </c>
    </row>
    <row r="429" spans="1:14" s="103" customFormat="1" hidden="1" x14ac:dyDescent="0.3">
      <c r="A429" s="103" t="s">
        <v>897</v>
      </c>
      <c r="B429" s="103" t="s">
        <v>1892</v>
      </c>
      <c r="C429" s="103" t="s">
        <v>1898</v>
      </c>
      <c r="D429" s="103" t="s">
        <v>2157</v>
      </c>
      <c r="E429" s="104">
        <v>0</v>
      </c>
      <c r="H429" s="102" t="s">
        <v>2158</v>
      </c>
      <c r="I429" s="105"/>
      <c r="J429" s="111">
        <v>1.5</v>
      </c>
      <c r="K429" s="102" t="s">
        <v>1910</v>
      </c>
      <c r="L429" s="105"/>
      <c r="M429">
        <f t="shared" si="12"/>
        <v>0</v>
      </c>
      <c r="N429" s="103">
        <f t="shared" si="13"/>
        <v>425</v>
      </c>
    </row>
    <row r="430" spans="1:14" s="103" customFormat="1" x14ac:dyDescent="0.3">
      <c r="A430" s="103" t="s">
        <v>897</v>
      </c>
      <c r="B430" s="103" t="s">
        <v>1892</v>
      </c>
      <c r="C430" s="103" t="s">
        <v>1898</v>
      </c>
      <c r="D430" s="103" t="s">
        <v>2159</v>
      </c>
      <c r="E430" s="104">
        <v>1</v>
      </c>
      <c r="H430" s="102" t="s">
        <v>2160</v>
      </c>
      <c r="I430" s="105"/>
      <c r="J430" s="111">
        <v>7.95</v>
      </c>
      <c r="K430" s="102" t="s">
        <v>1910</v>
      </c>
      <c r="L430" s="105"/>
      <c r="M430">
        <f t="shared" si="12"/>
        <v>7.95</v>
      </c>
      <c r="N430" s="103">
        <f t="shared" si="13"/>
        <v>426</v>
      </c>
    </row>
    <row r="431" spans="1:14" s="103" customFormat="1" hidden="1" x14ac:dyDescent="0.3">
      <c r="A431" s="103" t="s">
        <v>897</v>
      </c>
      <c r="B431" s="103" t="s">
        <v>1892</v>
      </c>
      <c r="C431" s="103" t="s">
        <v>1898</v>
      </c>
      <c r="D431" s="103" t="s">
        <v>2169</v>
      </c>
      <c r="E431" s="104">
        <v>0</v>
      </c>
      <c r="H431" s="102" t="s">
        <v>2170</v>
      </c>
      <c r="I431" s="105"/>
      <c r="J431" s="111">
        <v>0</v>
      </c>
      <c r="K431" s="102" t="s">
        <v>1910</v>
      </c>
      <c r="L431" s="105"/>
      <c r="M431">
        <f t="shared" si="12"/>
        <v>0</v>
      </c>
      <c r="N431" s="103">
        <f t="shared" si="13"/>
        <v>427</v>
      </c>
    </row>
    <row r="432" spans="1:14" s="103" customFormat="1" hidden="1" x14ac:dyDescent="0.3">
      <c r="A432" s="102" t="s">
        <v>897</v>
      </c>
      <c r="B432" s="102" t="s">
        <v>1892</v>
      </c>
      <c r="C432" s="102" t="s">
        <v>8</v>
      </c>
      <c r="D432" s="103" t="s">
        <v>767</v>
      </c>
      <c r="E432" s="104">
        <v>0</v>
      </c>
      <c r="F432" s="103" t="s">
        <v>768</v>
      </c>
      <c r="G432" s="103" t="s">
        <v>769</v>
      </c>
      <c r="H432" s="103" t="s">
        <v>770</v>
      </c>
      <c r="I432" s="103">
        <v>1</v>
      </c>
      <c r="J432" s="104">
        <v>0.5</v>
      </c>
      <c r="K432" s="103" t="s">
        <v>1910</v>
      </c>
      <c r="M432">
        <f t="shared" si="12"/>
        <v>0</v>
      </c>
      <c r="N432" s="103">
        <f t="shared" si="13"/>
        <v>428</v>
      </c>
    </row>
    <row r="433" spans="1:14" s="103" customFormat="1" x14ac:dyDescent="0.3">
      <c r="A433" s="102" t="s">
        <v>897</v>
      </c>
      <c r="B433" s="102" t="s">
        <v>1892</v>
      </c>
      <c r="C433" s="102" t="s">
        <v>8</v>
      </c>
      <c r="D433" s="103" t="s">
        <v>1535</v>
      </c>
      <c r="E433" s="104">
        <f>FilterSpecs!$C$3</f>
        <v>5</v>
      </c>
      <c r="F433" s="103" t="s">
        <v>1536</v>
      </c>
      <c r="G433" s="103" t="s">
        <v>1537</v>
      </c>
      <c r="H433" s="103" t="s">
        <v>1538</v>
      </c>
      <c r="I433" s="103">
        <v>1</v>
      </c>
      <c r="J433" s="104">
        <v>1.5</v>
      </c>
      <c r="K433" s="103" t="s">
        <v>1910</v>
      </c>
      <c r="M433">
        <f t="shared" si="12"/>
        <v>7.5</v>
      </c>
      <c r="N433" s="103">
        <f t="shared" si="13"/>
        <v>429</v>
      </c>
    </row>
    <row r="434" spans="1:14" s="103" customFormat="1" x14ac:dyDescent="0.3">
      <c r="A434" s="102" t="s">
        <v>897</v>
      </c>
      <c r="B434" s="102" t="s">
        <v>1892</v>
      </c>
      <c r="C434" s="102" t="s">
        <v>8</v>
      </c>
      <c r="D434" s="103" t="s">
        <v>1539</v>
      </c>
      <c r="E434" s="104">
        <f>FilterSpecs!$C$3</f>
        <v>5</v>
      </c>
      <c r="F434" s="103" t="s">
        <v>1540</v>
      </c>
      <c r="G434" s="103" t="s">
        <v>1541</v>
      </c>
      <c r="H434" s="103" t="s">
        <v>1542</v>
      </c>
      <c r="I434" s="103">
        <v>1</v>
      </c>
      <c r="J434" s="104">
        <v>1.5</v>
      </c>
      <c r="K434" s="103" t="s">
        <v>1910</v>
      </c>
      <c r="M434">
        <f t="shared" si="12"/>
        <v>7.5</v>
      </c>
      <c r="N434" s="103">
        <f t="shared" si="13"/>
        <v>430</v>
      </c>
    </row>
    <row r="435" spans="1:14" s="103" customFormat="1" hidden="1" x14ac:dyDescent="0.3">
      <c r="A435" s="118" t="s">
        <v>897</v>
      </c>
      <c r="B435" s="118" t="s">
        <v>1892</v>
      </c>
      <c r="C435" s="118" t="s">
        <v>1898</v>
      </c>
      <c r="D435" s="118" t="s">
        <v>2481</v>
      </c>
      <c r="E435" s="119">
        <v>0</v>
      </c>
      <c r="F435" s="105"/>
      <c r="G435" s="105"/>
      <c r="H435" s="118" t="s">
        <v>2480</v>
      </c>
      <c r="I435" s="120">
        <v>116</v>
      </c>
      <c r="J435" s="119">
        <v>0.95</v>
      </c>
      <c r="K435" s="102" t="s">
        <v>1910</v>
      </c>
      <c r="L435" s="105"/>
      <c r="M435">
        <f t="shared" si="12"/>
        <v>0</v>
      </c>
      <c r="N435" s="103">
        <f t="shared" si="13"/>
        <v>431</v>
      </c>
    </row>
    <row r="436" spans="1:14" s="103" customFormat="1" hidden="1" x14ac:dyDescent="0.3">
      <c r="A436" s="102" t="s">
        <v>897</v>
      </c>
      <c r="B436" s="102" t="s">
        <v>1892</v>
      </c>
      <c r="C436" s="102" t="s">
        <v>8</v>
      </c>
      <c r="D436" s="103" t="s">
        <v>779</v>
      </c>
      <c r="E436" s="104">
        <v>0</v>
      </c>
      <c r="F436" s="103" t="s">
        <v>780</v>
      </c>
      <c r="G436" s="103" t="s">
        <v>781</v>
      </c>
      <c r="H436" s="103" t="s">
        <v>782</v>
      </c>
      <c r="I436" s="103">
        <v>1</v>
      </c>
      <c r="J436" s="104">
        <v>1</v>
      </c>
      <c r="K436" s="103" t="s">
        <v>1910</v>
      </c>
      <c r="M436">
        <f t="shared" si="12"/>
        <v>0</v>
      </c>
      <c r="N436" s="103">
        <f t="shared" si="13"/>
        <v>432</v>
      </c>
    </row>
    <row r="437" spans="1:14" s="103" customFormat="1" x14ac:dyDescent="0.3">
      <c r="A437" s="103" t="s">
        <v>897</v>
      </c>
      <c r="B437" s="103" t="s">
        <v>1892</v>
      </c>
      <c r="C437" s="103" t="s">
        <v>1898</v>
      </c>
      <c r="D437" s="103" t="s">
        <v>2165</v>
      </c>
      <c r="E437" s="104">
        <v>2</v>
      </c>
      <c r="H437" s="102" t="s">
        <v>2166</v>
      </c>
      <c r="I437" s="105"/>
      <c r="J437" s="111">
        <v>0.95</v>
      </c>
      <c r="K437" s="102" t="s">
        <v>1910</v>
      </c>
      <c r="L437" s="105"/>
      <c r="M437">
        <f t="shared" si="12"/>
        <v>1.9</v>
      </c>
      <c r="N437" s="103">
        <f t="shared" si="13"/>
        <v>433</v>
      </c>
    </row>
    <row r="438" spans="1:14" s="103" customFormat="1" x14ac:dyDescent="0.3">
      <c r="A438" s="103" t="s">
        <v>897</v>
      </c>
      <c r="B438" s="103" t="s">
        <v>1892</v>
      </c>
      <c r="C438" s="103" t="s">
        <v>1898</v>
      </c>
      <c r="D438" s="103" t="s">
        <v>2167</v>
      </c>
      <c r="E438" s="104">
        <v>1</v>
      </c>
      <c r="H438" s="102" t="s">
        <v>2168</v>
      </c>
      <c r="I438" s="105"/>
      <c r="J438" s="111">
        <v>3.95</v>
      </c>
      <c r="K438" s="102" t="s">
        <v>1910</v>
      </c>
      <c r="L438" s="105"/>
      <c r="M438">
        <f t="shared" si="12"/>
        <v>3.95</v>
      </c>
      <c r="N438" s="103">
        <f t="shared" si="13"/>
        <v>434</v>
      </c>
    </row>
    <row r="439" spans="1:14" s="103" customFormat="1" x14ac:dyDescent="0.3">
      <c r="A439" s="102" t="s">
        <v>897</v>
      </c>
      <c r="B439" s="102" t="s">
        <v>1890</v>
      </c>
      <c r="C439" s="102" t="s">
        <v>8</v>
      </c>
      <c r="D439" s="103" t="s">
        <v>823</v>
      </c>
      <c r="E439" s="104">
        <f>3*FilterSpecs!$C$3</f>
        <v>15</v>
      </c>
      <c r="F439" s="103" t="s">
        <v>824</v>
      </c>
      <c r="G439" s="103" t="s">
        <v>825</v>
      </c>
      <c r="H439" s="103" t="s">
        <v>826</v>
      </c>
      <c r="I439" s="103">
        <v>1</v>
      </c>
      <c r="J439" s="104">
        <v>1.95</v>
      </c>
      <c r="K439" s="103" t="s">
        <v>1910</v>
      </c>
      <c r="M439">
        <f t="shared" si="12"/>
        <v>29.25</v>
      </c>
      <c r="N439" s="103">
        <f t="shared" si="13"/>
        <v>435</v>
      </c>
    </row>
    <row r="440" spans="1:14" s="103" customFormat="1" hidden="1" x14ac:dyDescent="0.3">
      <c r="A440" s="102" t="s">
        <v>897</v>
      </c>
      <c r="B440" s="102" t="s">
        <v>1890</v>
      </c>
      <c r="C440" s="102" t="s">
        <v>8</v>
      </c>
      <c r="D440" s="103" t="s">
        <v>819</v>
      </c>
      <c r="E440" s="104">
        <v>0</v>
      </c>
      <c r="F440" s="103" t="s">
        <v>820</v>
      </c>
      <c r="G440" s="103" t="s">
        <v>821</v>
      </c>
      <c r="H440" s="103" t="s">
        <v>822</v>
      </c>
      <c r="I440" s="103">
        <v>1</v>
      </c>
      <c r="J440" s="104">
        <v>0.95</v>
      </c>
      <c r="K440" s="103" t="s">
        <v>1910</v>
      </c>
      <c r="M440">
        <f t="shared" si="12"/>
        <v>0</v>
      </c>
      <c r="N440" s="103">
        <f t="shared" si="13"/>
        <v>436</v>
      </c>
    </row>
    <row r="441" spans="1:14" s="12" customFormat="1" x14ac:dyDescent="0.3">
      <c r="A441" s="86" t="s">
        <v>897</v>
      </c>
      <c r="B441" s="86" t="s">
        <v>2025</v>
      </c>
      <c r="C441" s="86" t="s">
        <v>1898</v>
      </c>
      <c r="D441" s="86" t="s">
        <v>2205</v>
      </c>
      <c r="E441" s="89">
        <v>3</v>
      </c>
      <c r="H441" s="82" t="s">
        <v>2206</v>
      </c>
      <c r="I441"/>
      <c r="J441" s="95">
        <v>1.95</v>
      </c>
      <c r="K441" s="82" t="s">
        <v>1910</v>
      </c>
      <c r="L441"/>
      <c r="M441">
        <f t="shared" si="12"/>
        <v>5.85</v>
      </c>
      <c r="N441" s="12">
        <f t="shared" si="13"/>
        <v>437</v>
      </c>
    </row>
    <row r="442" spans="1:14" s="12" customFormat="1" x14ac:dyDescent="0.3">
      <c r="A442" s="86" t="s">
        <v>897</v>
      </c>
      <c r="B442" s="86" t="s">
        <v>2025</v>
      </c>
      <c r="C442" s="86" t="s">
        <v>1898</v>
      </c>
      <c r="D442" s="86" t="s">
        <v>2195</v>
      </c>
      <c r="E442" s="89">
        <v>1</v>
      </c>
      <c r="H442" s="82" t="s">
        <v>2196</v>
      </c>
      <c r="I442"/>
      <c r="J442" s="95">
        <v>3.95</v>
      </c>
      <c r="K442" s="82" t="s">
        <v>1910</v>
      </c>
      <c r="L442"/>
      <c r="M442">
        <f t="shared" si="12"/>
        <v>3.95</v>
      </c>
      <c r="N442" s="12">
        <f t="shared" si="13"/>
        <v>438</v>
      </c>
    </row>
    <row r="443" spans="1:14" s="12" customFormat="1" x14ac:dyDescent="0.3">
      <c r="A443" s="86" t="s">
        <v>897</v>
      </c>
      <c r="B443" s="86" t="s">
        <v>2025</v>
      </c>
      <c r="C443" s="86" t="s">
        <v>1898</v>
      </c>
      <c r="D443" s="86" t="s">
        <v>2203</v>
      </c>
      <c r="E443" s="89">
        <v>2</v>
      </c>
      <c r="H443" s="82" t="s">
        <v>2204</v>
      </c>
      <c r="I443"/>
      <c r="J443" s="95">
        <v>1.95</v>
      </c>
      <c r="K443" s="82" t="s">
        <v>1910</v>
      </c>
      <c r="L443"/>
      <c r="M443">
        <f t="shared" si="12"/>
        <v>3.9</v>
      </c>
      <c r="N443" s="12">
        <f t="shared" si="13"/>
        <v>439</v>
      </c>
    </row>
    <row r="444" spans="1:14" s="12" customFormat="1" x14ac:dyDescent="0.3">
      <c r="A444" s="86" t="s">
        <v>897</v>
      </c>
      <c r="B444" s="86" t="s">
        <v>2025</v>
      </c>
      <c r="C444" s="86" t="s">
        <v>1898</v>
      </c>
      <c r="D444" s="86" t="s">
        <v>2197</v>
      </c>
      <c r="E444" s="89">
        <v>1</v>
      </c>
      <c r="H444" s="82" t="s">
        <v>2198</v>
      </c>
      <c r="I444"/>
      <c r="J444" s="95">
        <v>2.95</v>
      </c>
      <c r="K444" s="82" t="s">
        <v>1910</v>
      </c>
      <c r="L444"/>
      <c r="M444">
        <f t="shared" si="12"/>
        <v>2.95</v>
      </c>
      <c r="N444" s="12">
        <f t="shared" si="13"/>
        <v>440</v>
      </c>
    </row>
    <row r="445" spans="1:14" s="12" customFormat="1" x14ac:dyDescent="0.3">
      <c r="A445" s="86" t="s">
        <v>897</v>
      </c>
      <c r="B445" s="86" t="s">
        <v>2025</v>
      </c>
      <c r="C445" s="86" t="s">
        <v>1898</v>
      </c>
      <c r="D445" s="86" t="s">
        <v>2199</v>
      </c>
      <c r="E445" s="89">
        <f>FilterSpecs!$C$3</f>
        <v>5</v>
      </c>
      <c r="H445" s="82" t="s">
        <v>2200</v>
      </c>
      <c r="I445"/>
      <c r="J445" s="95">
        <v>2.95</v>
      </c>
      <c r="K445" s="82" t="s">
        <v>1910</v>
      </c>
      <c r="L445"/>
      <c r="M445">
        <f t="shared" si="12"/>
        <v>14.75</v>
      </c>
      <c r="N445" s="12">
        <f t="shared" si="13"/>
        <v>441</v>
      </c>
    </row>
    <row r="446" spans="1:14" s="12" customFormat="1" x14ac:dyDescent="0.3">
      <c r="A446" s="86" t="s">
        <v>897</v>
      </c>
      <c r="B446" s="86" t="s">
        <v>2025</v>
      </c>
      <c r="C446" s="86" t="s">
        <v>1898</v>
      </c>
      <c r="D446" s="86" t="s">
        <v>2201</v>
      </c>
      <c r="E446" s="89">
        <f>FilterSpecs!$C$3</f>
        <v>5</v>
      </c>
      <c r="H446" s="82" t="s">
        <v>2202</v>
      </c>
      <c r="I446"/>
      <c r="J446" s="95">
        <v>3.95</v>
      </c>
      <c r="K446" s="82" t="s">
        <v>1910</v>
      </c>
      <c r="L446"/>
      <c r="M446">
        <f t="shared" si="12"/>
        <v>19.75</v>
      </c>
      <c r="N446" s="12">
        <f t="shared" si="13"/>
        <v>442</v>
      </c>
    </row>
    <row r="447" spans="1:14" s="12" customFormat="1" hidden="1" x14ac:dyDescent="0.3">
      <c r="A447" s="82" t="s">
        <v>897</v>
      </c>
      <c r="B447" s="82" t="s">
        <v>2434</v>
      </c>
      <c r="C447" s="82" t="s">
        <v>8</v>
      </c>
      <c r="D447" s="86" t="s">
        <v>595</v>
      </c>
      <c r="E447" s="89">
        <v>0</v>
      </c>
      <c r="F447" s="12" t="s">
        <v>596</v>
      </c>
      <c r="G447" s="12" t="s">
        <v>597</v>
      </c>
      <c r="H447" s="86" t="s">
        <v>598</v>
      </c>
      <c r="I447" s="12">
        <v>1</v>
      </c>
      <c r="J447" s="89">
        <v>0.95</v>
      </c>
      <c r="K447" s="86" t="s">
        <v>1910</v>
      </c>
      <c r="L447" s="12" t="s">
        <v>2399</v>
      </c>
      <c r="M447">
        <f t="shared" si="12"/>
        <v>0</v>
      </c>
      <c r="N447" s="12">
        <f t="shared" si="13"/>
        <v>443</v>
      </c>
    </row>
    <row r="448" spans="1:14" s="12" customFormat="1" hidden="1" x14ac:dyDescent="0.3">
      <c r="A448" s="82" t="s">
        <v>897</v>
      </c>
      <c r="B448" s="82" t="s">
        <v>2434</v>
      </c>
      <c r="C448" s="82" t="s">
        <v>8</v>
      </c>
      <c r="D448" s="86" t="s">
        <v>591</v>
      </c>
      <c r="E448" s="89">
        <v>0</v>
      </c>
      <c r="F448" s="12" t="s">
        <v>592</v>
      </c>
      <c r="G448" s="12" t="s">
        <v>593</v>
      </c>
      <c r="H448" s="86" t="s">
        <v>594</v>
      </c>
      <c r="I448" s="12">
        <v>1</v>
      </c>
      <c r="J448" s="89">
        <v>0.95</v>
      </c>
      <c r="K448" s="86" t="s">
        <v>1910</v>
      </c>
      <c r="L448" s="12" t="s">
        <v>2399</v>
      </c>
      <c r="M448">
        <f t="shared" si="12"/>
        <v>0</v>
      </c>
      <c r="N448" s="12">
        <f t="shared" si="13"/>
        <v>444</v>
      </c>
    </row>
    <row r="449" spans="1:14" s="12" customFormat="1" x14ac:dyDescent="0.3">
      <c r="A449" s="82" t="s">
        <v>897</v>
      </c>
      <c r="B449" s="82" t="s">
        <v>2434</v>
      </c>
      <c r="C449" s="82" t="s">
        <v>8</v>
      </c>
      <c r="D449" s="86" t="s">
        <v>511</v>
      </c>
      <c r="E449" s="89">
        <f>2*FilterSpecs!$C$3</f>
        <v>10</v>
      </c>
      <c r="F449" s="12" t="s">
        <v>512</v>
      </c>
      <c r="G449" s="12" t="s">
        <v>513</v>
      </c>
      <c r="H449" s="86" t="s">
        <v>514</v>
      </c>
      <c r="I449" s="12">
        <v>1</v>
      </c>
      <c r="J449" s="89">
        <v>0.95</v>
      </c>
      <c r="K449" s="86" t="s">
        <v>1911</v>
      </c>
      <c r="L449" s="12" t="s">
        <v>2399</v>
      </c>
      <c r="M449">
        <f t="shared" si="12"/>
        <v>9.5</v>
      </c>
      <c r="N449" s="12">
        <f t="shared" si="13"/>
        <v>445</v>
      </c>
    </row>
    <row r="450" spans="1:14" s="12" customFormat="1" x14ac:dyDescent="0.3">
      <c r="A450" s="82" t="s">
        <v>897</v>
      </c>
      <c r="B450" s="82" t="s">
        <v>2434</v>
      </c>
      <c r="C450" s="82" t="s">
        <v>8</v>
      </c>
      <c r="D450" s="86" t="s">
        <v>1353</v>
      </c>
      <c r="E450" s="89">
        <f>FilterSpecs!$C$3</f>
        <v>5</v>
      </c>
      <c r="F450" s="12" t="s">
        <v>1354</v>
      </c>
      <c r="G450" s="12" t="s">
        <v>1355</v>
      </c>
      <c r="H450" s="86" t="s">
        <v>1356</v>
      </c>
      <c r="I450" s="12">
        <v>1</v>
      </c>
      <c r="J450" s="89">
        <v>1.5</v>
      </c>
      <c r="K450" s="86" t="s">
        <v>1911</v>
      </c>
      <c r="L450" s="12" t="s">
        <v>2399</v>
      </c>
      <c r="M450">
        <f t="shared" si="12"/>
        <v>7.5</v>
      </c>
      <c r="N450" s="12">
        <f t="shared" si="13"/>
        <v>446</v>
      </c>
    </row>
    <row r="451" spans="1:14" s="12" customFormat="1" x14ac:dyDescent="0.3">
      <c r="A451" s="82" t="s">
        <v>897</v>
      </c>
      <c r="B451" s="82" t="s">
        <v>2434</v>
      </c>
      <c r="C451" s="82" t="s">
        <v>8</v>
      </c>
      <c r="D451" s="86" t="s">
        <v>485</v>
      </c>
      <c r="E451" s="89">
        <f>2*FilterSpecs!$C$3</f>
        <v>10</v>
      </c>
      <c r="F451" s="12" t="s">
        <v>486</v>
      </c>
      <c r="G451" s="12" t="s">
        <v>487</v>
      </c>
      <c r="H451" s="86" t="s">
        <v>488</v>
      </c>
      <c r="J451" s="89">
        <v>1.5</v>
      </c>
      <c r="K451" s="86" t="s">
        <v>1911</v>
      </c>
      <c r="L451" s="12" t="s">
        <v>2399</v>
      </c>
      <c r="M451">
        <f t="shared" si="12"/>
        <v>15</v>
      </c>
      <c r="N451" s="12">
        <f t="shared" si="13"/>
        <v>447</v>
      </c>
    </row>
    <row r="452" spans="1:14" s="12" customFormat="1" x14ac:dyDescent="0.3">
      <c r="A452" s="86" t="s">
        <v>897</v>
      </c>
      <c r="B452" s="86" t="s">
        <v>2434</v>
      </c>
      <c r="C452" s="86" t="s">
        <v>1898</v>
      </c>
      <c r="D452" s="86" t="s">
        <v>2209</v>
      </c>
      <c r="E452" s="89">
        <f>FilterSpecs!$C$3</f>
        <v>5</v>
      </c>
      <c r="H452" s="82" t="s">
        <v>2210</v>
      </c>
      <c r="I452"/>
      <c r="J452" s="95">
        <v>2.95</v>
      </c>
      <c r="K452" s="82" t="s">
        <v>1911</v>
      </c>
      <c r="L452" t="s">
        <v>2399</v>
      </c>
      <c r="M452">
        <f t="shared" si="12"/>
        <v>14.75</v>
      </c>
      <c r="N452" s="12">
        <f t="shared" si="13"/>
        <v>448</v>
      </c>
    </row>
    <row r="453" spans="1:14" s="12" customFormat="1" hidden="1" x14ac:dyDescent="0.3">
      <c r="A453" s="86" t="s">
        <v>897</v>
      </c>
      <c r="B453" s="86" t="s">
        <v>2434</v>
      </c>
      <c r="C453" s="86" t="s">
        <v>1898</v>
      </c>
      <c r="D453" s="86" t="s">
        <v>2211</v>
      </c>
      <c r="E453" s="89">
        <v>0</v>
      </c>
      <c r="H453" s="82" t="s">
        <v>2212</v>
      </c>
      <c r="I453"/>
      <c r="J453" s="95">
        <v>0.75</v>
      </c>
      <c r="K453" s="82" t="s">
        <v>1910</v>
      </c>
      <c r="L453" t="s">
        <v>2399</v>
      </c>
      <c r="M453">
        <f t="shared" ref="M453:M516" si="14">E453*J453</f>
        <v>0</v>
      </c>
      <c r="N453" s="12">
        <f t="shared" ref="N453:N516" si="15">IF($N452="List #",1,$N452+1)</f>
        <v>449</v>
      </c>
    </row>
    <row r="454" spans="1:14" s="12" customFormat="1" x14ac:dyDescent="0.3">
      <c r="A454" s="82" t="s">
        <v>897</v>
      </c>
      <c r="B454" s="82" t="s">
        <v>2435</v>
      </c>
      <c r="C454" s="82" t="s">
        <v>8</v>
      </c>
      <c r="D454" s="86" t="s">
        <v>1819</v>
      </c>
      <c r="E454" s="89">
        <f>FilterSpecs!$C$3</f>
        <v>5</v>
      </c>
      <c r="F454" s="12" t="s">
        <v>1820</v>
      </c>
      <c r="G454" s="12" t="s">
        <v>1821</v>
      </c>
      <c r="H454" s="86" t="s">
        <v>1822</v>
      </c>
      <c r="J454" s="89">
        <v>1.5</v>
      </c>
      <c r="K454" s="86" t="s">
        <v>1911</v>
      </c>
      <c r="L454" s="12" t="s">
        <v>2398</v>
      </c>
      <c r="M454">
        <f t="shared" si="14"/>
        <v>7.5</v>
      </c>
      <c r="N454" s="12">
        <f t="shared" si="15"/>
        <v>450</v>
      </c>
    </row>
    <row r="455" spans="1:14" s="12" customFormat="1" hidden="1" x14ac:dyDescent="0.3">
      <c r="A455" s="82" t="s">
        <v>897</v>
      </c>
      <c r="B455" s="82" t="s">
        <v>2435</v>
      </c>
      <c r="C455" s="82" t="s">
        <v>8</v>
      </c>
      <c r="D455" s="86" t="s">
        <v>1811</v>
      </c>
      <c r="E455" s="89">
        <v>0</v>
      </c>
      <c r="F455" s="12" t="s">
        <v>1812</v>
      </c>
      <c r="G455" s="12" t="s">
        <v>1813</v>
      </c>
      <c r="H455" s="86" t="s">
        <v>1814</v>
      </c>
      <c r="J455" s="89">
        <v>2.95</v>
      </c>
      <c r="K455" s="86" t="s">
        <v>1910</v>
      </c>
      <c r="L455" s="12" t="s">
        <v>2398</v>
      </c>
      <c r="M455">
        <f t="shared" si="14"/>
        <v>0</v>
      </c>
      <c r="N455" s="12">
        <f t="shared" si="15"/>
        <v>451</v>
      </c>
    </row>
    <row r="456" spans="1:14" s="12" customFormat="1" hidden="1" x14ac:dyDescent="0.3">
      <c r="A456" s="82" t="s">
        <v>897</v>
      </c>
      <c r="B456" s="82" t="s">
        <v>2435</v>
      </c>
      <c r="C456" s="82" t="s">
        <v>8</v>
      </c>
      <c r="D456" s="86" t="s">
        <v>1803</v>
      </c>
      <c r="E456" s="89">
        <v>0</v>
      </c>
      <c r="F456" s="12" t="s">
        <v>1804</v>
      </c>
      <c r="G456" s="12" t="s">
        <v>1805</v>
      </c>
      <c r="H456" s="86" t="s">
        <v>1806</v>
      </c>
      <c r="J456" s="89">
        <v>1.5</v>
      </c>
      <c r="K456" s="86" t="s">
        <v>1910</v>
      </c>
      <c r="L456" s="12" t="s">
        <v>2398</v>
      </c>
      <c r="M456">
        <f t="shared" si="14"/>
        <v>0</v>
      </c>
      <c r="N456" s="12">
        <f t="shared" si="15"/>
        <v>452</v>
      </c>
    </row>
    <row r="457" spans="1:14" s="12" customFormat="1" hidden="1" x14ac:dyDescent="0.3">
      <c r="A457" s="82" t="s">
        <v>897</v>
      </c>
      <c r="B457" s="82" t="s">
        <v>2435</v>
      </c>
      <c r="C457" s="82" t="s">
        <v>8</v>
      </c>
      <c r="D457" s="86" t="s">
        <v>1815</v>
      </c>
      <c r="E457" s="89">
        <v>0</v>
      </c>
      <c r="F457" s="12" t="s">
        <v>1816</v>
      </c>
      <c r="G457" s="12" t="s">
        <v>1817</v>
      </c>
      <c r="H457" s="86" t="s">
        <v>1818</v>
      </c>
      <c r="I457" s="12">
        <v>1</v>
      </c>
      <c r="J457" s="89">
        <v>2.95</v>
      </c>
      <c r="K457" s="86" t="s">
        <v>1910</v>
      </c>
      <c r="L457" s="12" t="s">
        <v>2398</v>
      </c>
      <c r="M457">
        <f t="shared" si="14"/>
        <v>0</v>
      </c>
      <c r="N457" s="12">
        <f t="shared" si="15"/>
        <v>453</v>
      </c>
    </row>
    <row r="458" spans="1:14" s="12" customFormat="1" hidden="1" x14ac:dyDescent="0.3">
      <c r="A458" s="82" t="s">
        <v>897</v>
      </c>
      <c r="B458" s="82" t="s">
        <v>2435</v>
      </c>
      <c r="C458" s="82" t="s">
        <v>8</v>
      </c>
      <c r="D458" s="86" t="s">
        <v>2430</v>
      </c>
      <c r="E458" s="89">
        <v>0</v>
      </c>
      <c r="F458" s="12" t="s">
        <v>2431</v>
      </c>
      <c r="G458" s="12" t="s">
        <v>2432</v>
      </c>
      <c r="H458" s="86" t="s">
        <v>2433</v>
      </c>
      <c r="I458" s="12">
        <v>1</v>
      </c>
      <c r="J458" s="89">
        <v>0.95</v>
      </c>
      <c r="K458" s="82" t="s">
        <v>1910</v>
      </c>
      <c r="L458" t="s">
        <v>2398</v>
      </c>
      <c r="M458">
        <f t="shared" si="14"/>
        <v>0</v>
      </c>
      <c r="N458" s="12">
        <f t="shared" si="15"/>
        <v>454</v>
      </c>
    </row>
    <row r="459" spans="1:14" s="12" customFormat="1" hidden="1" x14ac:dyDescent="0.3">
      <c r="A459" s="86" t="s">
        <v>897</v>
      </c>
      <c r="B459" s="86" t="s">
        <v>2436</v>
      </c>
      <c r="C459" s="86" t="s">
        <v>1898</v>
      </c>
      <c r="D459" s="86" t="s">
        <v>2207</v>
      </c>
      <c r="E459" s="89">
        <v>0</v>
      </c>
      <c r="H459" s="82" t="s">
        <v>2208</v>
      </c>
      <c r="I459"/>
      <c r="J459" s="95">
        <v>1.5</v>
      </c>
      <c r="K459" s="82" t="s">
        <v>1913</v>
      </c>
      <c r="L459" t="s">
        <v>2399</v>
      </c>
      <c r="M459">
        <f t="shared" si="14"/>
        <v>0</v>
      </c>
      <c r="N459" s="12">
        <f t="shared" si="15"/>
        <v>455</v>
      </c>
    </row>
    <row r="460" spans="1:14" s="12" customFormat="1" x14ac:dyDescent="0.3">
      <c r="A460" s="82" t="s">
        <v>897</v>
      </c>
      <c r="B460" s="82" t="s">
        <v>1611</v>
      </c>
      <c r="C460" s="82" t="s">
        <v>8</v>
      </c>
      <c r="D460" s="86" t="s">
        <v>519</v>
      </c>
      <c r="E460" s="89">
        <f>FilterSpecs!$C$3+1</f>
        <v>6</v>
      </c>
      <c r="F460" s="12" t="s">
        <v>520</v>
      </c>
      <c r="G460" s="12" t="s">
        <v>521</v>
      </c>
      <c r="H460" s="86" t="s">
        <v>522</v>
      </c>
      <c r="I460" s="12">
        <v>1</v>
      </c>
      <c r="J460" s="89">
        <v>1.5</v>
      </c>
      <c r="K460" s="86" t="s">
        <v>1911</v>
      </c>
      <c r="L460" s="12" t="s">
        <v>2399</v>
      </c>
      <c r="M460">
        <f t="shared" si="14"/>
        <v>9</v>
      </c>
      <c r="N460" s="12">
        <f t="shared" si="15"/>
        <v>456</v>
      </c>
    </row>
    <row r="461" spans="1:14" s="12" customFormat="1" hidden="1" x14ac:dyDescent="0.3">
      <c r="A461" s="82" t="s">
        <v>897</v>
      </c>
      <c r="B461" s="82" t="s">
        <v>1611</v>
      </c>
      <c r="C461" s="82" t="s">
        <v>8</v>
      </c>
      <c r="D461" s="86" t="s">
        <v>583</v>
      </c>
      <c r="E461" s="89">
        <v>0</v>
      </c>
      <c r="F461" s="12" t="s">
        <v>584</v>
      </c>
      <c r="G461" s="12" t="s">
        <v>585</v>
      </c>
      <c r="H461" s="86" t="s">
        <v>586</v>
      </c>
      <c r="I461" s="12">
        <v>1</v>
      </c>
      <c r="J461" s="89">
        <v>1.5</v>
      </c>
      <c r="K461" s="86" t="s">
        <v>1910</v>
      </c>
      <c r="L461" s="12" t="s">
        <v>2399</v>
      </c>
      <c r="M461">
        <f t="shared" si="14"/>
        <v>0</v>
      </c>
      <c r="N461" s="12">
        <f t="shared" si="15"/>
        <v>457</v>
      </c>
    </row>
    <row r="462" spans="1:14" s="12" customFormat="1" hidden="1" x14ac:dyDescent="0.3">
      <c r="A462" s="82" t="s">
        <v>897</v>
      </c>
      <c r="B462" s="82" t="s">
        <v>1611</v>
      </c>
      <c r="C462" s="82" t="s">
        <v>8</v>
      </c>
      <c r="D462" s="86" t="s">
        <v>1751</v>
      </c>
      <c r="E462" s="89">
        <v>0</v>
      </c>
      <c r="F462" s="12" t="s">
        <v>1752</v>
      </c>
      <c r="G462" s="12" t="s">
        <v>1753</v>
      </c>
      <c r="H462" s="86" t="s">
        <v>1754</v>
      </c>
      <c r="I462" s="12">
        <v>1</v>
      </c>
      <c r="J462" s="89">
        <v>1.5</v>
      </c>
      <c r="K462" s="86" t="s">
        <v>1910</v>
      </c>
      <c r="L462" s="12" t="s">
        <v>2399</v>
      </c>
      <c r="M462">
        <f t="shared" si="14"/>
        <v>0</v>
      </c>
      <c r="N462" s="12">
        <f t="shared" si="15"/>
        <v>458</v>
      </c>
    </row>
    <row r="463" spans="1:14" s="12" customFormat="1" hidden="1" x14ac:dyDescent="0.3">
      <c r="A463" s="112" t="s">
        <v>897</v>
      </c>
      <c r="B463" s="112" t="s">
        <v>1611</v>
      </c>
      <c r="C463" s="112" t="s">
        <v>1898</v>
      </c>
      <c r="D463" s="112" t="s">
        <v>2463</v>
      </c>
      <c r="E463" s="114">
        <v>0</v>
      </c>
      <c r="F463"/>
      <c r="G463"/>
      <c r="H463" s="112" t="s">
        <v>2462</v>
      </c>
      <c r="I463" s="113">
        <v>107</v>
      </c>
      <c r="J463" s="114">
        <v>1.95</v>
      </c>
      <c r="K463" s="51" t="s">
        <v>1910</v>
      </c>
      <c r="L463"/>
      <c r="M463">
        <f t="shared" si="14"/>
        <v>0</v>
      </c>
      <c r="N463" s="12">
        <f t="shared" si="15"/>
        <v>459</v>
      </c>
    </row>
    <row r="464" spans="1:14" s="12" customFormat="1" hidden="1" x14ac:dyDescent="0.3">
      <c r="A464" s="112" t="s">
        <v>897</v>
      </c>
      <c r="B464" s="112" t="s">
        <v>2436</v>
      </c>
      <c r="C464" s="112" t="s">
        <v>1898</v>
      </c>
      <c r="D464" s="112" t="s">
        <v>2450</v>
      </c>
      <c r="E464" s="114">
        <v>0</v>
      </c>
      <c r="F464"/>
      <c r="G464"/>
      <c r="H464" s="112" t="s">
        <v>2449</v>
      </c>
      <c r="I464" s="113">
        <v>100</v>
      </c>
      <c r="J464" s="114">
        <v>0.75</v>
      </c>
      <c r="K464" s="51" t="s">
        <v>1910</v>
      </c>
      <c r="L464"/>
      <c r="M464">
        <f t="shared" si="14"/>
        <v>0</v>
      </c>
      <c r="N464" s="12">
        <f t="shared" si="15"/>
        <v>460</v>
      </c>
    </row>
    <row r="465" spans="1:14" s="12" customFormat="1" hidden="1" x14ac:dyDescent="0.3">
      <c r="A465" s="112" t="s">
        <v>897</v>
      </c>
      <c r="B465" s="112" t="s">
        <v>2434</v>
      </c>
      <c r="C465" s="112" t="s">
        <v>1898</v>
      </c>
      <c r="D465" s="112" t="s">
        <v>2452</v>
      </c>
      <c r="E465" s="114">
        <v>0</v>
      </c>
      <c r="F465"/>
      <c r="G465"/>
      <c r="H465" s="112" t="s">
        <v>2451</v>
      </c>
      <c r="I465" s="113">
        <v>101</v>
      </c>
      <c r="J465" s="114">
        <v>0.75</v>
      </c>
      <c r="K465" s="51" t="s">
        <v>1910</v>
      </c>
      <c r="L465"/>
      <c r="M465">
        <f t="shared" si="14"/>
        <v>0</v>
      </c>
      <c r="N465" s="12">
        <f t="shared" si="15"/>
        <v>461</v>
      </c>
    </row>
    <row r="466" spans="1:14" s="12" customFormat="1" hidden="1" x14ac:dyDescent="0.3">
      <c r="A466" s="112" t="s">
        <v>897</v>
      </c>
      <c r="B466" s="112" t="s">
        <v>2434</v>
      </c>
      <c r="C466" s="112" t="s">
        <v>1898</v>
      </c>
      <c r="D466" s="112" t="s">
        <v>2146</v>
      </c>
      <c r="E466" s="114">
        <v>0</v>
      </c>
      <c r="F466"/>
      <c r="G466"/>
      <c r="H466" s="112" t="s">
        <v>2453</v>
      </c>
      <c r="I466" s="113">
        <v>102</v>
      </c>
      <c r="J466" s="114">
        <v>0.75</v>
      </c>
      <c r="K466" s="51" t="s">
        <v>1910</v>
      </c>
      <c r="L466"/>
      <c r="M466">
        <f t="shared" si="14"/>
        <v>0</v>
      </c>
      <c r="N466" s="12">
        <f t="shared" si="15"/>
        <v>462</v>
      </c>
    </row>
    <row r="467" spans="1:14" s="12" customFormat="1" x14ac:dyDescent="0.3">
      <c r="A467" s="82" t="s">
        <v>897</v>
      </c>
      <c r="B467" s="82" t="s">
        <v>1883</v>
      </c>
      <c r="C467" s="82" t="s">
        <v>8</v>
      </c>
      <c r="D467" s="86" t="s">
        <v>1755</v>
      </c>
      <c r="E467" s="89">
        <f>2*FilterSpecs!$C$3</f>
        <v>10</v>
      </c>
      <c r="F467" s="12" t="s">
        <v>1756</v>
      </c>
      <c r="G467" s="12" t="s">
        <v>1757</v>
      </c>
      <c r="H467" s="86" t="s">
        <v>1758</v>
      </c>
      <c r="J467" s="89">
        <v>0.95</v>
      </c>
      <c r="K467" s="86" t="s">
        <v>1910</v>
      </c>
      <c r="M467">
        <f t="shared" si="14"/>
        <v>9.5</v>
      </c>
      <c r="N467" s="12">
        <f t="shared" si="15"/>
        <v>463</v>
      </c>
    </row>
    <row r="468" spans="1:14" s="12" customFormat="1" x14ac:dyDescent="0.3">
      <c r="A468" s="82" t="s">
        <v>897</v>
      </c>
      <c r="B468" s="82" t="s">
        <v>1883</v>
      </c>
      <c r="C468" s="82" t="s">
        <v>8</v>
      </c>
      <c r="D468" s="86" t="s">
        <v>1767</v>
      </c>
      <c r="E468" s="89">
        <f>2*FilterSpecs!$C$3</f>
        <v>10</v>
      </c>
      <c r="F468" s="12" t="s">
        <v>1768</v>
      </c>
      <c r="G468" s="12" t="s">
        <v>1769</v>
      </c>
      <c r="H468" s="86" t="s">
        <v>1770</v>
      </c>
      <c r="I468" s="12">
        <v>1</v>
      </c>
      <c r="J468" s="89">
        <v>1.95</v>
      </c>
      <c r="K468" s="86" t="s">
        <v>1910</v>
      </c>
      <c r="M468">
        <f t="shared" si="14"/>
        <v>19.5</v>
      </c>
      <c r="N468" s="12">
        <f t="shared" si="15"/>
        <v>464</v>
      </c>
    </row>
    <row r="469" spans="1:14" s="12" customFormat="1" hidden="1" x14ac:dyDescent="0.3">
      <c r="A469" s="82" t="s">
        <v>897</v>
      </c>
      <c r="B469" s="82" t="s">
        <v>1608</v>
      </c>
      <c r="C469" s="82" t="s">
        <v>8</v>
      </c>
      <c r="D469" s="86" t="s">
        <v>469</v>
      </c>
      <c r="E469" s="89">
        <v>0</v>
      </c>
      <c r="F469" s="12" t="s">
        <v>470</v>
      </c>
      <c r="G469" s="12" t="s">
        <v>471</v>
      </c>
      <c r="H469" s="86" t="s">
        <v>472</v>
      </c>
      <c r="I469" s="12">
        <v>1</v>
      </c>
      <c r="J469" s="89">
        <v>1.5</v>
      </c>
      <c r="K469" s="86" t="s">
        <v>1910</v>
      </c>
      <c r="M469">
        <f t="shared" si="14"/>
        <v>0</v>
      </c>
      <c r="N469" s="12">
        <f t="shared" si="15"/>
        <v>465</v>
      </c>
    </row>
    <row r="470" spans="1:14" s="12" customFormat="1" hidden="1" x14ac:dyDescent="0.3">
      <c r="A470" s="82" t="s">
        <v>897</v>
      </c>
      <c r="B470" s="82" t="s">
        <v>1608</v>
      </c>
      <c r="C470" s="82" t="s">
        <v>8</v>
      </c>
      <c r="D470" s="86" t="s">
        <v>465</v>
      </c>
      <c r="E470" s="89">
        <v>0</v>
      </c>
      <c r="F470" s="12" t="s">
        <v>466</v>
      </c>
      <c r="G470" s="12" t="s">
        <v>467</v>
      </c>
      <c r="H470" s="86" t="s">
        <v>468</v>
      </c>
      <c r="I470" s="12">
        <v>1</v>
      </c>
      <c r="J470" s="89">
        <v>0.95</v>
      </c>
      <c r="K470" s="86" t="s">
        <v>1910</v>
      </c>
      <c r="M470">
        <f t="shared" si="14"/>
        <v>0</v>
      </c>
      <c r="N470" s="12">
        <f t="shared" si="15"/>
        <v>466</v>
      </c>
    </row>
    <row r="471" spans="1:14" s="12" customFormat="1" hidden="1" x14ac:dyDescent="0.3">
      <c r="A471" s="82" t="s">
        <v>897</v>
      </c>
      <c r="B471" s="82" t="s">
        <v>1608</v>
      </c>
      <c r="C471" s="82" t="s">
        <v>8</v>
      </c>
      <c r="D471" s="86" t="s">
        <v>587</v>
      </c>
      <c r="E471" s="89">
        <v>0</v>
      </c>
      <c r="F471" s="12" t="s">
        <v>588</v>
      </c>
      <c r="G471" s="12" t="s">
        <v>589</v>
      </c>
      <c r="H471" s="86" t="s">
        <v>590</v>
      </c>
      <c r="J471" s="89">
        <v>1.5</v>
      </c>
      <c r="K471" s="86" t="s">
        <v>1910</v>
      </c>
      <c r="M471">
        <f t="shared" si="14"/>
        <v>0</v>
      </c>
      <c r="N471" s="12">
        <f t="shared" si="15"/>
        <v>467</v>
      </c>
    </row>
    <row r="472" spans="1:14" s="12" customFormat="1" hidden="1" x14ac:dyDescent="0.3">
      <c r="A472" s="82" t="s">
        <v>897</v>
      </c>
      <c r="B472" s="82" t="s">
        <v>1608</v>
      </c>
      <c r="C472" s="82" t="s">
        <v>8</v>
      </c>
      <c r="D472" s="86" t="s">
        <v>575</v>
      </c>
      <c r="E472" s="89">
        <v>0</v>
      </c>
      <c r="F472" s="12" t="s">
        <v>576</v>
      </c>
      <c r="G472" s="12" t="s">
        <v>577</v>
      </c>
      <c r="H472" s="86" t="s">
        <v>578</v>
      </c>
      <c r="J472" s="89">
        <v>1.95</v>
      </c>
      <c r="K472" s="86" t="s">
        <v>1910</v>
      </c>
      <c r="M472">
        <f t="shared" si="14"/>
        <v>0</v>
      </c>
      <c r="N472" s="12">
        <f t="shared" si="15"/>
        <v>468</v>
      </c>
    </row>
    <row r="473" spans="1:14" s="12" customFormat="1" hidden="1" x14ac:dyDescent="0.3">
      <c r="A473" s="82" t="s">
        <v>897</v>
      </c>
      <c r="B473" s="82" t="s">
        <v>1608</v>
      </c>
      <c r="C473" s="82" t="s">
        <v>8</v>
      </c>
      <c r="D473" s="86" t="s">
        <v>539</v>
      </c>
      <c r="E473" s="89">
        <v>0</v>
      </c>
      <c r="F473" s="12" t="s">
        <v>540</v>
      </c>
      <c r="G473" s="12" t="s">
        <v>541</v>
      </c>
      <c r="H473" s="86" t="s">
        <v>542</v>
      </c>
      <c r="I473" s="12">
        <v>1</v>
      </c>
      <c r="J473" s="89">
        <v>1.5</v>
      </c>
      <c r="K473" s="86" t="s">
        <v>1910</v>
      </c>
      <c r="M473">
        <f t="shared" si="14"/>
        <v>0</v>
      </c>
      <c r="N473" s="12">
        <f t="shared" si="15"/>
        <v>469</v>
      </c>
    </row>
    <row r="474" spans="1:14" s="12" customFormat="1" hidden="1" x14ac:dyDescent="0.3">
      <c r="A474" s="82" t="s">
        <v>897</v>
      </c>
      <c r="B474" s="82" t="s">
        <v>1608</v>
      </c>
      <c r="C474" s="82" t="s">
        <v>8</v>
      </c>
      <c r="D474" s="86" t="s">
        <v>499</v>
      </c>
      <c r="E474" s="89">
        <v>0</v>
      </c>
      <c r="F474" s="12" t="s">
        <v>500</v>
      </c>
      <c r="G474" s="12" t="s">
        <v>501</v>
      </c>
      <c r="H474" s="86" t="s">
        <v>502</v>
      </c>
      <c r="J474" s="89">
        <v>1.5</v>
      </c>
      <c r="K474" s="86" t="s">
        <v>1910</v>
      </c>
      <c r="M474">
        <f t="shared" si="14"/>
        <v>0</v>
      </c>
      <c r="N474" s="12">
        <f t="shared" si="15"/>
        <v>470</v>
      </c>
    </row>
    <row r="475" spans="1:14" s="12" customFormat="1" hidden="1" x14ac:dyDescent="0.3">
      <c r="A475" s="82" t="s">
        <v>897</v>
      </c>
      <c r="B475" s="82" t="s">
        <v>1608</v>
      </c>
      <c r="C475" s="82" t="s">
        <v>8</v>
      </c>
      <c r="D475" s="86" t="s">
        <v>535</v>
      </c>
      <c r="E475" s="89">
        <v>0</v>
      </c>
      <c r="F475" s="12" t="s">
        <v>536</v>
      </c>
      <c r="G475" s="12" t="s">
        <v>537</v>
      </c>
      <c r="H475" s="86" t="s">
        <v>538</v>
      </c>
      <c r="J475" s="89">
        <v>1.5</v>
      </c>
      <c r="K475" s="86" t="s">
        <v>1910</v>
      </c>
      <c r="M475">
        <f t="shared" si="14"/>
        <v>0</v>
      </c>
      <c r="N475" s="12">
        <f t="shared" si="15"/>
        <v>471</v>
      </c>
    </row>
    <row r="476" spans="1:14" s="12" customFormat="1" hidden="1" x14ac:dyDescent="0.3">
      <c r="A476" s="82" t="s">
        <v>897</v>
      </c>
      <c r="B476" s="82" t="s">
        <v>1608</v>
      </c>
      <c r="C476" s="82" t="s">
        <v>8</v>
      </c>
      <c r="D476" s="86" t="s">
        <v>503</v>
      </c>
      <c r="E476" s="89">
        <v>0</v>
      </c>
      <c r="F476" s="12" t="s">
        <v>504</v>
      </c>
      <c r="G476" s="12" t="s">
        <v>505</v>
      </c>
      <c r="H476" s="86" t="s">
        <v>506</v>
      </c>
      <c r="J476" s="89">
        <v>1.95</v>
      </c>
      <c r="K476" s="86" t="s">
        <v>1910</v>
      </c>
      <c r="M476">
        <f t="shared" si="14"/>
        <v>0</v>
      </c>
      <c r="N476" s="12">
        <f t="shared" si="15"/>
        <v>472</v>
      </c>
    </row>
    <row r="477" spans="1:14" s="12" customFormat="1" hidden="1" x14ac:dyDescent="0.3">
      <c r="A477" s="82" t="s">
        <v>897</v>
      </c>
      <c r="B477" s="82" t="s">
        <v>1608</v>
      </c>
      <c r="C477" s="82" t="s">
        <v>8</v>
      </c>
      <c r="D477" s="86" t="s">
        <v>507</v>
      </c>
      <c r="E477" s="89">
        <v>0</v>
      </c>
      <c r="F477" s="12" t="s">
        <v>508</v>
      </c>
      <c r="G477" s="12" t="s">
        <v>509</v>
      </c>
      <c r="H477" s="86" t="s">
        <v>510</v>
      </c>
      <c r="J477" s="89">
        <v>1.5</v>
      </c>
      <c r="K477" s="86" t="s">
        <v>1910</v>
      </c>
      <c r="M477">
        <f t="shared" si="14"/>
        <v>0</v>
      </c>
      <c r="N477" s="12">
        <f t="shared" si="15"/>
        <v>473</v>
      </c>
    </row>
    <row r="478" spans="1:14" s="12" customFormat="1" hidden="1" x14ac:dyDescent="0.3">
      <c r="A478" s="82" t="s">
        <v>897</v>
      </c>
      <c r="B478" s="82" t="s">
        <v>1608</v>
      </c>
      <c r="C478" s="82" t="s">
        <v>8</v>
      </c>
      <c r="D478" s="86" t="s">
        <v>547</v>
      </c>
      <c r="E478" s="89">
        <v>0</v>
      </c>
      <c r="F478" s="12" t="s">
        <v>548</v>
      </c>
      <c r="G478" s="12" t="s">
        <v>549</v>
      </c>
      <c r="H478" s="86" t="s">
        <v>550</v>
      </c>
      <c r="I478" s="12">
        <v>1</v>
      </c>
      <c r="J478" s="89">
        <v>1.95</v>
      </c>
      <c r="K478" s="86" t="s">
        <v>1910</v>
      </c>
      <c r="M478">
        <f t="shared" si="14"/>
        <v>0</v>
      </c>
      <c r="N478" s="12">
        <f t="shared" si="15"/>
        <v>474</v>
      </c>
    </row>
    <row r="479" spans="1:14" s="12" customFormat="1" hidden="1" x14ac:dyDescent="0.3">
      <c r="A479" s="82" t="s">
        <v>897</v>
      </c>
      <c r="B479" s="82" t="s">
        <v>1608</v>
      </c>
      <c r="C479" s="82" t="s">
        <v>8</v>
      </c>
      <c r="D479" s="86" t="s">
        <v>551</v>
      </c>
      <c r="E479" s="89">
        <v>0</v>
      </c>
      <c r="F479" s="12" t="s">
        <v>552</v>
      </c>
      <c r="G479" s="12" t="s">
        <v>553</v>
      </c>
      <c r="H479" s="86" t="s">
        <v>554</v>
      </c>
      <c r="I479" s="12">
        <v>1</v>
      </c>
      <c r="J479" s="89">
        <v>4.95</v>
      </c>
      <c r="K479" s="86" t="s">
        <v>1910</v>
      </c>
      <c r="M479">
        <f t="shared" si="14"/>
        <v>0</v>
      </c>
      <c r="N479" s="12">
        <f t="shared" si="15"/>
        <v>475</v>
      </c>
    </row>
    <row r="480" spans="1:14" s="12" customFormat="1" hidden="1" x14ac:dyDescent="0.3">
      <c r="A480" s="82" t="s">
        <v>897</v>
      </c>
      <c r="B480" s="82" t="s">
        <v>1608</v>
      </c>
      <c r="C480" s="82" t="s">
        <v>8</v>
      </c>
      <c r="D480" s="86" t="s">
        <v>599</v>
      </c>
      <c r="E480" s="89">
        <v>0</v>
      </c>
      <c r="F480" s="12" t="s">
        <v>600</v>
      </c>
      <c r="G480" s="12" t="s">
        <v>601</v>
      </c>
      <c r="H480" s="86" t="s">
        <v>602</v>
      </c>
      <c r="I480" s="12">
        <v>1</v>
      </c>
      <c r="J480" s="89">
        <v>4.5</v>
      </c>
      <c r="K480" s="86" t="s">
        <v>1910</v>
      </c>
      <c r="M480">
        <f t="shared" si="14"/>
        <v>0</v>
      </c>
      <c r="N480" s="12">
        <f t="shared" si="15"/>
        <v>476</v>
      </c>
    </row>
    <row r="481" spans="1:14" s="12" customFormat="1" hidden="1" x14ac:dyDescent="0.3">
      <c r="A481" s="82" t="s">
        <v>897</v>
      </c>
      <c r="B481" s="82" t="s">
        <v>1608</v>
      </c>
      <c r="C481" s="82" t="s">
        <v>8</v>
      </c>
      <c r="D481" s="86" t="s">
        <v>559</v>
      </c>
      <c r="E481" s="89">
        <v>0</v>
      </c>
      <c r="F481" s="12" t="s">
        <v>560</v>
      </c>
      <c r="G481" s="12" t="s">
        <v>561</v>
      </c>
      <c r="H481" s="86" t="s">
        <v>562</v>
      </c>
      <c r="I481" s="12">
        <v>1</v>
      </c>
      <c r="J481" s="89">
        <v>3.95</v>
      </c>
      <c r="K481" s="86" t="s">
        <v>1910</v>
      </c>
      <c r="M481">
        <f t="shared" si="14"/>
        <v>0</v>
      </c>
      <c r="N481" s="12">
        <f t="shared" si="15"/>
        <v>477</v>
      </c>
    </row>
    <row r="482" spans="1:14" s="12" customFormat="1" hidden="1" x14ac:dyDescent="0.3">
      <c r="A482" s="82" t="s">
        <v>897</v>
      </c>
      <c r="B482" s="82" t="s">
        <v>1608</v>
      </c>
      <c r="C482" s="82" t="s">
        <v>8</v>
      </c>
      <c r="D482" s="86" t="s">
        <v>567</v>
      </c>
      <c r="E482" s="89">
        <v>0</v>
      </c>
      <c r="F482" s="12" t="s">
        <v>568</v>
      </c>
      <c r="G482" s="12" t="s">
        <v>569</v>
      </c>
      <c r="H482" s="86" t="s">
        <v>570</v>
      </c>
      <c r="I482" s="12">
        <v>1</v>
      </c>
      <c r="J482" s="89">
        <v>4.5</v>
      </c>
      <c r="K482" s="86" t="s">
        <v>1910</v>
      </c>
      <c r="M482">
        <f t="shared" si="14"/>
        <v>0</v>
      </c>
      <c r="N482" s="12">
        <f t="shared" si="15"/>
        <v>478</v>
      </c>
    </row>
    <row r="483" spans="1:14" s="12" customFormat="1" hidden="1" x14ac:dyDescent="0.3">
      <c r="A483" s="82" t="s">
        <v>897</v>
      </c>
      <c r="B483" s="82" t="s">
        <v>1608</v>
      </c>
      <c r="C483" s="82" t="s">
        <v>8</v>
      </c>
      <c r="D483" s="86" t="s">
        <v>543</v>
      </c>
      <c r="E483" s="89">
        <v>0</v>
      </c>
      <c r="F483" s="12" t="s">
        <v>544</v>
      </c>
      <c r="G483" s="12" t="s">
        <v>545</v>
      </c>
      <c r="H483" s="86" t="s">
        <v>546</v>
      </c>
      <c r="I483" s="12">
        <v>1</v>
      </c>
      <c r="J483" s="89">
        <v>1.95</v>
      </c>
      <c r="K483" s="86" t="s">
        <v>1910</v>
      </c>
      <c r="M483">
        <f t="shared" si="14"/>
        <v>0</v>
      </c>
      <c r="N483" s="12">
        <f t="shared" si="15"/>
        <v>479</v>
      </c>
    </row>
    <row r="484" spans="1:14" s="12" customFormat="1" hidden="1" x14ac:dyDescent="0.3">
      <c r="A484" s="82" t="s">
        <v>897</v>
      </c>
      <c r="B484" s="82" t="s">
        <v>1608</v>
      </c>
      <c r="C484" s="82" t="s">
        <v>8</v>
      </c>
      <c r="D484" s="86" t="s">
        <v>1352</v>
      </c>
      <c r="E484" s="89">
        <v>0</v>
      </c>
      <c r="F484" s="12" t="s">
        <v>552</v>
      </c>
      <c r="G484" s="12" t="s">
        <v>553</v>
      </c>
      <c r="H484" s="86" t="s">
        <v>1351</v>
      </c>
      <c r="I484" s="12">
        <v>1</v>
      </c>
      <c r="J484" s="89">
        <v>4.95</v>
      </c>
      <c r="K484" s="86" t="s">
        <v>1910</v>
      </c>
      <c r="M484">
        <f t="shared" si="14"/>
        <v>0</v>
      </c>
      <c r="N484" s="12">
        <f t="shared" si="15"/>
        <v>480</v>
      </c>
    </row>
    <row r="485" spans="1:14" s="12" customFormat="1" hidden="1" x14ac:dyDescent="0.3">
      <c r="A485" s="82" t="s">
        <v>897</v>
      </c>
      <c r="B485" s="82" t="s">
        <v>1608</v>
      </c>
      <c r="C485" s="82" t="s">
        <v>8</v>
      </c>
      <c r="D485" s="86" t="s">
        <v>563</v>
      </c>
      <c r="E485" s="89">
        <v>0</v>
      </c>
      <c r="F485" s="12" t="s">
        <v>564</v>
      </c>
      <c r="G485" s="12" t="s">
        <v>565</v>
      </c>
      <c r="H485" s="86" t="s">
        <v>566</v>
      </c>
      <c r="I485" s="12">
        <v>1</v>
      </c>
      <c r="J485" s="89">
        <v>3.95</v>
      </c>
      <c r="K485" s="86" t="s">
        <v>1910</v>
      </c>
      <c r="M485">
        <f t="shared" si="14"/>
        <v>0</v>
      </c>
      <c r="N485" s="12">
        <f t="shared" si="15"/>
        <v>481</v>
      </c>
    </row>
    <row r="486" spans="1:14" s="12" customFormat="1" hidden="1" x14ac:dyDescent="0.3">
      <c r="A486" s="82" t="s">
        <v>897</v>
      </c>
      <c r="B486" s="82" t="s">
        <v>1608</v>
      </c>
      <c r="C486" s="82" t="s">
        <v>8</v>
      </c>
      <c r="D486" s="86" t="s">
        <v>555</v>
      </c>
      <c r="E486" s="89">
        <v>0</v>
      </c>
      <c r="F486" s="12" t="s">
        <v>556</v>
      </c>
      <c r="G486" s="12" t="s">
        <v>557</v>
      </c>
      <c r="H486" s="86" t="s">
        <v>558</v>
      </c>
      <c r="I486" s="12">
        <v>1</v>
      </c>
      <c r="J486" s="89">
        <v>1.95</v>
      </c>
      <c r="K486" s="86" t="s">
        <v>1910</v>
      </c>
      <c r="M486">
        <f t="shared" si="14"/>
        <v>0</v>
      </c>
      <c r="N486" s="12">
        <f t="shared" si="15"/>
        <v>482</v>
      </c>
    </row>
    <row r="487" spans="1:14" s="103" customFormat="1" x14ac:dyDescent="0.3">
      <c r="A487" s="102" t="s">
        <v>897</v>
      </c>
      <c r="B487" s="102" t="s">
        <v>1012</v>
      </c>
      <c r="C487" s="102" t="s">
        <v>8</v>
      </c>
      <c r="D487" s="103" t="s">
        <v>371</v>
      </c>
      <c r="E487" s="104">
        <v>1</v>
      </c>
      <c r="F487" s="103" t="s">
        <v>372</v>
      </c>
      <c r="G487" s="103" t="s">
        <v>373</v>
      </c>
      <c r="H487" s="103" t="s">
        <v>374</v>
      </c>
      <c r="I487" s="103">
        <v>1</v>
      </c>
      <c r="J487" s="104">
        <v>7.95</v>
      </c>
      <c r="K487" s="103" t="s">
        <v>1910</v>
      </c>
      <c r="M487">
        <f t="shared" si="14"/>
        <v>7.95</v>
      </c>
      <c r="N487" s="103">
        <f t="shared" si="15"/>
        <v>483</v>
      </c>
    </row>
    <row r="488" spans="1:14" s="103" customFormat="1" x14ac:dyDescent="0.3">
      <c r="A488" s="102" t="s">
        <v>897</v>
      </c>
      <c r="B488" s="102" t="s">
        <v>1012</v>
      </c>
      <c r="C488" s="102" t="s">
        <v>8</v>
      </c>
      <c r="D488" s="103" t="s">
        <v>437</v>
      </c>
      <c r="E488" s="104">
        <f>FilterSpecs!$C$3</f>
        <v>5</v>
      </c>
      <c r="F488" s="103" t="s">
        <v>438</v>
      </c>
      <c r="G488" s="103" t="s">
        <v>439</v>
      </c>
      <c r="H488" s="103" t="s">
        <v>440</v>
      </c>
      <c r="I488" s="103">
        <v>1</v>
      </c>
      <c r="J488" s="104">
        <v>0.5</v>
      </c>
      <c r="K488" s="103" t="s">
        <v>1910</v>
      </c>
      <c r="M488">
        <f t="shared" si="14"/>
        <v>2.5</v>
      </c>
      <c r="N488" s="103">
        <f t="shared" si="15"/>
        <v>484</v>
      </c>
    </row>
    <row r="489" spans="1:14" s="103" customFormat="1" x14ac:dyDescent="0.3">
      <c r="A489" s="102" t="s">
        <v>897</v>
      </c>
      <c r="B489" s="102" t="s">
        <v>1012</v>
      </c>
      <c r="C489" s="102" t="s">
        <v>8</v>
      </c>
      <c r="D489" s="103" t="s">
        <v>441</v>
      </c>
      <c r="E489" s="104">
        <f>FilterSpecs!$C$3</f>
        <v>5</v>
      </c>
      <c r="F489" s="103" t="s">
        <v>442</v>
      </c>
      <c r="G489" s="103" t="s">
        <v>443</v>
      </c>
      <c r="H489" s="103" t="s">
        <v>444</v>
      </c>
      <c r="I489" s="103">
        <v>1</v>
      </c>
      <c r="J489" s="104">
        <v>0.5</v>
      </c>
      <c r="K489" s="103" t="s">
        <v>1910</v>
      </c>
      <c r="M489">
        <f t="shared" si="14"/>
        <v>2.5</v>
      </c>
      <c r="N489" s="103">
        <f t="shared" si="15"/>
        <v>485</v>
      </c>
    </row>
    <row r="490" spans="1:14" s="103" customFormat="1" x14ac:dyDescent="0.3">
      <c r="A490" s="102" t="s">
        <v>897</v>
      </c>
      <c r="B490" s="102" t="s">
        <v>1012</v>
      </c>
      <c r="C490" s="102" t="s">
        <v>8</v>
      </c>
      <c r="D490" s="103" t="s">
        <v>1697</v>
      </c>
      <c r="E490" s="104">
        <v>1</v>
      </c>
      <c r="F490" s="103" t="s">
        <v>1698</v>
      </c>
      <c r="G490" s="103" t="s">
        <v>1699</v>
      </c>
      <c r="H490" s="103" t="s">
        <v>1700</v>
      </c>
      <c r="I490" s="103">
        <v>1</v>
      </c>
      <c r="J490" s="104">
        <v>0.95</v>
      </c>
      <c r="K490" s="107" t="s">
        <v>1911</v>
      </c>
      <c r="M490">
        <f t="shared" si="14"/>
        <v>0.95</v>
      </c>
      <c r="N490" s="103">
        <f t="shared" si="15"/>
        <v>486</v>
      </c>
    </row>
    <row r="491" spans="1:14" s="103" customFormat="1" x14ac:dyDescent="0.3">
      <c r="A491" s="102" t="s">
        <v>897</v>
      </c>
      <c r="B491" s="102" t="s">
        <v>1012</v>
      </c>
      <c r="C491" s="102" t="s">
        <v>8</v>
      </c>
      <c r="D491" s="103" t="s">
        <v>1701</v>
      </c>
      <c r="E491" s="104">
        <v>1</v>
      </c>
      <c r="F491" s="103" t="s">
        <v>1702</v>
      </c>
      <c r="G491" s="103" t="s">
        <v>1703</v>
      </c>
      <c r="H491" s="103" t="s">
        <v>1704</v>
      </c>
      <c r="I491" s="103">
        <v>1</v>
      </c>
      <c r="J491" s="104">
        <v>1.95</v>
      </c>
      <c r="K491" s="103" t="s">
        <v>1910</v>
      </c>
      <c r="M491">
        <f t="shared" si="14"/>
        <v>1.95</v>
      </c>
      <c r="N491" s="103">
        <f t="shared" si="15"/>
        <v>487</v>
      </c>
    </row>
    <row r="492" spans="1:14" s="103" customFormat="1" x14ac:dyDescent="0.3">
      <c r="A492" s="102" t="s">
        <v>897</v>
      </c>
      <c r="B492" s="102" t="s">
        <v>1012</v>
      </c>
      <c r="C492" s="102" t="s">
        <v>8</v>
      </c>
      <c r="D492" s="103" t="s">
        <v>1681</v>
      </c>
      <c r="E492" s="104">
        <v>1</v>
      </c>
      <c r="F492" s="103" t="s">
        <v>1682</v>
      </c>
      <c r="G492" s="103" t="s">
        <v>1683</v>
      </c>
      <c r="H492" s="103" t="s">
        <v>1684</v>
      </c>
      <c r="I492" s="103">
        <v>1</v>
      </c>
      <c r="J492" s="104">
        <v>2.5</v>
      </c>
      <c r="K492" s="103" t="s">
        <v>1910</v>
      </c>
      <c r="M492">
        <f t="shared" si="14"/>
        <v>2.5</v>
      </c>
      <c r="N492" s="103">
        <f t="shared" si="15"/>
        <v>488</v>
      </c>
    </row>
    <row r="493" spans="1:14" s="103" customFormat="1" x14ac:dyDescent="0.3">
      <c r="A493" s="102" t="s">
        <v>897</v>
      </c>
      <c r="B493" s="102" t="s">
        <v>1012</v>
      </c>
      <c r="C493" s="102" t="s">
        <v>8</v>
      </c>
      <c r="D493" s="103" t="s">
        <v>1835</v>
      </c>
      <c r="E493" s="104">
        <v>1</v>
      </c>
      <c r="F493" s="103" t="s">
        <v>1836</v>
      </c>
      <c r="G493" s="103" t="s">
        <v>1837</v>
      </c>
      <c r="H493" s="103" t="s">
        <v>1838</v>
      </c>
      <c r="I493" s="103">
        <v>1</v>
      </c>
      <c r="J493" s="104">
        <v>2.95</v>
      </c>
      <c r="K493" s="103" t="s">
        <v>1910</v>
      </c>
      <c r="M493">
        <f t="shared" si="14"/>
        <v>2.95</v>
      </c>
      <c r="N493" s="103">
        <f t="shared" si="15"/>
        <v>489</v>
      </c>
    </row>
    <row r="494" spans="1:14" s="103" customFormat="1" x14ac:dyDescent="0.3">
      <c r="A494" s="102" t="s">
        <v>897</v>
      </c>
      <c r="B494" s="102" t="s">
        <v>1012</v>
      </c>
      <c r="C494" s="102" t="s">
        <v>8</v>
      </c>
      <c r="D494" s="103" t="s">
        <v>611</v>
      </c>
      <c r="E494" s="104">
        <v>4</v>
      </c>
      <c r="F494" s="103" t="s">
        <v>612</v>
      </c>
      <c r="G494" s="103" t="s">
        <v>613</v>
      </c>
      <c r="H494" s="103" t="s">
        <v>614</v>
      </c>
      <c r="I494" s="103">
        <v>1</v>
      </c>
      <c r="J494" s="104">
        <v>0.95</v>
      </c>
      <c r="K494" s="103" t="s">
        <v>1910</v>
      </c>
      <c r="M494">
        <f t="shared" si="14"/>
        <v>3.8</v>
      </c>
      <c r="N494" s="103">
        <f t="shared" si="15"/>
        <v>490</v>
      </c>
    </row>
    <row r="495" spans="1:14" s="103" customFormat="1" x14ac:dyDescent="0.3">
      <c r="A495" s="102" t="s">
        <v>897</v>
      </c>
      <c r="B495" s="102" t="s">
        <v>1012</v>
      </c>
      <c r="C495" s="102" t="s">
        <v>8</v>
      </c>
      <c r="D495" s="103" t="s">
        <v>375</v>
      </c>
      <c r="E495" s="104">
        <v>1</v>
      </c>
      <c r="F495" s="103" t="s">
        <v>376</v>
      </c>
      <c r="G495" s="103" t="s">
        <v>377</v>
      </c>
      <c r="H495" s="103" t="s">
        <v>378</v>
      </c>
      <c r="J495" s="104">
        <v>6.95</v>
      </c>
      <c r="K495" s="103" t="s">
        <v>1910</v>
      </c>
      <c r="M495">
        <f t="shared" si="14"/>
        <v>6.95</v>
      </c>
      <c r="N495" s="103">
        <f t="shared" si="15"/>
        <v>491</v>
      </c>
    </row>
    <row r="496" spans="1:14" s="103" customFormat="1" x14ac:dyDescent="0.3">
      <c r="A496" s="102" t="s">
        <v>897</v>
      </c>
      <c r="B496" s="102" t="s">
        <v>1012</v>
      </c>
      <c r="C496" s="102" t="s">
        <v>8</v>
      </c>
      <c r="D496" s="103" t="s">
        <v>727</v>
      </c>
      <c r="E496" s="104">
        <v>3</v>
      </c>
      <c r="F496" s="103" t="s">
        <v>728</v>
      </c>
      <c r="G496" s="103" t="s">
        <v>729</v>
      </c>
      <c r="H496" s="103" t="s">
        <v>730</v>
      </c>
      <c r="I496" s="103">
        <v>1</v>
      </c>
      <c r="J496" s="104">
        <v>0.35</v>
      </c>
      <c r="K496" s="103" t="s">
        <v>1910</v>
      </c>
      <c r="M496">
        <f t="shared" si="14"/>
        <v>1.0499999999999998</v>
      </c>
      <c r="N496" s="103">
        <f t="shared" si="15"/>
        <v>492</v>
      </c>
    </row>
    <row r="497" spans="1:14" s="103" customFormat="1" x14ac:dyDescent="0.3">
      <c r="A497" s="102" t="s">
        <v>897</v>
      </c>
      <c r="B497" s="102" t="s">
        <v>1012</v>
      </c>
      <c r="C497" s="102" t="s">
        <v>8</v>
      </c>
      <c r="D497" s="103" t="s">
        <v>723</v>
      </c>
      <c r="E497" s="104">
        <v>3</v>
      </c>
      <c r="F497" s="103" t="s">
        <v>724</v>
      </c>
      <c r="G497" s="103" t="s">
        <v>725</v>
      </c>
      <c r="H497" s="103" t="s">
        <v>726</v>
      </c>
      <c r="I497" s="103">
        <v>1</v>
      </c>
      <c r="J497" s="104">
        <v>0.45</v>
      </c>
      <c r="K497" s="103" t="s">
        <v>1910</v>
      </c>
      <c r="M497">
        <f t="shared" si="14"/>
        <v>1.35</v>
      </c>
      <c r="N497" s="103">
        <f t="shared" si="15"/>
        <v>493</v>
      </c>
    </row>
    <row r="498" spans="1:14" s="103" customFormat="1" x14ac:dyDescent="0.3">
      <c r="A498" s="102" t="s">
        <v>897</v>
      </c>
      <c r="B498" s="102" t="s">
        <v>1012</v>
      </c>
      <c r="C498" s="102" t="s">
        <v>8</v>
      </c>
      <c r="D498" s="103" t="s">
        <v>715</v>
      </c>
      <c r="E498" s="104">
        <v>3</v>
      </c>
      <c r="F498" s="103" t="s">
        <v>716</v>
      </c>
      <c r="G498" s="103" t="s">
        <v>717</v>
      </c>
      <c r="H498" s="103" t="s">
        <v>718</v>
      </c>
      <c r="I498" s="103">
        <v>1</v>
      </c>
      <c r="J498" s="104">
        <v>4.95</v>
      </c>
      <c r="K498" s="103" t="s">
        <v>1910</v>
      </c>
      <c r="M498">
        <f t="shared" si="14"/>
        <v>14.850000000000001</v>
      </c>
      <c r="N498" s="103">
        <f t="shared" si="15"/>
        <v>494</v>
      </c>
    </row>
    <row r="499" spans="1:14" s="103" customFormat="1" x14ac:dyDescent="0.3">
      <c r="A499" s="102" t="s">
        <v>897</v>
      </c>
      <c r="B499" s="102" t="s">
        <v>1012</v>
      </c>
      <c r="C499" s="102" t="s">
        <v>8</v>
      </c>
      <c r="D499" s="103" t="s">
        <v>711</v>
      </c>
      <c r="E499" s="104">
        <f>2*FilterSpecs!$C$3</f>
        <v>10</v>
      </c>
      <c r="F499" s="103" t="s">
        <v>712</v>
      </c>
      <c r="G499" s="103" t="s">
        <v>713</v>
      </c>
      <c r="H499" s="103" t="s">
        <v>714</v>
      </c>
      <c r="I499" s="103">
        <v>1</v>
      </c>
      <c r="J499" s="104">
        <v>0.75</v>
      </c>
      <c r="K499" s="103" t="s">
        <v>1910</v>
      </c>
      <c r="M499">
        <f t="shared" si="14"/>
        <v>7.5</v>
      </c>
      <c r="N499" s="103">
        <f t="shared" si="15"/>
        <v>495</v>
      </c>
    </row>
    <row r="500" spans="1:14" s="103" customFormat="1" x14ac:dyDescent="0.3">
      <c r="A500" s="102" t="s">
        <v>897</v>
      </c>
      <c r="B500" s="102" t="s">
        <v>1012</v>
      </c>
      <c r="C500" s="102" t="s">
        <v>8</v>
      </c>
      <c r="D500" s="103" t="s">
        <v>425</v>
      </c>
      <c r="E500" s="104">
        <f>2*FilterSpecs!$C$3</f>
        <v>10</v>
      </c>
      <c r="F500" s="103" t="s">
        <v>426</v>
      </c>
      <c r="G500" s="103" t="s">
        <v>427</v>
      </c>
      <c r="H500" s="103" t="s">
        <v>428</v>
      </c>
      <c r="I500" s="103">
        <v>1</v>
      </c>
      <c r="J500" s="104">
        <v>0.15</v>
      </c>
      <c r="K500" s="103" t="s">
        <v>1910</v>
      </c>
      <c r="M500">
        <f t="shared" si="14"/>
        <v>1.5</v>
      </c>
      <c r="N500" s="103">
        <f t="shared" si="15"/>
        <v>496</v>
      </c>
    </row>
    <row r="501" spans="1:14" s="103" customFormat="1" x14ac:dyDescent="0.3">
      <c r="A501" s="102" t="s">
        <v>897</v>
      </c>
      <c r="B501" s="102" t="s">
        <v>1012</v>
      </c>
      <c r="C501" s="102" t="s">
        <v>8</v>
      </c>
      <c r="D501" s="103" t="s">
        <v>429</v>
      </c>
      <c r="E501" s="104">
        <f>2*FilterSpecs!$C$3</f>
        <v>10</v>
      </c>
      <c r="F501" s="103" t="s">
        <v>430</v>
      </c>
      <c r="G501" s="103" t="s">
        <v>431</v>
      </c>
      <c r="H501" s="103" t="s">
        <v>432</v>
      </c>
      <c r="I501" s="103">
        <v>1</v>
      </c>
      <c r="J501" s="104">
        <v>0.15</v>
      </c>
      <c r="K501" s="103" t="s">
        <v>1910</v>
      </c>
      <c r="M501">
        <f t="shared" si="14"/>
        <v>1.5</v>
      </c>
      <c r="N501" s="103">
        <f t="shared" si="15"/>
        <v>497</v>
      </c>
    </row>
    <row r="502" spans="1:14" s="103" customFormat="1" x14ac:dyDescent="0.3">
      <c r="A502" s="102" t="s">
        <v>897</v>
      </c>
      <c r="B502" s="102" t="s">
        <v>1012</v>
      </c>
      <c r="C502" s="102" t="s">
        <v>8</v>
      </c>
      <c r="D502" s="103" t="s">
        <v>671</v>
      </c>
      <c r="E502" s="104">
        <f>2*FilterSpecs!$C$3</f>
        <v>10</v>
      </c>
      <c r="F502" s="103" t="s">
        <v>672</v>
      </c>
      <c r="G502" s="103" t="s">
        <v>673</v>
      </c>
      <c r="H502" s="103" t="s">
        <v>674</v>
      </c>
      <c r="I502" s="103">
        <v>1</v>
      </c>
      <c r="J502" s="104">
        <v>0.15</v>
      </c>
      <c r="K502" s="103" t="s">
        <v>1910</v>
      </c>
      <c r="M502">
        <f t="shared" si="14"/>
        <v>1.5</v>
      </c>
      <c r="N502" s="103">
        <f t="shared" si="15"/>
        <v>498</v>
      </c>
    </row>
    <row r="503" spans="1:14" s="103" customFormat="1" x14ac:dyDescent="0.3">
      <c r="A503" s="102" t="s">
        <v>897</v>
      </c>
      <c r="B503" s="102" t="s">
        <v>1012</v>
      </c>
      <c r="C503" s="102" t="s">
        <v>8</v>
      </c>
      <c r="D503" s="103" t="s">
        <v>421</v>
      </c>
      <c r="E503" s="104">
        <f>2*FilterSpecs!$C$3</f>
        <v>10</v>
      </c>
      <c r="F503" s="103" t="s">
        <v>422</v>
      </c>
      <c r="G503" s="103" t="s">
        <v>423</v>
      </c>
      <c r="H503" s="103" t="s">
        <v>424</v>
      </c>
      <c r="I503" s="103">
        <v>1</v>
      </c>
      <c r="J503" s="104">
        <v>0.25</v>
      </c>
      <c r="K503" s="103" t="s">
        <v>1910</v>
      </c>
      <c r="M503">
        <f t="shared" si="14"/>
        <v>2.5</v>
      </c>
      <c r="N503" s="103">
        <f t="shared" si="15"/>
        <v>499</v>
      </c>
    </row>
    <row r="504" spans="1:14" s="103" customFormat="1" x14ac:dyDescent="0.3">
      <c r="A504" s="102" t="s">
        <v>897</v>
      </c>
      <c r="B504" s="102" t="s">
        <v>1894</v>
      </c>
      <c r="C504" s="102" t="s">
        <v>8</v>
      </c>
      <c r="D504" s="103" t="s">
        <v>747</v>
      </c>
      <c r="E504" s="104">
        <v>2</v>
      </c>
      <c r="F504" s="103" t="s">
        <v>748</v>
      </c>
      <c r="G504" s="103" t="s">
        <v>749</v>
      </c>
      <c r="H504" s="103" t="s">
        <v>750</v>
      </c>
      <c r="J504" s="104">
        <v>0.5</v>
      </c>
      <c r="K504" s="103" t="s">
        <v>1910</v>
      </c>
      <c r="M504">
        <f t="shared" si="14"/>
        <v>1</v>
      </c>
      <c r="N504" s="103">
        <f t="shared" si="15"/>
        <v>500</v>
      </c>
    </row>
    <row r="505" spans="1:14" s="103" customFormat="1" x14ac:dyDescent="0.3">
      <c r="A505" s="102" t="s">
        <v>897</v>
      </c>
      <c r="B505" s="102" t="s">
        <v>1894</v>
      </c>
      <c r="C505" s="102" t="s">
        <v>8</v>
      </c>
      <c r="D505" s="103" t="s">
        <v>743</v>
      </c>
      <c r="E505" s="104">
        <v>4</v>
      </c>
      <c r="F505" s="103" t="s">
        <v>744</v>
      </c>
      <c r="G505" s="103" t="s">
        <v>745</v>
      </c>
      <c r="H505" s="103" t="s">
        <v>746</v>
      </c>
      <c r="I505" s="103">
        <v>1</v>
      </c>
      <c r="J505" s="104">
        <v>1.5</v>
      </c>
      <c r="K505" s="103" t="s">
        <v>1910</v>
      </c>
      <c r="M505">
        <f t="shared" si="14"/>
        <v>6</v>
      </c>
      <c r="N505" s="103">
        <f t="shared" si="15"/>
        <v>501</v>
      </c>
    </row>
    <row r="506" spans="1:14" s="103" customFormat="1" x14ac:dyDescent="0.3">
      <c r="A506" s="102" t="s">
        <v>897</v>
      </c>
      <c r="B506" s="102" t="s">
        <v>1894</v>
      </c>
      <c r="C506" s="102" t="s">
        <v>8</v>
      </c>
      <c r="D506" s="103" t="s">
        <v>739</v>
      </c>
      <c r="E506" s="104">
        <v>8</v>
      </c>
      <c r="F506" s="103" t="s">
        <v>740</v>
      </c>
      <c r="G506" s="103" t="s">
        <v>741</v>
      </c>
      <c r="H506" s="103" t="s">
        <v>742</v>
      </c>
      <c r="J506" s="104">
        <v>0.5</v>
      </c>
      <c r="K506" s="103" t="s">
        <v>1910</v>
      </c>
      <c r="M506">
        <f t="shared" si="14"/>
        <v>4</v>
      </c>
      <c r="N506" s="103">
        <f t="shared" si="15"/>
        <v>502</v>
      </c>
    </row>
    <row r="507" spans="1:14" s="103" customFormat="1" x14ac:dyDescent="0.3">
      <c r="A507" s="102" t="s">
        <v>897</v>
      </c>
      <c r="B507" s="102" t="s">
        <v>1894</v>
      </c>
      <c r="C507" s="102" t="s">
        <v>8</v>
      </c>
      <c r="D507" s="103" t="s">
        <v>905</v>
      </c>
      <c r="E507" s="104">
        <f>FilterSpecs!$C$3</f>
        <v>5</v>
      </c>
      <c r="F507" s="103" t="s">
        <v>906</v>
      </c>
      <c r="G507" s="103" t="s">
        <v>907</v>
      </c>
      <c r="H507" s="103" t="s">
        <v>908</v>
      </c>
      <c r="I507" s="103">
        <v>1</v>
      </c>
      <c r="J507" s="104">
        <v>0.95</v>
      </c>
      <c r="K507" s="107" t="s">
        <v>1911</v>
      </c>
      <c r="M507">
        <f t="shared" si="14"/>
        <v>4.75</v>
      </c>
      <c r="N507" s="103">
        <f t="shared" si="15"/>
        <v>503</v>
      </c>
    </row>
    <row r="508" spans="1:14" s="103" customFormat="1" hidden="1" x14ac:dyDescent="0.3">
      <c r="A508" s="103" t="s">
        <v>897</v>
      </c>
      <c r="B508" s="103" t="s">
        <v>1894</v>
      </c>
      <c r="C508" s="103" t="s">
        <v>1898</v>
      </c>
      <c r="D508" s="103" t="s">
        <v>2213</v>
      </c>
      <c r="E508" s="104">
        <v>0</v>
      </c>
      <c r="H508" s="102" t="s">
        <v>2214</v>
      </c>
      <c r="I508" s="105"/>
      <c r="J508" s="111">
        <v>1.95</v>
      </c>
      <c r="K508" s="102" t="s">
        <v>1910</v>
      </c>
      <c r="L508" s="105"/>
      <c r="M508">
        <f t="shared" si="14"/>
        <v>0</v>
      </c>
      <c r="N508" s="103">
        <f t="shared" si="15"/>
        <v>504</v>
      </c>
    </row>
    <row r="509" spans="1:14" s="103" customFormat="1" hidden="1" x14ac:dyDescent="0.3">
      <c r="A509" s="103" t="s">
        <v>897</v>
      </c>
      <c r="B509" s="103" t="s">
        <v>1894</v>
      </c>
      <c r="C509" s="103" t="s">
        <v>1898</v>
      </c>
      <c r="D509" s="103" t="s">
        <v>2215</v>
      </c>
      <c r="E509" s="104">
        <v>0</v>
      </c>
      <c r="H509" s="102" t="s">
        <v>2216</v>
      </c>
      <c r="I509" s="105"/>
      <c r="J509" s="111">
        <v>2.5</v>
      </c>
      <c r="K509" s="102" t="s">
        <v>1910</v>
      </c>
      <c r="L509" s="105"/>
      <c r="M509">
        <f t="shared" si="14"/>
        <v>0</v>
      </c>
      <c r="N509" s="103">
        <f t="shared" si="15"/>
        <v>505</v>
      </c>
    </row>
    <row r="510" spans="1:14" s="103" customFormat="1" hidden="1" x14ac:dyDescent="0.3">
      <c r="A510" s="103" t="s">
        <v>897</v>
      </c>
      <c r="B510" s="103" t="s">
        <v>1894</v>
      </c>
      <c r="C510" s="103" t="s">
        <v>1898</v>
      </c>
      <c r="D510" s="103" t="s">
        <v>2217</v>
      </c>
      <c r="E510" s="104">
        <v>0</v>
      </c>
      <c r="H510" s="102" t="s">
        <v>2218</v>
      </c>
      <c r="I510" s="105"/>
      <c r="J510" s="111">
        <v>2.5</v>
      </c>
      <c r="K510" s="102" t="s">
        <v>1910</v>
      </c>
      <c r="L510" s="105"/>
      <c r="M510">
        <f t="shared" si="14"/>
        <v>0</v>
      </c>
      <c r="N510" s="103">
        <f t="shared" si="15"/>
        <v>506</v>
      </c>
    </row>
    <row r="511" spans="1:14" s="103" customFormat="1" hidden="1" x14ac:dyDescent="0.3">
      <c r="A511" s="103" t="s">
        <v>897</v>
      </c>
      <c r="B511" s="103" t="s">
        <v>1894</v>
      </c>
      <c r="C511" s="103" t="s">
        <v>1898</v>
      </c>
      <c r="D511" s="103" t="s">
        <v>2219</v>
      </c>
      <c r="E511" s="104">
        <v>0</v>
      </c>
      <c r="H511" s="102" t="s">
        <v>2220</v>
      </c>
      <c r="I511" s="105"/>
      <c r="J511" s="111">
        <v>0.95</v>
      </c>
      <c r="K511" s="102" t="s">
        <v>1910</v>
      </c>
      <c r="L511" s="105"/>
      <c r="M511">
        <f t="shared" si="14"/>
        <v>0</v>
      </c>
      <c r="N511" s="103">
        <f t="shared" si="15"/>
        <v>507</v>
      </c>
    </row>
    <row r="512" spans="1:14" s="103" customFormat="1" x14ac:dyDescent="0.3">
      <c r="A512" s="103" t="s">
        <v>897</v>
      </c>
      <c r="B512" s="103" t="s">
        <v>2022</v>
      </c>
      <c r="C512" s="103" t="s">
        <v>1898</v>
      </c>
      <c r="D512" s="103" t="s">
        <v>2227</v>
      </c>
      <c r="E512" s="104">
        <v>1</v>
      </c>
      <c r="H512" s="102" t="s">
        <v>2228</v>
      </c>
      <c r="I512" s="105"/>
      <c r="J512" s="111">
        <v>4.95</v>
      </c>
      <c r="K512" s="102" t="s">
        <v>1910</v>
      </c>
      <c r="L512" s="105"/>
      <c r="M512">
        <f t="shared" si="14"/>
        <v>4.95</v>
      </c>
      <c r="N512" s="103">
        <f t="shared" si="15"/>
        <v>508</v>
      </c>
    </row>
    <row r="513" spans="1:14" s="103" customFormat="1" x14ac:dyDescent="0.3">
      <c r="A513" s="103" t="s">
        <v>897</v>
      </c>
      <c r="B513" s="103" t="s">
        <v>2022</v>
      </c>
      <c r="C513" s="103" t="s">
        <v>1898</v>
      </c>
      <c r="D513" s="103" t="s">
        <v>2229</v>
      </c>
      <c r="E513" s="104">
        <v>1</v>
      </c>
      <c r="H513" s="102" t="s">
        <v>2230</v>
      </c>
      <c r="I513" s="105"/>
      <c r="J513" s="111">
        <v>4.95</v>
      </c>
      <c r="K513" s="102" t="s">
        <v>1910</v>
      </c>
      <c r="L513" s="105"/>
      <c r="M513">
        <f t="shared" si="14"/>
        <v>4.95</v>
      </c>
      <c r="N513" s="103">
        <f t="shared" si="15"/>
        <v>509</v>
      </c>
    </row>
    <row r="514" spans="1:14" s="103" customFormat="1" x14ac:dyDescent="0.3">
      <c r="A514" s="103" t="s">
        <v>897</v>
      </c>
      <c r="B514" s="103" t="s">
        <v>2022</v>
      </c>
      <c r="C514" s="103" t="s">
        <v>1898</v>
      </c>
      <c r="D514" s="103" t="s">
        <v>2231</v>
      </c>
      <c r="E514" s="104">
        <v>1</v>
      </c>
      <c r="H514" s="102" t="s">
        <v>2232</v>
      </c>
      <c r="I514" s="105"/>
      <c r="J514" s="111">
        <v>4.95</v>
      </c>
      <c r="K514" s="102" t="s">
        <v>1910</v>
      </c>
      <c r="L514" s="105"/>
      <c r="M514">
        <f t="shared" si="14"/>
        <v>4.95</v>
      </c>
      <c r="N514" s="103">
        <f t="shared" si="15"/>
        <v>510</v>
      </c>
    </row>
    <row r="515" spans="1:14" s="103" customFormat="1" x14ac:dyDescent="0.3">
      <c r="A515" s="103" t="s">
        <v>897</v>
      </c>
      <c r="B515" s="103" t="s">
        <v>2022</v>
      </c>
      <c r="C515" s="103" t="s">
        <v>1898</v>
      </c>
      <c r="D515" s="103" t="s">
        <v>2233</v>
      </c>
      <c r="E515" s="104">
        <v>1</v>
      </c>
      <c r="H515" s="102" t="s">
        <v>2234</v>
      </c>
      <c r="I515" s="105"/>
      <c r="J515" s="111">
        <v>7.5</v>
      </c>
      <c r="K515" s="102" t="s">
        <v>1910</v>
      </c>
      <c r="L515" s="105"/>
      <c r="M515">
        <f t="shared" si="14"/>
        <v>7.5</v>
      </c>
      <c r="N515" s="103">
        <f t="shared" si="15"/>
        <v>511</v>
      </c>
    </row>
    <row r="516" spans="1:14" s="103" customFormat="1" x14ac:dyDescent="0.3">
      <c r="A516" s="82" t="s">
        <v>897</v>
      </c>
      <c r="B516" s="82" t="s">
        <v>2024</v>
      </c>
      <c r="C516" s="82" t="s">
        <v>8</v>
      </c>
      <c r="D516" s="86" t="s">
        <v>1595</v>
      </c>
      <c r="E516" s="89">
        <v>2</v>
      </c>
      <c r="F516" s="12" t="s">
        <v>1596</v>
      </c>
      <c r="G516" s="12" t="s">
        <v>1597</v>
      </c>
      <c r="H516" s="86" t="s">
        <v>1598</v>
      </c>
      <c r="I516" s="12">
        <v>1</v>
      </c>
      <c r="J516" s="89">
        <v>2.95</v>
      </c>
      <c r="K516" s="86" t="s">
        <v>1910</v>
      </c>
      <c r="L516" s="12"/>
      <c r="M516">
        <f t="shared" si="14"/>
        <v>5.9</v>
      </c>
      <c r="N516" s="103">
        <f t="shared" si="15"/>
        <v>512</v>
      </c>
    </row>
    <row r="517" spans="1:14" s="103" customFormat="1" hidden="1" x14ac:dyDescent="0.3">
      <c r="A517" s="112" t="s">
        <v>897</v>
      </c>
      <c r="B517" s="112" t="s">
        <v>2024</v>
      </c>
      <c r="C517" s="112" t="s">
        <v>1898</v>
      </c>
      <c r="D517" s="112" t="s">
        <v>2461</v>
      </c>
      <c r="E517" s="114">
        <v>0</v>
      </c>
      <c r="F517"/>
      <c r="G517"/>
      <c r="H517" s="112" t="s">
        <v>2460</v>
      </c>
      <c r="I517" s="113">
        <v>106</v>
      </c>
      <c r="J517" s="114">
        <v>2</v>
      </c>
      <c r="K517" s="51" t="s">
        <v>1910</v>
      </c>
      <c r="L517"/>
      <c r="M517">
        <f t="shared" ref="M517:M580" si="16">E517*J517</f>
        <v>0</v>
      </c>
      <c r="N517" s="103">
        <f t="shared" ref="N517:N580" si="17">IF($N516="List #",1,$N516+1)</f>
        <v>513</v>
      </c>
    </row>
    <row r="518" spans="1:14" s="103" customFormat="1" hidden="1" x14ac:dyDescent="0.3">
      <c r="A518" s="82" t="s">
        <v>897</v>
      </c>
      <c r="B518" s="82" t="s">
        <v>2024</v>
      </c>
      <c r="C518" s="82" t="s">
        <v>8</v>
      </c>
      <c r="D518" s="86" t="s">
        <v>1591</v>
      </c>
      <c r="E518" s="89">
        <v>0</v>
      </c>
      <c r="F518" s="12" t="s">
        <v>1592</v>
      </c>
      <c r="G518" s="12" t="s">
        <v>1593</v>
      </c>
      <c r="H518" s="86" t="s">
        <v>1594</v>
      </c>
      <c r="I518" s="12">
        <v>1</v>
      </c>
      <c r="J518" s="89">
        <v>0.95</v>
      </c>
      <c r="K518" s="86" t="s">
        <v>1910</v>
      </c>
      <c r="L518" s="12"/>
      <c r="M518">
        <f t="shared" si="16"/>
        <v>0</v>
      </c>
      <c r="N518" s="103">
        <f t="shared" si="17"/>
        <v>514</v>
      </c>
    </row>
    <row r="519" spans="1:14" s="103" customFormat="1" x14ac:dyDescent="0.3">
      <c r="A519" s="82" t="s">
        <v>897</v>
      </c>
      <c r="B519" s="82" t="s">
        <v>2024</v>
      </c>
      <c r="C519" s="82" t="s">
        <v>8</v>
      </c>
      <c r="D519" s="86" t="s">
        <v>1599</v>
      </c>
      <c r="E519" s="89">
        <v>1</v>
      </c>
      <c r="F519" s="12" t="s">
        <v>1600</v>
      </c>
      <c r="G519" s="12" t="s">
        <v>1601</v>
      </c>
      <c r="H519" s="86" t="s">
        <v>1602</v>
      </c>
      <c r="I519" s="12">
        <v>1</v>
      </c>
      <c r="J519" s="89">
        <v>4.95</v>
      </c>
      <c r="K519" s="86" t="s">
        <v>1910</v>
      </c>
      <c r="L519" s="12"/>
      <c r="M519">
        <f t="shared" si="16"/>
        <v>4.95</v>
      </c>
      <c r="N519" s="103">
        <f t="shared" si="17"/>
        <v>515</v>
      </c>
    </row>
    <row r="520" spans="1:14" s="103" customFormat="1" hidden="1" x14ac:dyDescent="0.3">
      <c r="A520" s="112" t="s">
        <v>897</v>
      </c>
      <c r="B520" s="112" t="s">
        <v>2024</v>
      </c>
      <c r="C520" s="112" t="s">
        <v>1898</v>
      </c>
      <c r="D520" s="112" t="s">
        <v>2459</v>
      </c>
      <c r="E520" s="114">
        <v>0</v>
      </c>
      <c r="F520"/>
      <c r="G520"/>
      <c r="H520" s="112" t="s">
        <v>2458</v>
      </c>
      <c r="I520" s="113">
        <v>105</v>
      </c>
      <c r="J520" s="114">
        <v>1.5</v>
      </c>
      <c r="K520" s="51" t="s">
        <v>1910</v>
      </c>
      <c r="L520"/>
      <c r="M520">
        <f t="shared" si="16"/>
        <v>0</v>
      </c>
      <c r="N520" s="103">
        <f t="shared" si="17"/>
        <v>516</v>
      </c>
    </row>
    <row r="521" spans="1:14" s="103" customFormat="1" hidden="1" x14ac:dyDescent="0.3">
      <c r="A521" s="86" t="s">
        <v>897</v>
      </c>
      <c r="B521" s="86" t="s">
        <v>2024</v>
      </c>
      <c r="C521" s="86" t="s">
        <v>1898</v>
      </c>
      <c r="D521" s="86" t="s">
        <v>2235</v>
      </c>
      <c r="E521" s="89">
        <v>0</v>
      </c>
      <c r="F521" s="12"/>
      <c r="G521" s="12"/>
      <c r="H521" s="82" t="s">
        <v>2236</v>
      </c>
      <c r="I521"/>
      <c r="J521" s="95">
        <v>2</v>
      </c>
      <c r="K521" s="82" t="s">
        <v>1910</v>
      </c>
      <c r="L521"/>
      <c r="M521">
        <f t="shared" si="16"/>
        <v>0</v>
      </c>
      <c r="N521" s="103">
        <f t="shared" si="17"/>
        <v>517</v>
      </c>
    </row>
    <row r="522" spans="1:14" s="103" customFormat="1" hidden="1" x14ac:dyDescent="0.3">
      <c r="A522" s="112" t="s">
        <v>897</v>
      </c>
      <c r="B522" s="82" t="s">
        <v>2024</v>
      </c>
      <c r="C522" s="112" t="s">
        <v>1898</v>
      </c>
      <c r="D522" s="112" t="s">
        <v>2457</v>
      </c>
      <c r="E522" s="114">
        <v>0</v>
      </c>
      <c r="F522"/>
      <c r="G522"/>
      <c r="H522" s="112" t="s">
        <v>2456</v>
      </c>
      <c r="I522" s="113">
        <v>104</v>
      </c>
      <c r="J522" s="114">
        <v>3.95</v>
      </c>
      <c r="K522" s="51" t="s">
        <v>1910</v>
      </c>
      <c r="L522"/>
      <c r="M522">
        <f t="shared" si="16"/>
        <v>0</v>
      </c>
      <c r="N522" s="103">
        <f t="shared" si="17"/>
        <v>518</v>
      </c>
    </row>
    <row r="523" spans="1:14" s="103" customFormat="1" hidden="1" x14ac:dyDescent="0.3">
      <c r="A523" s="82" t="s">
        <v>897</v>
      </c>
      <c r="B523" s="82" t="s">
        <v>2024</v>
      </c>
      <c r="C523" s="82" t="s">
        <v>8</v>
      </c>
      <c r="D523" s="86" t="s">
        <v>1531</v>
      </c>
      <c r="E523" s="89">
        <v>0</v>
      </c>
      <c r="F523" s="12" t="s">
        <v>1532</v>
      </c>
      <c r="G523" s="12" t="s">
        <v>1533</v>
      </c>
      <c r="H523" s="86" t="s">
        <v>1534</v>
      </c>
      <c r="I523" s="12">
        <v>1</v>
      </c>
      <c r="J523" s="89">
        <v>1.5</v>
      </c>
      <c r="K523" s="86" t="s">
        <v>1910</v>
      </c>
      <c r="L523" s="12"/>
      <c r="M523">
        <f t="shared" si="16"/>
        <v>0</v>
      </c>
      <c r="N523" s="103">
        <f t="shared" si="17"/>
        <v>519</v>
      </c>
    </row>
    <row r="524" spans="1:14" s="103" customFormat="1" hidden="1" x14ac:dyDescent="0.3">
      <c r="A524" s="112" t="s">
        <v>897</v>
      </c>
      <c r="B524" s="112" t="s">
        <v>2024</v>
      </c>
      <c r="C524" s="112" t="s">
        <v>1898</v>
      </c>
      <c r="D524" s="112" t="s">
        <v>2455</v>
      </c>
      <c r="E524" s="114">
        <v>0</v>
      </c>
      <c r="F524"/>
      <c r="G524"/>
      <c r="H524" s="112" t="s">
        <v>2454</v>
      </c>
      <c r="I524" s="113">
        <v>103</v>
      </c>
      <c r="J524" s="114">
        <v>2.95</v>
      </c>
      <c r="K524" s="51" t="s">
        <v>1910</v>
      </c>
      <c r="L524"/>
      <c r="M524">
        <f t="shared" si="16"/>
        <v>0</v>
      </c>
      <c r="N524" s="103">
        <f t="shared" si="17"/>
        <v>520</v>
      </c>
    </row>
    <row r="525" spans="1:14" s="103" customFormat="1" hidden="1" x14ac:dyDescent="0.3">
      <c r="A525" s="102" t="s">
        <v>897</v>
      </c>
      <c r="B525" s="102" t="s">
        <v>2033</v>
      </c>
      <c r="C525" s="102" t="s">
        <v>8</v>
      </c>
      <c r="D525" s="103" t="s">
        <v>1000</v>
      </c>
      <c r="E525" s="104">
        <v>0</v>
      </c>
      <c r="F525" s="103" t="s">
        <v>1001</v>
      </c>
      <c r="G525" s="103" t="s">
        <v>1002</v>
      </c>
      <c r="H525" s="103" t="s">
        <v>1003</v>
      </c>
      <c r="J525" s="104">
        <v>0.95</v>
      </c>
      <c r="K525" s="103" t="s">
        <v>1910</v>
      </c>
      <c r="M525">
        <f t="shared" si="16"/>
        <v>0</v>
      </c>
      <c r="N525" s="103">
        <f t="shared" si="17"/>
        <v>521</v>
      </c>
    </row>
    <row r="526" spans="1:14" s="103" customFormat="1" hidden="1" x14ac:dyDescent="0.3">
      <c r="A526" s="102" t="s">
        <v>897</v>
      </c>
      <c r="B526" s="102" t="s">
        <v>2033</v>
      </c>
      <c r="C526" s="102" t="s">
        <v>8</v>
      </c>
      <c r="D526" s="103" t="s">
        <v>996</v>
      </c>
      <c r="E526" s="104">
        <v>0</v>
      </c>
      <c r="F526" s="103" t="s">
        <v>997</v>
      </c>
      <c r="G526" s="103" t="s">
        <v>998</v>
      </c>
      <c r="H526" s="103" t="s">
        <v>999</v>
      </c>
      <c r="I526" s="103">
        <v>1</v>
      </c>
      <c r="J526" s="104">
        <v>0.95</v>
      </c>
      <c r="K526" s="103" t="s">
        <v>1910</v>
      </c>
      <c r="M526">
        <f t="shared" si="16"/>
        <v>0</v>
      </c>
      <c r="N526" s="103">
        <f t="shared" si="17"/>
        <v>522</v>
      </c>
    </row>
    <row r="527" spans="1:14" s="103" customFormat="1" x14ac:dyDescent="0.3">
      <c r="A527" s="102" t="s">
        <v>897</v>
      </c>
      <c r="B527" s="102" t="s">
        <v>2033</v>
      </c>
      <c r="C527" s="102" t="s">
        <v>8</v>
      </c>
      <c r="D527" s="103" t="s">
        <v>1004</v>
      </c>
      <c r="E527" s="104">
        <f>FilterSpecs!$C$3</f>
        <v>5</v>
      </c>
      <c r="F527" s="103" t="s">
        <v>1005</v>
      </c>
      <c r="G527" s="103" t="s">
        <v>1006</v>
      </c>
      <c r="H527" s="103" t="s">
        <v>1007</v>
      </c>
      <c r="I527" s="103">
        <v>1</v>
      </c>
      <c r="J527" s="104">
        <v>0.95</v>
      </c>
      <c r="K527" s="107" t="s">
        <v>1911</v>
      </c>
      <c r="M527">
        <f t="shared" si="16"/>
        <v>4.75</v>
      </c>
      <c r="N527" s="103">
        <f t="shared" si="17"/>
        <v>523</v>
      </c>
    </row>
    <row r="528" spans="1:14" s="103" customFormat="1" hidden="1" x14ac:dyDescent="0.3">
      <c r="A528" s="103" t="s">
        <v>897</v>
      </c>
      <c r="B528" s="103" t="s">
        <v>2033</v>
      </c>
      <c r="C528" s="103" t="s">
        <v>1898</v>
      </c>
      <c r="D528" s="103" t="s">
        <v>2239</v>
      </c>
      <c r="E528" s="104">
        <v>0</v>
      </c>
      <c r="H528" s="102" t="s">
        <v>2240</v>
      </c>
      <c r="I528" s="105"/>
      <c r="J528" s="111">
        <v>1.5</v>
      </c>
      <c r="K528" s="102" t="s">
        <v>1910</v>
      </c>
      <c r="L528" s="105"/>
      <c r="M528">
        <f t="shared" si="16"/>
        <v>0</v>
      </c>
      <c r="N528" s="103">
        <f t="shared" si="17"/>
        <v>524</v>
      </c>
    </row>
    <row r="529" spans="1:14" s="103" customFormat="1" hidden="1" x14ac:dyDescent="0.3">
      <c r="A529" s="103" t="s">
        <v>897</v>
      </c>
      <c r="B529" s="103" t="s">
        <v>2033</v>
      </c>
      <c r="C529" s="103" t="s">
        <v>1898</v>
      </c>
      <c r="D529" s="103" t="s">
        <v>2241</v>
      </c>
      <c r="E529" s="104">
        <v>0</v>
      </c>
      <c r="H529" s="102" t="s">
        <v>2242</v>
      </c>
      <c r="I529" s="105"/>
      <c r="J529" s="111">
        <v>1.75</v>
      </c>
      <c r="K529" s="102" t="s">
        <v>1910</v>
      </c>
      <c r="L529" s="105"/>
      <c r="M529">
        <f t="shared" si="16"/>
        <v>0</v>
      </c>
      <c r="N529" s="103">
        <f t="shared" si="17"/>
        <v>525</v>
      </c>
    </row>
    <row r="530" spans="1:14" s="103" customFormat="1" hidden="1" x14ac:dyDescent="0.3">
      <c r="A530" s="103" t="s">
        <v>897</v>
      </c>
      <c r="B530" s="103" t="s">
        <v>2033</v>
      </c>
      <c r="C530" s="103" t="s">
        <v>1898</v>
      </c>
      <c r="D530" s="103" t="s">
        <v>2243</v>
      </c>
      <c r="E530" s="104">
        <v>0</v>
      </c>
      <c r="H530" s="102" t="s">
        <v>2244</v>
      </c>
      <c r="I530" s="105"/>
      <c r="J530" s="111">
        <v>0.95</v>
      </c>
      <c r="K530" s="102" t="s">
        <v>1910</v>
      </c>
      <c r="L530" s="105"/>
      <c r="M530">
        <f t="shared" si="16"/>
        <v>0</v>
      </c>
      <c r="N530" s="103">
        <f t="shared" si="17"/>
        <v>526</v>
      </c>
    </row>
    <row r="531" spans="1:14" s="103" customFormat="1" hidden="1" x14ac:dyDescent="0.3">
      <c r="A531" s="103" t="s">
        <v>897</v>
      </c>
      <c r="B531" s="103" t="s">
        <v>2033</v>
      </c>
      <c r="C531" s="103" t="s">
        <v>1898</v>
      </c>
      <c r="D531" s="103" t="s">
        <v>2245</v>
      </c>
      <c r="E531" s="104">
        <v>0</v>
      </c>
      <c r="H531" s="102" t="s">
        <v>2246</v>
      </c>
      <c r="I531" s="105"/>
      <c r="J531" s="111">
        <v>0.95</v>
      </c>
      <c r="K531" s="102" t="s">
        <v>1910</v>
      </c>
      <c r="L531" s="105"/>
      <c r="M531">
        <f t="shared" si="16"/>
        <v>0</v>
      </c>
      <c r="N531" s="103">
        <f t="shared" si="17"/>
        <v>527</v>
      </c>
    </row>
    <row r="532" spans="1:14" s="103" customFormat="1" x14ac:dyDescent="0.3">
      <c r="A532" s="103" t="s">
        <v>897</v>
      </c>
      <c r="B532" s="103" t="s">
        <v>2033</v>
      </c>
      <c r="C532" s="103" t="s">
        <v>1898</v>
      </c>
      <c r="D532" s="103" t="s">
        <v>2247</v>
      </c>
      <c r="E532" s="104">
        <f>FilterSpecs!$C$3</f>
        <v>5</v>
      </c>
      <c r="H532" s="102" t="s">
        <v>2248</v>
      </c>
      <c r="I532" s="105"/>
      <c r="J532" s="111">
        <v>1.5</v>
      </c>
      <c r="K532" s="107" t="s">
        <v>1911</v>
      </c>
      <c r="L532" s="105"/>
      <c r="M532">
        <f t="shared" si="16"/>
        <v>7.5</v>
      </c>
      <c r="N532" s="103">
        <f t="shared" si="17"/>
        <v>528</v>
      </c>
    </row>
    <row r="533" spans="1:14" s="103" customFormat="1" hidden="1" x14ac:dyDescent="0.3">
      <c r="A533" s="102" t="s">
        <v>897</v>
      </c>
      <c r="B533" s="102" t="s">
        <v>2033</v>
      </c>
      <c r="C533" s="102" t="s">
        <v>8</v>
      </c>
      <c r="D533" s="103" t="s">
        <v>1008</v>
      </c>
      <c r="E533" s="104">
        <v>0</v>
      </c>
      <c r="F533" s="103" t="s">
        <v>1009</v>
      </c>
      <c r="G533" s="103" t="s">
        <v>1010</v>
      </c>
      <c r="H533" s="103" t="s">
        <v>1011</v>
      </c>
      <c r="I533" s="103">
        <v>1</v>
      </c>
      <c r="J533" s="104">
        <v>2.95</v>
      </c>
      <c r="K533" s="103" t="s">
        <v>1910</v>
      </c>
      <c r="M533">
        <f t="shared" si="16"/>
        <v>0</v>
      </c>
      <c r="N533" s="103">
        <f t="shared" si="17"/>
        <v>529</v>
      </c>
    </row>
    <row r="534" spans="1:14" s="103" customFormat="1" hidden="1" x14ac:dyDescent="0.3">
      <c r="A534" s="102" t="s">
        <v>897</v>
      </c>
      <c r="B534" s="102" t="s">
        <v>2033</v>
      </c>
      <c r="C534" s="102" t="s">
        <v>8</v>
      </c>
      <c r="D534" s="103" t="s">
        <v>1705</v>
      </c>
      <c r="E534" s="104">
        <v>0</v>
      </c>
      <c r="F534" s="103" t="s">
        <v>1706</v>
      </c>
      <c r="G534" s="103" t="s">
        <v>1707</v>
      </c>
      <c r="H534" s="103" t="s">
        <v>1708</v>
      </c>
      <c r="I534" s="103">
        <v>1</v>
      </c>
      <c r="J534" s="104">
        <v>2.95</v>
      </c>
      <c r="K534" s="103" t="s">
        <v>1910</v>
      </c>
      <c r="M534">
        <f t="shared" si="16"/>
        <v>0</v>
      </c>
      <c r="N534" s="103">
        <f t="shared" si="17"/>
        <v>530</v>
      </c>
    </row>
    <row r="535" spans="1:14" s="103" customFormat="1" hidden="1" x14ac:dyDescent="0.3">
      <c r="A535" s="102" t="s">
        <v>897</v>
      </c>
      <c r="B535" s="102" t="s">
        <v>2033</v>
      </c>
      <c r="C535" s="102" t="s">
        <v>8</v>
      </c>
      <c r="D535" s="103" t="s">
        <v>1685</v>
      </c>
      <c r="E535" s="104">
        <v>0</v>
      </c>
      <c r="F535" s="103" t="s">
        <v>1686</v>
      </c>
      <c r="G535" s="103" t="s">
        <v>1687</v>
      </c>
      <c r="H535" s="103" t="s">
        <v>1688</v>
      </c>
      <c r="I535" s="103">
        <v>1</v>
      </c>
      <c r="J535" s="104">
        <v>3.95</v>
      </c>
      <c r="K535" s="103" t="s">
        <v>1910</v>
      </c>
      <c r="M535">
        <f t="shared" si="16"/>
        <v>0</v>
      </c>
      <c r="N535" s="103">
        <f t="shared" si="17"/>
        <v>531</v>
      </c>
    </row>
    <row r="536" spans="1:14" s="103" customFormat="1" hidden="1" x14ac:dyDescent="0.3">
      <c r="A536" s="102" t="s">
        <v>897</v>
      </c>
      <c r="B536" s="102" t="s">
        <v>2033</v>
      </c>
      <c r="C536" s="102" t="s">
        <v>8</v>
      </c>
      <c r="D536" s="103" t="s">
        <v>1733</v>
      </c>
      <c r="E536" s="104">
        <v>0</v>
      </c>
      <c r="F536" s="103" t="s">
        <v>1734</v>
      </c>
      <c r="G536" s="103" t="s">
        <v>1735</v>
      </c>
      <c r="H536" s="103" t="s">
        <v>1736</v>
      </c>
      <c r="I536" s="103">
        <v>1</v>
      </c>
      <c r="J536" s="104">
        <v>2.95</v>
      </c>
      <c r="K536" s="103" t="s">
        <v>1912</v>
      </c>
      <c r="M536">
        <f t="shared" si="16"/>
        <v>0</v>
      </c>
      <c r="N536" s="103">
        <f t="shared" si="17"/>
        <v>532</v>
      </c>
    </row>
    <row r="537" spans="1:14" s="103" customFormat="1" hidden="1" x14ac:dyDescent="0.3">
      <c r="A537" s="103" t="s">
        <v>897</v>
      </c>
      <c r="B537" s="103" t="s">
        <v>2033</v>
      </c>
      <c r="C537" s="103" t="s">
        <v>1898</v>
      </c>
      <c r="D537" s="103" t="s">
        <v>2249</v>
      </c>
      <c r="E537" s="104">
        <v>0</v>
      </c>
      <c r="H537" s="102" t="s">
        <v>2250</v>
      </c>
      <c r="I537" s="105"/>
      <c r="J537" s="111">
        <v>4.5</v>
      </c>
      <c r="K537" s="102" t="s">
        <v>1912</v>
      </c>
      <c r="L537" s="105"/>
      <c r="M537">
        <f t="shared" si="16"/>
        <v>0</v>
      </c>
      <c r="N537" s="103">
        <f t="shared" si="17"/>
        <v>533</v>
      </c>
    </row>
    <row r="538" spans="1:14" s="103" customFormat="1" x14ac:dyDescent="0.3">
      <c r="A538" s="102" t="s">
        <v>897</v>
      </c>
      <c r="B538" s="102" t="s">
        <v>2033</v>
      </c>
      <c r="C538" s="102" t="s">
        <v>8</v>
      </c>
      <c r="D538" s="103" t="s">
        <v>1120</v>
      </c>
      <c r="E538" s="104">
        <f>FilterSpecs!$C$3</f>
        <v>5</v>
      </c>
      <c r="F538" s="103" t="s">
        <v>1121</v>
      </c>
      <c r="G538" s="103" t="s">
        <v>1122</v>
      </c>
      <c r="H538" s="103" t="s">
        <v>1123</v>
      </c>
      <c r="I538" s="103">
        <v>1</v>
      </c>
      <c r="J538" s="104">
        <v>1.95</v>
      </c>
      <c r="K538" s="107" t="s">
        <v>1911</v>
      </c>
      <c r="M538">
        <f t="shared" si="16"/>
        <v>9.75</v>
      </c>
      <c r="N538" s="103">
        <f t="shared" si="17"/>
        <v>534</v>
      </c>
    </row>
    <row r="539" spans="1:14" s="103" customFormat="1" x14ac:dyDescent="0.3">
      <c r="A539" s="102" t="s">
        <v>897</v>
      </c>
      <c r="B539" s="102" t="s">
        <v>2033</v>
      </c>
      <c r="C539" s="102" t="s">
        <v>8</v>
      </c>
      <c r="D539" s="103" t="s">
        <v>1116</v>
      </c>
      <c r="E539" s="104">
        <f>FilterSpecs!$C$3</f>
        <v>5</v>
      </c>
      <c r="F539" s="103" t="s">
        <v>1117</v>
      </c>
      <c r="G539" s="103" t="s">
        <v>1118</v>
      </c>
      <c r="H539" s="103" t="s">
        <v>1119</v>
      </c>
      <c r="I539" s="103">
        <v>1</v>
      </c>
      <c r="J539" s="104">
        <v>1.95</v>
      </c>
      <c r="K539" s="107" t="s">
        <v>1911</v>
      </c>
      <c r="M539">
        <f t="shared" si="16"/>
        <v>9.75</v>
      </c>
      <c r="N539" s="103">
        <f t="shared" si="17"/>
        <v>535</v>
      </c>
    </row>
    <row r="540" spans="1:14" s="103" customFormat="1" x14ac:dyDescent="0.3">
      <c r="A540" s="102" t="s">
        <v>897</v>
      </c>
      <c r="B540" s="102" t="s">
        <v>2033</v>
      </c>
      <c r="C540" s="102" t="s">
        <v>8</v>
      </c>
      <c r="D540" s="103" t="s">
        <v>1124</v>
      </c>
      <c r="E540" s="104">
        <f>FilterSpecs!$C$3</f>
        <v>5</v>
      </c>
      <c r="F540" s="103" t="s">
        <v>1125</v>
      </c>
      <c r="G540" s="103" t="s">
        <v>1126</v>
      </c>
      <c r="H540" s="103" t="s">
        <v>1127</v>
      </c>
      <c r="I540" s="103">
        <v>1</v>
      </c>
      <c r="J540" s="104">
        <v>1.95</v>
      </c>
      <c r="K540" s="107" t="s">
        <v>1911</v>
      </c>
      <c r="M540">
        <f t="shared" si="16"/>
        <v>9.75</v>
      </c>
      <c r="N540" s="103">
        <f t="shared" si="17"/>
        <v>536</v>
      </c>
    </row>
    <row r="541" spans="1:14" s="103" customFormat="1" hidden="1" x14ac:dyDescent="0.3">
      <c r="A541" s="103" t="s">
        <v>897</v>
      </c>
      <c r="B541" s="103" t="s">
        <v>2033</v>
      </c>
      <c r="C541" s="103" t="s">
        <v>1898</v>
      </c>
      <c r="D541" s="103" t="s">
        <v>2237</v>
      </c>
      <c r="E541" s="104">
        <v>0</v>
      </c>
      <c r="H541" s="102" t="s">
        <v>2238</v>
      </c>
      <c r="I541" s="105"/>
      <c r="J541" s="111">
        <v>1.95</v>
      </c>
      <c r="K541" s="102" t="s">
        <v>1910</v>
      </c>
      <c r="L541" s="105"/>
      <c r="M541">
        <f t="shared" si="16"/>
        <v>0</v>
      </c>
      <c r="N541" s="103">
        <f t="shared" si="17"/>
        <v>537</v>
      </c>
    </row>
    <row r="542" spans="1:14" s="103" customFormat="1" hidden="1" x14ac:dyDescent="0.3">
      <c r="A542" s="102" t="s">
        <v>897</v>
      </c>
      <c r="B542" s="102" t="s">
        <v>1612</v>
      </c>
      <c r="C542" s="102" t="s">
        <v>8</v>
      </c>
      <c r="D542" s="103" t="s">
        <v>1663</v>
      </c>
      <c r="E542" s="104">
        <v>0</v>
      </c>
      <c r="F542" s="103" t="s">
        <v>1664</v>
      </c>
      <c r="G542" s="103" t="s">
        <v>1665</v>
      </c>
      <c r="H542" s="103" t="s">
        <v>1666</v>
      </c>
      <c r="I542" s="103">
        <v>1</v>
      </c>
      <c r="J542" s="104">
        <v>16.95</v>
      </c>
      <c r="K542" s="103" t="s">
        <v>1910</v>
      </c>
      <c r="M542">
        <f t="shared" si="16"/>
        <v>0</v>
      </c>
      <c r="N542" s="103">
        <f t="shared" si="17"/>
        <v>538</v>
      </c>
    </row>
    <row r="543" spans="1:14" s="103" customFormat="1" x14ac:dyDescent="0.3">
      <c r="A543" s="118" t="s">
        <v>897</v>
      </c>
      <c r="B543" s="118" t="s">
        <v>1612</v>
      </c>
      <c r="C543" s="118" t="s">
        <v>1898</v>
      </c>
      <c r="D543" s="118" t="s">
        <v>2467</v>
      </c>
      <c r="E543" s="119">
        <v>1</v>
      </c>
      <c r="F543" s="105"/>
      <c r="G543" s="105"/>
      <c r="H543" s="118" t="s">
        <v>2466</v>
      </c>
      <c r="I543" s="120">
        <v>109</v>
      </c>
      <c r="J543" s="119">
        <v>27.5</v>
      </c>
      <c r="K543" s="102" t="s">
        <v>1910</v>
      </c>
      <c r="L543" s="105"/>
      <c r="M543">
        <f t="shared" si="16"/>
        <v>27.5</v>
      </c>
      <c r="N543" s="103">
        <f t="shared" si="17"/>
        <v>539</v>
      </c>
    </row>
    <row r="544" spans="1:14" s="103" customFormat="1" hidden="1" x14ac:dyDescent="0.3">
      <c r="A544" s="102" t="s">
        <v>897</v>
      </c>
      <c r="B544" s="102" t="s">
        <v>1612</v>
      </c>
      <c r="C544" s="102" t="s">
        <v>8</v>
      </c>
      <c r="D544" s="103" t="s">
        <v>1401</v>
      </c>
      <c r="E544" s="104">
        <v>0</v>
      </c>
      <c r="F544" s="103" t="s">
        <v>1402</v>
      </c>
      <c r="G544" s="103" t="s">
        <v>1403</v>
      </c>
      <c r="H544" s="103" t="s">
        <v>1404</v>
      </c>
      <c r="I544" s="103">
        <v>1</v>
      </c>
      <c r="J544" s="104">
        <v>2.5</v>
      </c>
      <c r="K544" s="103" t="s">
        <v>1912</v>
      </c>
      <c r="M544">
        <f t="shared" si="16"/>
        <v>0</v>
      </c>
      <c r="N544" s="103">
        <f t="shared" si="17"/>
        <v>540</v>
      </c>
    </row>
    <row r="545" spans="1:14" s="103" customFormat="1" hidden="1" x14ac:dyDescent="0.3">
      <c r="A545" s="102" t="s">
        <v>897</v>
      </c>
      <c r="B545" s="102" t="s">
        <v>1612</v>
      </c>
      <c r="C545" s="102" t="s">
        <v>8</v>
      </c>
      <c r="D545" s="103" t="s">
        <v>1393</v>
      </c>
      <c r="E545" s="104">
        <v>0</v>
      </c>
      <c r="F545" s="103" t="s">
        <v>1394</v>
      </c>
      <c r="G545" s="103" t="s">
        <v>1395</v>
      </c>
      <c r="H545" s="103" t="s">
        <v>1396</v>
      </c>
      <c r="I545" s="103">
        <v>1</v>
      </c>
      <c r="J545" s="104">
        <v>2.5</v>
      </c>
      <c r="K545" s="103" t="s">
        <v>1912</v>
      </c>
      <c r="M545">
        <f t="shared" si="16"/>
        <v>0</v>
      </c>
      <c r="N545" s="103">
        <f t="shared" si="17"/>
        <v>541</v>
      </c>
    </row>
    <row r="546" spans="1:14" s="103" customFormat="1" hidden="1" x14ac:dyDescent="0.3">
      <c r="A546" s="102" t="s">
        <v>897</v>
      </c>
      <c r="B546" s="102" t="s">
        <v>1612</v>
      </c>
      <c r="C546" s="102" t="s">
        <v>8</v>
      </c>
      <c r="D546" s="103" t="s">
        <v>1397</v>
      </c>
      <c r="E546" s="104">
        <v>0</v>
      </c>
      <c r="F546" s="103" t="s">
        <v>1398</v>
      </c>
      <c r="G546" s="103" t="s">
        <v>1399</v>
      </c>
      <c r="H546" s="103" t="s">
        <v>1400</v>
      </c>
      <c r="I546" s="103">
        <v>1</v>
      </c>
      <c r="J546" s="104">
        <v>2.5</v>
      </c>
      <c r="K546" s="103" t="s">
        <v>1912</v>
      </c>
      <c r="M546">
        <f t="shared" si="16"/>
        <v>0</v>
      </c>
      <c r="N546" s="103">
        <f t="shared" si="17"/>
        <v>542</v>
      </c>
    </row>
    <row r="547" spans="1:14" s="103" customFormat="1" hidden="1" x14ac:dyDescent="0.3">
      <c r="A547" s="102" t="s">
        <v>897</v>
      </c>
      <c r="B547" s="102" t="s">
        <v>1612</v>
      </c>
      <c r="C547" s="102" t="s">
        <v>8</v>
      </c>
      <c r="D547" s="103" t="s">
        <v>1655</v>
      </c>
      <c r="E547" s="104">
        <v>0</v>
      </c>
      <c r="F547" s="103" t="s">
        <v>1656</v>
      </c>
      <c r="G547" s="103" t="s">
        <v>1657</v>
      </c>
      <c r="H547" s="103" t="s">
        <v>1658</v>
      </c>
      <c r="J547" s="104">
        <v>2.95</v>
      </c>
      <c r="K547" s="103" t="s">
        <v>1910</v>
      </c>
      <c r="M547">
        <f t="shared" si="16"/>
        <v>0</v>
      </c>
      <c r="N547" s="103">
        <f t="shared" si="17"/>
        <v>543</v>
      </c>
    </row>
    <row r="548" spans="1:14" s="103" customFormat="1" hidden="1" x14ac:dyDescent="0.3">
      <c r="A548" s="102" t="s">
        <v>897</v>
      </c>
      <c r="B548" s="102" t="s">
        <v>1612</v>
      </c>
      <c r="C548" s="102" t="s">
        <v>8</v>
      </c>
      <c r="D548" s="103" t="s">
        <v>1389</v>
      </c>
      <c r="E548" s="104">
        <v>0</v>
      </c>
      <c r="F548" s="103" t="s">
        <v>1390</v>
      </c>
      <c r="G548" s="103" t="s">
        <v>1391</v>
      </c>
      <c r="H548" s="103" t="s">
        <v>1392</v>
      </c>
      <c r="I548" s="103">
        <v>1</v>
      </c>
      <c r="J548" s="104">
        <v>2.5</v>
      </c>
      <c r="K548" s="103" t="s">
        <v>1913</v>
      </c>
      <c r="M548">
        <f t="shared" si="16"/>
        <v>0</v>
      </c>
      <c r="N548" s="103">
        <f t="shared" si="17"/>
        <v>544</v>
      </c>
    </row>
    <row r="549" spans="1:14" s="103" customFormat="1" hidden="1" x14ac:dyDescent="0.3">
      <c r="A549" s="102" t="s">
        <v>897</v>
      </c>
      <c r="B549" s="102" t="s">
        <v>1612</v>
      </c>
      <c r="C549" s="102" t="s">
        <v>8</v>
      </c>
      <c r="D549" s="103" t="s">
        <v>1659</v>
      </c>
      <c r="E549" s="104">
        <v>0</v>
      </c>
      <c r="F549" s="103" t="s">
        <v>1660</v>
      </c>
      <c r="G549" s="103" t="s">
        <v>1661</v>
      </c>
      <c r="H549" s="103" t="s">
        <v>1662</v>
      </c>
      <c r="J549" s="104">
        <v>2.95</v>
      </c>
      <c r="K549" s="103" t="s">
        <v>1910</v>
      </c>
      <c r="M549">
        <f t="shared" si="16"/>
        <v>0</v>
      </c>
      <c r="N549" s="103">
        <f t="shared" si="17"/>
        <v>545</v>
      </c>
    </row>
    <row r="550" spans="1:14" s="103" customFormat="1" x14ac:dyDescent="0.3">
      <c r="A550" s="102" t="s">
        <v>897</v>
      </c>
      <c r="B550" s="102" t="s">
        <v>1612</v>
      </c>
      <c r="C550" s="102" t="s">
        <v>8</v>
      </c>
      <c r="D550" s="103" t="s">
        <v>417</v>
      </c>
      <c r="E550" s="104">
        <v>2</v>
      </c>
      <c r="F550" s="103" t="s">
        <v>418</v>
      </c>
      <c r="G550" s="103" t="s">
        <v>419</v>
      </c>
      <c r="H550" s="103" t="s">
        <v>420</v>
      </c>
      <c r="I550" s="103">
        <v>1</v>
      </c>
      <c r="J550" s="104">
        <v>6.95</v>
      </c>
      <c r="K550" s="103" t="s">
        <v>1910</v>
      </c>
      <c r="M550">
        <f t="shared" si="16"/>
        <v>13.9</v>
      </c>
      <c r="N550" s="103">
        <f t="shared" si="17"/>
        <v>546</v>
      </c>
    </row>
    <row r="551" spans="1:14" s="103" customFormat="1" hidden="1" x14ac:dyDescent="0.3">
      <c r="A551" s="118" t="s">
        <v>897</v>
      </c>
      <c r="B551" s="118" t="s">
        <v>1612</v>
      </c>
      <c r="C551" s="118" t="s">
        <v>1898</v>
      </c>
      <c r="D551" s="118" t="s">
        <v>2469</v>
      </c>
      <c r="E551" s="119">
        <v>0</v>
      </c>
      <c r="F551" s="105"/>
      <c r="G551" s="105"/>
      <c r="H551" s="118" t="s">
        <v>2468</v>
      </c>
      <c r="I551" s="120">
        <v>110</v>
      </c>
      <c r="J551" s="119">
        <v>7.95</v>
      </c>
      <c r="K551" s="102" t="s">
        <v>1910</v>
      </c>
      <c r="L551" s="105"/>
      <c r="M551">
        <f t="shared" si="16"/>
        <v>0</v>
      </c>
      <c r="N551" s="103">
        <f t="shared" si="17"/>
        <v>547</v>
      </c>
    </row>
    <row r="552" spans="1:14" s="103" customFormat="1" x14ac:dyDescent="0.3">
      <c r="A552" s="102" t="s">
        <v>17</v>
      </c>
      <c r="B552" s="102" t="s">
        <v>1614</v>
      </c>
      <c r="C552" s="102" t="s">
        <v>8</v>
      </c>
      <c r="D552" s="103" t="s">
        <v>1197</v>
      </c>
      <c r="E552" s="104">
        <v>0</v>
      </c>
      <c r="F552" s="103" t="s">
        <v>1198</v>
      </c>
      <c r="G552" s="103" t="s">
        <v>1199</v>
      </c>
      <c r="H552" s="103" t="s">
        <v>1200</v>
      </c>
      <c r="I552" s="103">
        <v>1</v>
      </c>
      <c r="J552" s="104">
        <v>34.950000000000003</v>
      </c>
      <c r="K552" s="103" t="s">
        <v>1914</v>
      </c>
      <c r="L552" s="105"/>
      <c r="M552">
        <f t="shared" si="16"/>
        <v>0</v>
      </c>
      <c r="N552" s="103">
        <f t="shared" si="17"/>
        <v>548</v>
      </c>
    </row>
    <row r="553" spans="1:14" s="103" customFormat="1" hidden="1" x14ac:dyDescent="0.3">
      <c r="A553" s="118" t="s">
        <v>17</v>
      </c>
      <c r="B553" s="118" t="s">
        <v>1614</v>
      </c>
      <c r="C553" s="118" t="s">
        <v>1898</v>
      </c>
      <c r="D553" s="118" t="s">
        <v>2465</v>
      </c>
      <c r="E553" s="119">
        <v>0</v>
      </c>
      <c r="F553" s="105"/>
      <c r="G553" s="105"/>
      <c r="H553" s="118" t="s">
        <v>2464</v>
      </c>
      <c r="I553" s="120">
        <v>108</v>
      </c>
      <c r="J553" s="119">
        <v>100</v>
      </c>
      <c r="K553" s="102" t="s">
        <v>1910</v>
      </c>
      <c r="L553" s="105"/>
      <c r="M553">
        <f t="shared" si="16"/>
        <v>0</v>
      </c>
      <c r="N553" s="103">
        <f t="shared" si="17"/>
        <v>549</v>
      </c>
    </row>
    <row r="554" spans="1:14" s="103" customFormat="1" hidden="1" x14ac:dyDescent="0.3">
      <c r="A554" s="102" t="s">
        <v>17</v>
      </c>
      <c r="B554" s="102" t="s">
        <v>1614</v>
      </c>
      <c r="C554" s="102" t="s">
        <v>8</v>
      </c>
      <c r="D554" s="103" t="s">
        <v>1642</v>
      </c>
      <c r="E554" s="104">
        <v>0</v>
      </c>
      <c r="F554" s="103" t="s">
        <v>1643</v>
      </c>
      <c r="G554" s="103" t="s">
        <v>1644</v>
      </c>
      <c r="H554" s="103" t="s">
        <v>1645</v>
      </c>
      <c r="J554" s="104">
        <v>59.95</v>
      </c>
      <c r="K554" s="103" t="s">
        <v>1914</v>
      </c>
      <c r="L554" s="105"/>
      <c r="M554">
        <f t="shared" si="16"/>
        <v>0</v>
      </c>
      <c r="N554" s="103">
        <f t="shared" si="17"/>
        <v>550</v>
      </c>
    </row>
    <row r="555" spans="1:14" s="103" customFormat="1" x14ac:dyDescent="0.3">
      <c r="A555" s="102" t="s">
        <v>17</v>
      </c>
      <c r="B555" s="102" t="s">
        <v>1614</v>
      </c>
      <c r="C555" s="102" t="s">
        <v>8</v>
      </c>
      <c r="D555" s="103" t="s">
        <v>1650</v>
      </c>
      <c r="E555" s="104">
        <v>0</v>
      </c>
      <c r="F555" s="103" t="s">
        <v>1651</v>
      </c>
      <c r="G555" s="103" t="s">
        <v>1652</v>
      </c>
      <c r="H555" s="103" t="s">
        <v>1653</v>
      </c>
      <c r="J555" s="104">
        <v>4.95</v>
      </c>
      <c r="K555" s="103" t="s">
        <v>1914</v>
      </c>
      <c r="L555" s="105"/>
      <c r="M555">
        <f t="shared" si="16"/>
        <v>0</v>
      </c>
      <c r="N555" s="103">
        <f t="shared" si="17"/>
        <v>551</v>
      </c>
    </row>
    <row r="556" spans="1:14" s="103" customFormat="1" x14ac:dyDescent="0.3">
      <c r="A556" s="102" t="s">
        <v>17</v>
      </c>
      <c r="B556" s="102" t="s">
        <v>1614</v>
      </c>
      <c r="C556" s="102" t="s">
        <v>8</v>
      </c>
      <c r="D556" s="103" t="s">
        <v>1622</v>
      </c>
      <c r="E556" s="104">
        <v>0</v>
      </c>
      <c r="F556" s="103" t="s">
        <v>1623</v>
      </c>
      <c r="G556" s="103" t="s">
        <v>1624</v>
      </c>
      <c r="H556" s="103" t="s">
        <v>1625</v>
      </c>
      <c r="I556" s="103">
        <v>1</v>
      </c>
      <c r="J556" s="104">
        <v>2.95</v>
      </c>
      <c r="K556" s="103" t="s">
        <v>1914</v>
      </c>
      <c r="L556" s="105"/>
      <c r="M556">
        <f t="shared" si="16"/>
        <v>0</v>
      </c>
      <c r="N556" s="103">
        <f t="shared" si="17"/>
        <v>552</v>
      </c>
    </row>
    <row r="557" spans="1:14" s="103" customFormat="1" x14ac:dyDescent="0.3">
      <c r="A557" s="102" t="s">
        <v>17</v>
      </c>
      <c r="B557" s="102" t="s">
        <v>1614</v>
      </c>
      <c r="C557" s="102" t="s">
        <v>8</v>
      </c>
      <c r="D557" s="103" t="s">
        <v>1441</v>
      </c>
      <c r="E557" s="104">
        <v>1</v>
      </c>
      <c r="F557" s="103" t="s">
        <v>1442</v>
      </c>
      <c r="G557" s="103" t="s">
        <v>1443</v>
      </c>
      <c r="H557" s="103" t="s">
        <v>1444</v>
      </c>
      <c r="I557" s="103">
        <v>1</v>
      </c>
      <c r="J557" s="104">
        <v>16.95</v>
      </c>
      <c r="K557" s="103" t="s">
        <v>1914</v>
      </c>
      <c r="L557" s="105"/>
      <c r="M557">
        <f t="shared" si="16"/>
        <v>16.95</v>
      </c>
      <c r="N557" s="103">
        <f t="shared" si="17"/>
        <v>553</v>
      </c>
    </row>
    <row r="558" spans="1:14" s="103" customFormat="1" x14ac:dyDescent="0.3">
      <c r="A558" s="102" t="s">
        <v>17</v>
      </c>
      <c r="B558" s="102" t="s">
        <v>1614</v>
      </c>
      <c r="C558" s="102" t="s">
        <v>8</v>
      </c>
      <c r="D558" s="103" t="s">
        <v>857</v>
      </c>
      <c r="E558" s="104">
        <v>0</v>
      </c>
      <c r="F558" s="103" t="s">
        <v>858</v>
      </c>
      <c r="G558" s="103" t="s">
        <v>859</v>
      </c>
      <c r="H558" s="103" t="s">
        <v>860</v>
      </c>
      <c r="J558" s="104">
        <v>114.95</v>
      </c>
      <c r="K558" s="103" t="s">
        <v>1914</v>
      </c>
      <c r="M558">
        <f t="shared" si="16"/>
        <v>0</v>
      </c>
      <c r="N558" s="103">
        <f t="shared" si="17"/>
        <v>554</v>
      </c>
    </row>
    <row r="559" spans="1:14" s="103" customFormat="1" hidden="1" x14ac:dyDescent="0.3">
      <c r="A559" s="103" t="s">
        <v>17</v>
      </c>
      <c r="B559" s="103" t="s">
        <v>1614</v>
      </c>
      <c r="C559" s="103" t="s">
        <v>1898</v>
      </c>
      <c r="D559" s="103" t="s">
        <v>2392</v>
      </c>
      <c r="E559" s="104">
        <v>0</v>
      </c>
      <c r="H559" s="102" t="s">
        <v>2393</v>
      </c>
      <c r="I559" s="105"/>
      <c r="J559" s="111">
        <v>97.5</v>
      </c>
      <c r="K559" s="102" t="s">
        <v>1913</v>
      </c>
      <c r="L559" s="105"/>
      <c r="M559">
        <f t="shared" si="16"/>
        <v>0</v>
      </c>
      <c r="N559" s="103">
        <f t="shared" si="17"/>
        <v>555</v>
      </c>
    </row>
    <row r="560" spans="1:14" s="103" customFormat="1" x14ac:dyDescent="0.3">
      <c r="A560" s="102" t="s">
        <v>17</v>
      </c>
      <c r="B560" s="102" t="s">
        <v>1614</v>
      </c>
      <c r="C560" s="102" t="s">
        <v>8</v>
      </c>
      <c r="D560" s="103" t="s">
        <v>1638</v>
      </c>
      <c r="E560" s="104">
        <v>0</v>
      </c>
      <c r="F560" s="103" t="s">
        <v>1639</v>
      </c>
      <c r="G560" s="103" t="s">
        <v>1640</v>
      </c>
      <c r="H560" s="103" t="s">
        <v>1641</v>
      </c>
      <c r="J560" s="104">
        <v>14.95</v>
      </c>
      <c r="K560" s="103" t="s">
        <v>1914</v>
      </c>
      <c r="L560" s="105"/>
      <c r="M560">
        <f t="shared" si="16"/>
        <v>0</v>
      </c>
      <c r="N560" s="103">
        <f t="shared" si="17"/>
        <v>556</v>
      </c>
    </row>
    <row r="561" spans="1:14" s="103" customFormat="1" hidden="1" x14ac:dyDescent="0.3">
      <c r="A561" s="102" t="s">
        <v>17</v>
      </c>
      <c r="B561" s="102" t="s">
        <v>1614</v>
      </c>
      <c r="C561" s="102" t="s">
        <v>8</v>
      </c>
      <c r="D561" s="103" t="s">
        <v>849</v>
      </c>
      <c r="E561" s="104">
        <v>0</v>
      </c>
      <c r="F561" s="103" t="s">
        <v>850</v>
      </c>
      <c r="G561" s="103" t="s">
        <v>851</v>
      </c>
      <c r="H561" s="103" t="s">
        <v>852</v>
      </c>
      <c r="I561" s="103">
        <v>1</v>
      </c>
      <c r="J561" s="104">
        <v>13.95</v>
      </c>
      <c r="K561" s="103" t="s">
        <v>1914</v>
      </c>
      <c r="L561" s="105" t="s">
        <v>1308</v>
      </c>
      <c r="M561">
        <f t="shared" si="16"/>
        <v>0</v>
      </c>
      <c r="N561" s="103">
        <f t="shared" si="17"/>
        <v>557</v>
      </c>
    </row>
    <row r="562" spans="1:14" s="103" customFormat="1" hidden="1" x14ac:dyDescent="0.3">
      <c r="A562" s="103" t="s">
        <v>17</v>
      </c>
      <c r="B562" s="103" t="s">
        <v>1614</v>
      </c>
      <c r="C562" s="103" t="s">
        <v>1898</v>
      </c>
      <c r="D562" s="103" t="s">
        <v>2396</v>
      </c>
      <c r="E562" s="104">
        <v>0</v>
      </c>
      <c r="H562" s="102" t="s">
        <v>2397</v>
      </c>
      <c r="I562" s="105"/>
      <c r="J562" s="111">
        <v>9.9499999999999993</v>
      </c>
      <c r="K562" s="102" t="s">
        <v>1910</v>
      </c>
      <c r="L562" s="105"/>
      <c r="M562">
        <f t="shared" si="16"/>
        <v>0</v>
      </c>
      <c r="N562" s="103">
        <f t="shared" si="17"/>
        <v>558</v>
      </c>
    </row>
    <row r="563" spans="1:14" s="103" customFormat="1" hidden="1" x14ac:dyDescent="0.3">
      <c r="A563" s="102" t="s">
        <v>17</v>
      </c>
      <c r="B563" s="102" t="s">
        <v>1615</v>
      </c>
      <c r="C563" s="102" t="s">
        <v>8</v>
      </c>
      <c r="D563" s="103" t="s">
        <v>881</v>
      </c>
      <c r="E563" s="104">
        <v>0</v>
      </c>
      <c r="F563" s="103" t="s">
        <v>882</v>
      </c>
      <c r="G563" s="103" t="s">
        <v>883</v>
      </c>
      <c r="H563" s="103" t="s">
        <v>884</v>
      </c>
      <c r="J563" s="104">
        <v>32.950000000000003</v>
      </c>
      <c r="K563" s="103" t="s">
        <v>1914</v>
      </c>
      <c r="L563" s="105"/>
      <c r="M563">
        <f t="shared" si="16"/>
        <v>0</v>
      </c>
      <c r="N563" s="103">
        <f t="shared" si="17"/>
        <v>559</v>
      </c>
    </row>
    <row r="564" spans="1:14" s="103" customFormat="1" hidden="1" x14ac:dyDescent="0.3">
      <c r="A564" s="102" t="s">
        <v>17</v>
      </c>
      <c r="B564" s="102" t="s">
        <v>1615</v>
      </c>
      <c r="C564" s="102" t="s">
        <v>8</v>
      </c>
      <c r="D564" s="103" t="s">
        <v>1144</v>
      </c>
      <c r="E564" s="104">
        <v>0</v>
      </c>
      <c r="F564" s="103" t="s">
        <v>1145</v>
      </c>
      <c r="G564" s="103" t="s">
        <v>1146</v>
      </c>
      <c r="H564" s="103" t="s">
        <v>1147</v>
      </c>
      <c r="I564" s="103">
        <v>1</v>
      </c>
      <c r="J564" s="104">
        <v>29.95</v>
      </c>
      <c r="K564" s="103" t="s">
        <v>1914</v>
      </c>
      <c r="L564" s="105"/>
      <c r="M564">
        <f t="shared" si="16"/>
        <v>0</v>
      </c>
      <c r="N564" s="103">
        <f t="shared" si="17"/>
        <v>560</v>
      </c>
    </row>
    <row r="565" spans="1:14" s="103" customFormat="1" hidden="1" x14ac:dyDescent="0.3">
      <c r="A565" s="102" t="s">
        <v>17</v>
      </c>
      <c r="B565" s="102" t="s">
        <v>1615</v>
      </c>
      <c r="C565" s="102" t="s">
        <v>8</v>
      </c>
      <c r="D565" s="103" t="s">
        <v>853</v>
      </c>
      <c r="E565" s="104">
        <v>0</v>
      </c>
      <c r="F565" s="103" t="s">
        <v>854</v>
      </c>
      <c r="G565" s="103" t="s">
        <v>855</v>
      </c>
      <c r="H565" s="103" t="s">
        <v>856</v>
      </c>
      <c r="I565" s="103">
        <v>1</v>
      </c>
      <c r="J565" s="104">
        <v>9.9499999999999993</v>
      </c>
      <c r="K565" s="103" t="s">
        <v>1914</v>
      </c>
      <c r="L565" s="105"/>
      <c r="M565">
        <f t="shared" si="16"/>
        <v>0</v>
      </c>
      <c r="N565" s="103">
        <f t="shared" si="17"/>
        <v>561</v>
      </c>
    </row>
    <row r="566" spans="1:14" s="103" customFormat="1" x14ac:dyDescent="0.3">
      <c r="A566" s="103" t="s">
        <v>17</v>
      </c>
      <c r="B566" s="103" t="s">
        <v>1615</v>
      </c>
      <c r="C566" s="103" t="s">
        <v>1898</v>
      </c>
      <c r="D566" s="103" t="s">
        <v>2394</v>
      </c>
      <c r="E566" s="104">
        <v>1</v>
      </c>
      <c r="H566" s="102" t="s">
        <v>2395</v>
      </c>
      <c r="I566" s="105"/>
      <c r="J566" s="111">
        <v>54.95</v>
      </c>
      <c r="K566" s="102" t="s">
        <v>1914</v>
      </c>
      <c r="L566" s="105"/>
      <c r="M566">
        <f t="shared" si="16"/>
        <v>54.95</v>
      </c>
      <c r="N566" s="103">
        <f t="shared" si="17"/>
        <v>562</v>
      </c>
    </row>
    <row r="567" spans="1:14" s="103" customFormat="1" x14ac:dyDescent="0.3">
      <c r="A567" s="102" t="s">
        <v>17</v>
      </c>
      <c r="B567" s="102" t="s">
        <v>1615</v>
      </c>
      <c r="C567" s="102" t="s">
        <v>8</v>
      </c>
      <c r="D567" s="103" t="s">
        <v>873</v>
      </c>
      <c r="E567" s="104">
        <v>1</v>
      </c>
      <c r="F567" s="103" t="s">
        <v>874</v>
      </c>
      <c r="G567" s="103" t="s">
        <v>875</v>
      </c>
      <c r="H567" s="103" t="s">
        <v>876</v>
      </c>
      <c r="I567" s="103">
        <v>1</v>
      </c>
      <c r="J567" s="104">
        <v>9.9499999999999993</v>
      </c>
      <c r="K567" s="103" t="s">
        <v>1914</v>
      </c>
      <c r="L567" s="105"/>
      <c r="M567">
        <f t="shared" si="16"/>
        <v>9.9499999999999993</v>
      </c>
      <c r="N567" s="103">
        <f t="shared" si="17"/>
        <v>563</v>
      </c>
    </row>
    <row r="568" spans="1:14" s="103" customFormat="1" x14ac:dyDescent="0.3">
      <c r="A568" s="102" t="s">
        <v>17</v>
      </c>
      <c r="B568" s="102" t="s">
        <v>1615</v>
      </c>
      <c r="C568" s="102" t="s">
        <v>8</v>
      </c>
      <c r="D568" s="103" t="s">
        <v>128</v>
      </c>
      <c r="E568" s="104">
        <v>1</v>
      </c>
      <c r="F568" s="103" t="s">
        <v>129</v>
      </c>
      <c r="G568" s="103" t="s">
        <v>130</v>
      </c>
      <c r="H568" s="103" t="s">
        <v>131</v>
      </c>
      <c r="J568" s="104">
        <v>14.95</v>
      </c>
      <c r="K568" s="103" t="s">
        <v>1913</v>
      </c>
      <c r="L568" s="105"/>
      <c r="M568">
        <f t="shared" si="16"/>
        <v>14.95</v>
      </c>
      <c r="N568" s="103">
        <f t="shared" si="17"/>
        <v>564</v>
      </c>
    </row>
    <row r="569" spans="1:14" s="103" customFormat="1" x14ac:dyDescent="0.3">
      <c r="A569" s="102" t="s">
        <v>17</v>
      </c>
      <c r="B569" s="102" t="s">
        <v>1615</v>
      </c>
      <c r="C569" s="102" t="s">
        <v>8</v>
      </c>
      <c r="D569" s="103" t="s">
        <v>132</v>
      </c>
      <c r="E569" s="104">
        <v>1</v>
      </c>
      <c r="F569" s="103" t="s">
        <v>133</v>
      </c>
      <c r="G569" s="103" t="s">
        <v>134</v>
      </c>
      <c r="H569" s="103" t="s">
        <v>135</v>
      </c>
      <c r="I569" s="103">
        <v>1</v>
      </c>
      <c r="J569" s="104">
        <v>0.1</v>
      </c>
      <c r="K569" s="103" t="s">
        <v>1910</v>
      </c>
      <c r="L569" s="105"/>
      <c r="M569">
        <f t="shared" si="16"/>
        <v>0.1</v>
      </c>
      <c r="N569" s="103">
        <f t="shared" si="17"/>
        <v>565</v>
      </c>
    </row>
    <row r="570" spans="1:14" s="103" customFormat="1" x14ac:dyDescent="0.3">
      <c r="A570" s="102" t="s">
        <v>17</v>
      </c>
      <c r="B570" s="102" t="s">
        <v>1613</v>
      </c>
      <c r="C570" s="102" t="s">
        <v>8</v>
      </c>
      <c r="D570" s="103" t="s">
        <v>1626</v>
      </c>
      <c r="E570" s="104">
        <v>1</v>
      </c>
      <c r="F570" s="103" t="s">
        <v>1627</v>
      </c>
      <c r="G570" s="103" t="s">
        <v>1628</v>
      </c>
      <c r="H570" s="103" t="s">
        <v>1629</v>
      </c>
      <c r="J570" s="104">
        <v>4.95</v>
      </c>
      <c r="K570" s="103" t="s">
        <v>1914</v>
      </c>
      <c r="L570" s="105"/>
      <c r="M570">
        <f t="shared" si="16"/>
        <v>4.95</v>
      </c>
      <c r="N570" s="103">
        <f t="shared" si="17"/>
        <v>566</v>
      </c>
    </row>
    <row r="571" spans="1:14" s="103" customFormat="1" x14ac:dyDescent="0.3">
      <c r="A571" s="102" t="s">
        <v>17</v>
      </c>
      <c r="B571" s="102" t="s">
        <v>1613</v>
      </c>
      <c r="C571" s="102" t="s">
        <v>8</v>
      </c>
      <c r="D571" s="103" t="s">
        <v>837</v>
      </c>
      <c r="E571" s="104">
        <v>1</v>
      </c>
      <c r="F571" s="103" t="s">
        <v>838</v>
      </c>
      <c r="G571" s="103" t="s">
        <v>839</v>
      </c>
      <c r="H571" s="103" t="s">
        <v>840</v>
      </c>
      <c r="J571" s="104">
        <v>4.95</v>
      </c>
      <c r="K571" s="103" t="s">
        <v>1914</v>
      </c>
      <c r="L571" s="105"/>
      <c r="M571">
        <f t="shared" si="16"/>
        <v>4.95</v>
      </c>
      <c r="N571" s="103">
        <f t="shared" si="17"/>
        <v>567</v>
      </c>
    </row>
    <row r="572" spans="1:14" s="103" customFormat="1" x14ac:dyDescent="0.3">
      <c r="A572" s="102" t="s">
        <v>17</v>
      </c>
      <c r="B572" s="102" t="s">
        <v>1613</v>
      </c>
      <c r="C572" s="102" t="s">
        <v>8</v>
      </c>
      <c r="D572" s="103" t="s">
        <v>869</v>
      </c>
      <c r="E572" s="104">
        <v>1</v>
      </c>
      <c r="F572" s="103" t="s">
        <v>870</v>
      </c>
      <c r="G572" s="103" t="s">
        <v>871</v>
      </c>
      <c r="H572" s="103" t="s">
        <v>872</v>
      </c>
      <c r="I572" s="103">
        <v>1</v>
      </c>
      <c r="J572" s="104">
        <v>3.95</v>
      </c>
      <c r="K572" s="103" t="s">
        <v>1914</v>
      </c>
      <c r="L572" s="105"/>
      <c r="M572">
        <f t="shared" si="16"/>
        <v>3.95</v>
      </c>
      <c r="N572" s="103">
        <f t="shared" si="17"/>
        <v>568</v>
      </c>
    </row>
    <row r="573" spans="1:14" s="103" customFormat="1" x14ac:dyDescent="0.3">
      <c r="A573" s="102" t="s">
        <v>17</v>
      </c>
      <c r="B573" s="102" t="s">
        <v>1613</v>
      </c>
      <c r="C573" s="102" t="s">
        <v>8</v>
      </c>
      <c r="D573" s="103" t="s">
        <v>861</v>
      </c>
      <c r="E573" s="104">
        <v>1</v>
      </c>
      <c r="F573" s="103" t="s">
        <v>862</v>
      </c>
      <c r="G573" s="103" t="s">
        <v>863</v>
      </c>
      <c r="H573" s="103" t="s">
        <v>864</v>
      </c>
      <c r="I573" s="103">
        <v>1</v>
      </c>
      <c r="J573" s="104">
        <v>3.95</v>
      </c>
      <c r="K573" s="103" t="s">
        <v>1914</v>
      </c>
      <c r="L573" s="105"/>
      <c r="M573">
        <f t="shared" si="16"/>
        <v>3.95</v>
      </c>
      <c r="N573" s="103">
        <f t="shared" si="17"/>
        <v>569</v>
      </c>
    </row>
    <row r="574" spans="1:14" s="103" customFormat="1" x14ac:dyDescent="0.3">
      <c r="A574" s="102" t="s">
        <v>17</v>
      </c>
      <c r="B574" s="102" t="s">
        <v>1613</v>
      </c>
      <c r="C574" s="102" t="s">
        <v>8</v>
      </c>
      <c r="D574" s="103" t="s">
        <v>845</v>
      </c>
      <c r="E574" s="104">
        <v>1</v>
      </c>
      <c r="F574" s="103" t="s">
        <v>846</v>
      </c>
      <c r="G574" s="103" t="s">
        <v>847</v>
      </c>
      <c r="H574" s="103" t="s">
        <v>848</v>
      </c>
      <c r="I574" s="103">
        <v>1</v>
      </c>
      <c r="J574" s="104">
        <v>3.95</v>
      </c>
      <c r="K574" s="103" t="s">
        <v>1914</v>
      </c>
      <c r="L574" s="105"/>
      <c r="M574">
        <f t="shared" si="16"/>
        <v>3.95</v>
      </c>
      <c r="N574" s="103">
        <f t="shared" si="17"/>
        <v>570</v>
      </c>
    </row>
    <row r="575" spans="1:14" s="103" customFormat="1" x14ac:dyDescent="0.3">
      <c r="A575" s="102" t="s">
        <v>17</v>
      </c>
      <c r="B575" s="102" t="s">
        <v>1613</v>
      </c>
      <c r="C575" s="102" t="s">
        <v>8</v>
      </c>
      <c r="D575" s="103" t="s">
        <v>1646</v>
      </c>
      <c r="E575" s="104">
        <v>0</v>
      </c>
      <c r="F575" s="103" t="s">
        <v>1647</v>
      </c>
      <c r="G575" s="103" t="s">
        <v>1648</v>
      </c>
      <c r="H575" s="103" t="s">
        <v>1649</v>
      </c>
      <c r="I575" s="103">
        <v>1</v>
      </c>
      <c r="J575" s="104">
        <v>1.95</v>
      </c>
      <c r="K575" s="103" t="s">
        <v>1914</v>
      </c>
      <c r="L575" s="105"/>
      <c r="M575">
        <f t="shared" si="16"/>
        <v>0</v>
      </c>
      <c r="N575" s="103">
        <f t="shared" si="17"/>
        <v>571</v>
      </c>
    </row>
    <row r="576" spans="1:14" s="103" customFormat="1" hidden="1" x14ac:dyDescent="0.3">
      <c r="A576" s="118" t="s">
        <v>17</v>
      </c>
      <c r="B576" s="118" t="s">
        <v>1613</v>
      </c>
      <c r="C576" s="118" t="s">
        <v>1898</v>
      </c>
      <c r="D576" s="118" t="s">
        <v>2475</v>
      </c>
      <c r="E576" s="119">
        <v>0</v>
      </c>
      <c r="F576" s="105"/>
      <c r="G576" s="105"/>
      <c r="H576" s="118" t="s">
        <v>2474</v>
      </c>
      <c r="I576" s="120">
        <v>113</v>
      </c>
      <c r="J576" s="119">
        <v>11.95</v>
      </c>
      <c r="K576" s="102" t="s">
        <v>1910</v>
      </c>
      <c r="L576" s="105"/>
      <c r="M576">
        <f t="shared" si="16"/>
        <v>0</v>
      </c>
      <c r="N576" s="103">
        <f t="shared" si="17"/>
        <v>572</v>
      </c>
    </row>
    <row r="577" spans="1:14" s="103" customFormat="1" hidden="1" x14ac:dyDescent="0.3">
      <c r="A577" s="118" t="s">
        <v>17</v>
      </c>
      <c r="B577" s="118" t="s">
        <v>1613</v>
      </c>
      <c r="C577" s="118" t="s">
        <v>1898</v>
      </c>
      <c r="D577" s="118" t="s">
        <v>2473</v>
      </c>
      <c r="E577" s="119">
        <v>0</v>
      </c>
      <c r="F577" s="105"/>
      <c r="G577" s="105"/>
      <c r="H577" s="118" t="s">
        <v>2472</v>
      </c>
      <c r="I577" s="120">
        <v>112</v>
      </c>
      <c r="J577" s="119">
        <v>14.95</v>
      </c>
      <c r="K577" s="102" t="s">
        <v>1910</v>
      </c>
      <c r="L577" s="105"/>
      <c r="M577">
        <f t="shared" si="16"/>
        <v>0</v>
      </c>
      <c r="N577" s="103">
        <f t="shared" si="17"/>
        <v>573</v>
      </c>
    </row>
    <row r="578" spans="1:14" s="103" customFormat="1" x14ac:dyDescent="0.3">
      <c r="A578" s="102" t="s">
        <v>17</v>
      </c>
      <c r="B578" s="102" t="s">
        <v>1613</v>
      </c>
      <c r="C578" s="102" t="s">
        <v>8</v>
      </c>
      <c r="D578" s="103" t="s">
        <v>2445</v>
      </c>
      <c r="E578" s="104">
        <v>0</v>
      </c>
      <c r="F578" s="103" t="s">
        <v>2446</v>
      </c>
      <c r="G578" s="103" t="s">
        <v>2447</v>
      </c>
      <c r="H578" s="103" t="s">
        <v>2448</v>
      </c>
      <c r="I578" s="103">
        <v>1</v>
      </c>
      <c r="J578" s="104">
        <v>9.9499999999999993</v>
      </c>
      <c r="K578" s="103" t="s">
        <v>1914</v>
      </c>
      <c r="M578">
        <f t="shared" si="16"/>
        <v>0</v>
      </c>
      <c r="N578" s="103">
        <f t="shared" si="17"/>
        <v>574</v>
      </c>
    </row>
    <row r="579" spans="1:14" s="103" customFormat="1" hidden="1" x14ac:dyDescent="0.3">
      <c r="A579" s="118" t="s">
        <v>17</v>
      </c>
      <c r="B579" s="118" t="s">
        <v>1613</v>
      </c>
      <c r="C579" s="118" t="s">
        <v>1898</v>
      </c>
      <c r="D579" s="118" t="s">
        <v>2471</v>
      </c>
      <c r="E579" s="119">
        <v>0</v>
      </c>
      <c r="F579" s="105"/>
      <c r="G579" s="105"/>
      <c r="H579" s="118" t="s">
        <v>2470</v>
      </c>
      <c r="I579" s="120">
        <v>111</v>
      </c>
      <c r="J579" s="119">
        <v>14.95</v>
      </c>
      <c r="K579" s="102" t="s">
        <v>1910</v>
      </c>
      <c r="L579" s="105"/>
      <c r="M579">
        <f t="shared" si="16"/>
        <v>0</v>
      </c>
      <c r="N579" s="103">
        <f t="shared" si="17"/>
        <v>575</v>
      </c>
    </row>
    <row r="580" spans="1:14" s="103" customFormat="1" x14ac:dyDescent="0.3">
      <c r="A580" s="102" t="s">
        <v>17</v>
      </c>
      <c r="B580" s="102" t="s">
        <v>1613</v>
      </c>
      <c r="C580" s="102" t="s">
        <v>8</v>
      </c>
      <c r="D580" s="103" t="s">
        <v>841</v>
      </c>
      <c r="E580" s="104">
        <v>0</v>
      </c>
      <c r="F580" s="103" t="s">
        <v>842</v>
      </c>
      <c r="G580" s="103" t="s">
        <v>843</v>
      </c>
      <c r="H580" s="103" t="s">
        <v>844</v>
      </c>
      <c r="I580" s="103">
        <v>1</v>
      </c>
      <c r="J580" s="104">
        <v>1.95</v>
      </c>
      <c r="K580" s="103" t="s">
        <v>1914</v>
      </c>
      <c r="M580">
        <f t="shared" si="16"/>
        <v>0</v>
      </c>
      <c r="N580" s="103">
        <f t="shared" si="17"/>
        <v>576</v>
      </c>
    </row>
    <row r="581" spans="1:14" s="103" customFormat="1" hidden="1" x14ac:dyDescent="0.3">
      <c r="A581" s="102" t="s">
        <v>17</v>
      </c>
      <c r="B581" s="102" t="s">
        <v>1613</v>
      </c>
      <c r="C581" s="102" t="s">
        <v>8</v>
      </c>
      <c r="D581" s="103" t="s">
        <v>877</v>
      </c>
      <c r="E581" s="104">
        <v>0</v>
      </c>
      <c r="F581" s="103" t="s">
        <v>878</v>
      </c>
      <c r="G581" s="103" t="s">
        <v>879</v>
      </c>
      <c r="H581" s="103" t="s">
        <v>880</v>
      </c>
      <c r="I581" s="103">
        <v>1</v>
      </c>
      <c r="J581" s="104">
        <v>6.95</v>
      </c>
      <c r="K581" s="103" t="s">
        <v>1914</v>
      </c>
      <c r="L581" s="103" t="s">
        <v>1209</v>
      </c>
      <c r="M581">
        <f t="shared" ref="M581:M591" si="18">E581*J581</f>
        <v>0</v>
      </c>
      <c r="N581" s="103">
        <f t="shared" ref="N581:N591" si="19">IF($N580="List #",1,$N580+1)</f>
        <v>577</v>
      </c>
    </row>
    <row r="582" spans="1:14" s="103" customFormat="1" x14ac:dyDescent="0.3">
      <c r="A582" s="102" t="s">
        <v>17</v>
      </c>
      <c r="B582" s="102" t="s">
        <v>1613</v>
      </c>
      <c r="C582" s="102" t="s">
        <v>8</v>
      </c>
      <c r="D582" s="103" t="s">
        <v>865</v>
      </c>
      <c r="E582" s="104">
        <v>0</v>
      </c>
      <c r="F582" s="103" t="s">
        <v>866</v>
      </c>
      <c r="G582" s="103" t="s">
        <v>867</v>
      </c>
      <c r="H582" s="103" t="s">
        <v>868</v>
      </c>
      <c r="I582" s="103">
        <v>1</v>
      </c>
      <c r="J582" s="104">
        <v>2.95</v>
      </c>
      <c r="K582" s="103" t="s">
        <v>1914</v>
      </c>
      <c r="L582" s="105"/>
      <c r="M582">
        <f t="shared" si="18"/>
        <v>0</v>
      </c>
      <c r="N582" s="103">
        <f t="shared" si="19"/>
        <v>578</v>
      </c>
    </row>
    <row r="583" spans="1:14" s="103" customFormat="1" x14ac:dyDescent="0.3">
      <c r="A583" s="102" t="s">
        <v>17</v>
      </c>
      <c r="B583" s="102" t="s">
        <v>1613</v>
      </c>
      <c r="C583" s="102" t="s">
        <v>8</v>
      </c>
      <c r="D583" s="103" t="s">
        <v>1176</v>
      </c>
      <c r="E583" s="104">
        <v>0</v>
      </c>
      <c r="F583" s="103" t="s">
        <v>1177</v>
      </c>
      <c r="G583" s="103" t="s">
        <v>1178</v>
      </c>
      <c r="H583" s="103" t="s">
        <v>1179</v>
      </c>
      <c r="J583" s="104">
        <v>1.95</v>
      </c>
      <c r="K583" s="103" t="s">
        <v>1914</v>
      </c>
      <c r="L583" s="105"/>
      <c r="M583">
        <f t="shared" si="18"/>
        <v>0</v>
      </c>
      <c r="N583" s="103">
        <f t="shared" si="19"/>
        <v>579</v>
      </c>
    </row>
    <row r="584" spans="1:14" s="103" customFormat="1" x14ac:dyDescent="0.3">
      <c r="A584" s="102" t="s">
        <v>17</v>
      </c>
      <c r="B584" s="102" t="s">
        <v>1613</v>
      </c>
      <c r="C584" s="102" t="s">
        <v>8</v>
      </c>
      <c r="D584" s="103" t="s">
        <v>833</v>
      </c>
      <c r="E584" s="104">
        <v>1</v>
      </c>
      <c r="F584" s="103" t="s">
        <v>834</v>
      </c>
      <c r="G584" s="103" t="s">
        <v>835</v>
      </c>
      <c r="H584" s="103" t="s">
        <v>836</v>
      </c>
      <c r="J584" s="104">
        <v>4.8</v>
      </c>
      <c r="K584" s="103" t="s">
        <v>1914</v>
      </c>
      <c r="L584" s="105"/>
      <c r="M584">
        <f t="shared" si="18"/>
        <v>4.8</v>
      </c>
      <c r="N584" s="103">
        <f t="shared" si="19"/>
        <v>580</v>
      </c>
    </row>
    <row r="585" spans="1:14" s="103" customFormat="1" hidden="1" x14ac:dyDescent="0.3">
      <c r="A585" s="102" t="s">
        <v>17</v>
      </c>
      <c r="B585" s="102" t="s">
        <v>1654</v>
      </c>
      <c r="C585" s="102" t="s">
        <v>8</v>
      </c>
      <c r="D585" s="103" t="s">
        <v>1630</v>
      </c>
      <c r="E585" s="104">
        <v>0</v>
      </c>
      <c r="F585" s="103" t="s">
        <v>1631</v>
      </c>
      <c r="G585" s="103" t="s">
        <v>1632</v>
      </c>
      <c r="H585" s="103" t="s">
        <v>1633</v>
      </c>
      <c r="J585" s="104">
        <v>3.95</v>
      </c>
      <c r="K585" s="103" t="s">
        <v>1910</v>
      </c>
      <c r="L585" s="105"/>
      <c r="M585">
        <f t="shared" si="18"/>
        <v>0</v>
      </c>
      <c r="N585" s="103">
        <f t="shared" si="19"/>
        <v>581</v>
      </c>
    </row>
    <row r="586" spans="1:14" s="103" customFormat="1" hidden="1" x14ac:dyDescent="0.3">
      <c r="A586" s="102" t="s">
        <v>17</v>
      </c>
      <c r="B586" s="102" t="s">
        <v>1654</v>
      </c>
      <c r="C586" s="102" t="s">
        <v>8</v>
      </c>
      <c r="D586" s="103" t="s">
        <v>1634</v>
      </c>
      <c r="E586" s="104">
        <v>0</v>
      </c>
      <c r="F586" s="103" t="s">
        <v>1635</v>
      </c>
      <c r="G586" s="103" t="s">
        <v>1636</v>
      </c>
      <c r="H586" s="103" t="s">
        <v>1637</v>
      </c>
      <c r="J586" s="104">
        <v>3.95</v>
      </c>
      <c r="K586" s="103" t="s">
        <v>1910</v>
      </c>
      <c r="L586" s="105"/>
      <c r="M586">
        <f t="shared" si="18"/>
        <v>0</v>
      </c>
      <c r="N586" s="103">
        <f t="shared" si="19"/>
        <v>582</v>
      </c>
    </row>
    <row r="587" spans="1:14" s="12" customFormat="1" hidden="1" x14ac:dyDescent="0.3">
      <c r="A587" s="12" t="s">
        <v>17</v>
      </c>
      <c r="B587" s="12" t="s">
        <v>1654</v>
      </c>
      <c r="C587" s="12" t="s">
        <v>1898</v>
      </c>
      <c r="D587" s="12" t="s">
        <v>2087</v>
      </c>
      <c r="E587" s="89">
        <v>0</v>
      </c>
      <c r="H587" s="51" t="s">
        <v>2086</v>
      </c>
      <c r="I587"/>
      <c r="J587" s="95">
        <v>2.5</v>
      </c>
      <c r="K587" s="51" t="s">
        <v>1910</v>
      </c>
      <c r="L587"/>
      <c r="M587">
        <f t="shared" si="18"/>
        <v>0</v>
      </c>
      <c r="N587" s="12">
        <f t="shared" si="19"/>
        <v>583</v>
      </c>
    </row>
    <row r="588" spans="1:14" s="12" customFormat="1" x14ac:dyDescent="0.3">
      <c r="A588" s="12" t="s">
        <v>17</v>
      </c>
      <c r="B588" s="12" t="s">
        <v>1654</v>
      </c>
      <c r="C588" s="12" t="s">
        <v>1898</v>
      </c>
      <c r="D588" s="12" t="s">
        <v>2085</v>
      </c>
      <c r="E588" s="89">
        <v>1</v>
      </c>
      <c r="H588" s="51" t="s">
        <v>2084</v>
      </c>
      <c r="I588"/>
      <c r="J588" s="95">
        <v>2.95</v>
      </c>
      <c r="K588" s="51" t="s">
        <v>1910</v>
      </c>
      <c r="L588"/>
      <c r="M588">
        <f t="shared" si="18"/>
        <v>2.95</v>
      </c>
      <c r="N588" s="12">
        <f t="shared" si="19"/>
        <v>584</v>
      </c>
    </row>
    <row r="589" spans="1:14" s="12" customFormat="1" x14ac:dyDescent="0.3">
      <c r="A589" s="12" t="s">
        <v>17</v>
      </c>
      <c r="B589" s="12" t="s">
        <v>1654</v>
      </c>
      <c r="C589" s="12" t="s">
        <v>1898</v>
      </c>
      <c r="D589" s="12" t="s">
        <v>2081</v>
      </c>
      <c r="E589" s="89">
        <v>1</v>
      </c>
      <c r="H589" s="51" t="s">
        <v>2080</v>
      </c>
      <c r="I589"/>
      <c r="J589" s="95">
        <v>2.95</v>
      </c>
      <c r="K589" s="51" t="s">
        <v>1910</v>
      </c>
      <c r="L589"/>
      <c r="M589">
        <f t="shared" si="18"/>
        <v>2.95</v>
      </c>
      <c r="N589" s="12">
        <f t="shared" si="19"/>
        <v>585</v>
      </c>
    </row>
    <row r="590" spans="1:14" s="12" customFormat="1" x14ac:dyDescent="0.3">
      <c r="A590" s="12" t="s">
        <v>17</v>
      </c>
      <c r="B590" s="12" t="s">
        <v>1654</v>
      </c>
      <c r="C590" s="12" t="s">
        <v>1898</v>
      </c>
      <c r="D590" s="12" t="s">
        <v>2083</v>
      </c>
      <c r="E590" s="89">
        <v>1</v>
      </c>
      <c r="H590" s="51" t="s">
        <v>2082</v>
      </c>
      <c r="I590"/>
      <c r="J590" s="95">
        <v>3.95</v>
      </c>
      <c r="K590" s="51" t="s">
        <v>1910</v>
      </c>
      <c r="L590"/>
      <c r="M590">
        <f t="shared" si="18"/>
        <v>3.95</v>
      </c>
      <c r="N590" s="12">
        <f t="shared" si="19"/>
        <v>586</v>
      </c>
    </row>
    <row r="591" spans="1:14" s="12" customFormat="1" x14ac:dyDescent="0.3">
      <c r="A591" s="12" t="s">
        <v>17</v>
      </c>
      <c r="B591" s="12" t="s">
        <v>1654</v>
      </c>
      <c r="C591" s="12" t="s">
        <v>1898</v>
      </c>
      <c r="D591" s="12" t="s">
        <v>2077</v>
      </c>
      <c r="E591" s="89">
        <v>1</v>
      </c>
      <c r="H591" s="51" t="s">
        <v>2076</v>
      </c>
      <c r="I591"/>
      <c r="J591" s="95">
        <v>3.95</v>
      </c>
      <c r="K591" s="51" t="s">
        <v>1910</v>
      </c>
      <c r="L591"/>
      <c r="M591">
        <f t="shared" si="18"/>
        <v>3.95</v>
      </c>
      <c r="N591" s="12">
        <f t="shared" si="19"/>
        <v>587</v>
      </c>
    </row>
    <row r="592" spans="1:14" s="12" customFormat="1" x14ac:dyDescent="0.3">
      <c r="A592" s="51" t="s">
        <v>1411</v>
      </c>
      <c r="B592" s="51">
        <f>SUBTOTAL(103,RawListTable[Category])</f>
        <v>278</v>
      </c>
      <c r="C592" s="51"/>
      <c r="E592" s="12">
        <f>SUBTOTAL(109,RawListTable[Qty.])</f>
        <v>1000</v>
      </c>
      <c r="J592" s="14">
        <f>SUBTOTAL(101,RawListTable[Price (USD)])</f>
        <v>7.0050719424460706</v>
      </c>
      <c r="K592" s="14"/>
      <c r="L592" s="12">
        <f>SUBTOTAL(103,RawListTable[Description/Comments])</f>
        <v>10</v>
      </c>
      <c r="M592" s="12">
        <f>SUBTOTAL(109,RawListTable[Total Price])</f>
        <v>4907.5199999999868</v>
      </c>
      <c r="N592" s="12">
        <f>SUBTOTAL(103,RawListTable[List '#])</f>
        <v>278</v>
      </c>
    </row>
    <row r="593" spans="1:14" x14ac:dyDescent="0.3">
      <c r="A593" s="51">
        <f>Primary!A154+Secondary!A42+'Advanced&amp;Optional'!A29+'SmartHome&amp;IoT'!A43+Hardware!A47+LowLevel!A242+Tools!A42</f>
        <v>585</v>
      </c>
      <c r="D593" s="12"/>
      <c r="E593" s="12"/>
      <c r="F593" s="12"/>
      <c r="G593" s="12"/>
      <c r="H593" s="12"/>
      <c r="I593" s="12"/>
      <c r="J593" s="12"/>
      <c r="K593" s="12"/>
      <c r="L593" s="12"/>
    </row>
    <row r="594" spans="1:14" x14ac:dyDescent="0.3">
      <c r="D594" s="12"/>
      <c r="E594" s="12"/>
      <c r="F594" s="12"/>
      <c r="G594" s="12"/>
      <c r="H594" s="12"/>
      <c r="I594" s="12"/>
      <c r="J594" s="12"/>
      <c r="K594" s="12"/>
      <c r="L594" s="12"/>
    </row>
    <row r="595" spans="1:14" x14ac:dyDescent="0.3">
      <c r="D595" s="12"/>
      <c r="E595" s="12"/>
      <c r="F595" s="12"/>
      <c r="G595" s="12"/>
    </row>
    <row r="596" spans="1:14" ht="33.6" x14ac:dyDescent="0.3">
      <c r="A596" s="187" t="s">
        <v>2485</v>
      </c>
      <c r="B596" s="187"/>
      <c r="C596" s="137"/>
      <c r="D596" s="12"/>
      <c r="E596" s="12"/>
      <c r="F596" s="12"/>
      <c r="G596" s="12"/>
      <c r="H596" s="144"/>
      <c r="I596" s="144"/>
      <c r="J596" s="144"/>
      <c r="K596" s="144"/>
      <c r="L596" s="144"/>
      <c r="M596" s="144"/>
      <c r="N596" s="144"/>
    </row>
    <row r="597" spans="1:14" x14ac:dyDescent="0.3">
      <c r="A597" s="51" t="s">
        <v>896</v>
      </c>
      <c r="B597" s="51" t="s">
        <v>994</v>
      </c>
      <c r="C597" s="51" t="s">
        <v>8</v>
      </c>
      <c r="D597" s="12" t="s">
        <v>1771</v>
      </c>
      <c r="E597" s="89">
        <v>1</v>
      </c>
      <c r="F597" s="12" t="s">
        <v>1772</v>
      </c>
      <c r="G597" s="12" t="s">
        <v>1773</v>
      </c>
      <c r="H597" s="12" t="s">
        <v>1774</v>
      </c>
      <c r="I597" s="12">
        <v>1</v>
      </c>
      <c r="J597" s="89">
        <v>9.9499999999999993</v>
      </c>
      <c r="K597" s="12" t="s">
        <v>1910</v>
      </c>
    </row>
    <row r="598" spans="1:14" x14ac:dyDescent="0.3">
      <c r="A598" s="12" t="s">
        <v>896</v>
      </c>
      <c r="B598" s="12" t="s">
        <v>994</v>
      </c>
      <c r="C598" s="12" t="s">
        <v>1898</v>
      </c>
      <c r="D598" s="12" t="s">
        <v>2112</v>
      </c>
      <c r="E598" s="89">
        <v>0</v>
      </c>
      <c r="F598" s="12"/>
      <c r="G598" s="12"/>
      <c r="H598" s="51" t="s">
        <v>2113</v>
      </c>
      <c r="J598" s="95">
        <v>14.95</v>
      </c>
      <c r="K598" s="51" t="s">
        <v>1910</v>
      </c>
    </row>
    <row r="599" spans="1:14" x14ac:dyDescent="0.3">
      <c r="A599" s="12" t="s">
        <v>896</v>
      </c>
      <c r="B599" s="12" t="s">
        <v>994</v>
      </c>
      <c r="C599" s="12" t="s">
        <v>1898</v>
      </c>
      <c r="D599" s="12" t="s">
        <v>2100</v>
      </c>
      <c r="E599" s="89">
        <v>0</v>
      </c>
      <c r="F599" s="12"/>
      <c r="G599" s="12"/>
      <c r="H599" s="51" t="s">
        <v>2101</v>
      </c>
      <c r="J599" s="95">
        <v>9.9499999999999993</v>
      </c>
      <c r="K599" s="51" t="s">
        <v>1910</v>
      </c>
    </row>
    <row r="600" spans="1:14" x14ac:dyDescent="0.3">
      <c r="A600" s="12" t="s">
        <v>896</v>
      </c>
      <c r="B600" s="12" t="s">
        <v>994</v>
      </c>
      <c r="C600" s="12" t="s">
        <v>1898</v>
      </c>
      <c r="D600" s="12" t="s">
        <v>2104</v>
      </c>
      <c r="E600" s="89">
        <v>0</v>
      </c>
      <c r="F600" s="12"/>
      <c r="G600" s="12"/>
      <c r="H600" s="51" t="s">
        <v>2105</v>
      </c>
      <c r="J600" s="95">
        <v>14.95</v>
      </c>
      <c r="K600" s="51" t="s">
        <v>1910</v>
      </c>
    </row>
    <row r="601" spans="1:14" x14ac:dyDescent="0.3">
      <c r="A601" s="103" t="s">
        <v>894</v>
      </c>
      <c r="B601" s="103" t="s">
        <v>2040</v>
      </c>
      <c r="C601" s="103" t="s">
        <v>8</v>
      </c>
      <c r="D601" s="103" t="s">
        <v>36</v>
      </c>
      <c r="E601" s="104">
        <v>5</v>
      </c>
      <c r="F601" s="103" t="s">
        <v>37</v>
      </c>
      <c r="G601" s="103" t="s">
        <v>38</v>
      </c>
      <c r="H601" s="102" t="s">
        <v>39</v>
      </c>
      <c r="I601" s="105">
        <v>1</v>
      </c>
      <c r="J601" s="111">
        <v>29.95</v>
      </c>
      <c r="K601" s="102" t="s">
        <v>1911</v>
      </c>
      <c r="L601" s="105"/>
      <c r="M601" s="105">
        <v>149.75</v>
      </c>
      <c r="N601" s="105"/>
    </row>
    <row r="602" spans="1:14" x14ac:dyDescent="0.3">
      <c r="A602" s="102" t="s">
        <v>894</v>
      </c>
      <c r="B602" s="102" t="s">
        <v>2031</v>
      </c>
      <c r="C602" s="102" t="s">
        <v>8</v>
      </c>
      <c r="D602" s="103" t="s">
        <v>116</v>
      </c>
      <c r="E602" s="104">
        <v>5</v>
      </c>
      <c r="F602" s="103" t="s">
        <v>117</v>
      </c>
      <c r="G602" s="103" t="s">
        <v>118</v>
      </c>
      <c r="H602" s="103" t="s">
        <v>119</v>
      </c>
      <c r="I602" s="103">
        <v>1</v>
      </c>
      <c r="J602" s="104">
        <v>12.95</v>
      </c>
      <c r="K602" s="103" t="s">
        <v>1911</v>
      </c>
      <c r="L602" s="105"/>
      <c r="M602" s="105">
        <v>64.75</v>
      </c>
      <c r="N602" s="105"/>
    </row>
    <row r="603" spans="1:14" x14ac:dyDescent="0.3">
      <c r="A603" s="102" t="s">
        <v>894</v>
      </c>
      <c r="B603" s="102" t="s">
        <v>13</v>
      </c>
      <c r="C603" s="102" t="s">
        <v>8</v>
      </c>
      <c r="D603" s="103" t="s">
        <v>260</v>
      </c>
      <c r="E603" s="104">
        <v>5</v>
      </c>
      <c r="F603" s="103" t="s">
        <v>261</v>
      </c>
      <c r="G603" s="103" t="s">
        <v>262</v>
      </c>
      <c r="H603" s="103" t="s">
        <v>263</v>
      </c>
      <c r="I603" s="103">
        <v>1</v>
      </c>
      <c r="J603" s="104">
        <v>6.95</v>
      </c>
      <c r="K603" s="103" t="s">
        <v>1911</v>
      </c>
      <c r="L603" s="105"/>
      <c r="M603" s="105">
        <v>34.75</v>
      </c>
      <c r="N603" s="105"/>
    </row>
    <row r="604" spans="1:14" x14ac:dyDescent="0.3">
      <c r="A604" s="102" t="s">
        <v>895</v>
      </c>
      <c r="B604" s="102" t="s">
        <v>899</v>
      </c>
      <c r="C604" s="102" t="s">
        <v>8</v>
      </c>
      <c r="D604" s="103" t="s">
        <v>363</v>
      </c>
      <c r="E604" s="104">
        <v>0</v>
      </c>
      <c r="F604" s="103" t="s">
        <v>364</v>
      </c>
      <c r="G604" s="103" t="s">
        <v>365</v>
      </c>
      <c r="H604" s="103" t="s">
        <v>366</v>
      </c>
      <c r="I604" s="103">
        <v>1</v>
      </c>
      <c r="J604" s="104">
        <v>2.95</v>
      </c>
      <c r="K604" s="103" t="s">
        <v>2487</v>
      </c>
      <c r="L604" s="103"/>
      <c r="M604" s="103">
        <v>0</v>
      </c>
      <c r="N604" s="105"/>
    </row>
    <row r="605" spans="1:14" x14ac:dyDescent="0.3">
      <c r="A605" s="102" t="s">
        <v>895</v>
      </c>
      <c r="B605" s="102" t="s">
        <v>899</v>
      </c>
      <c r="C605" s="102" t="s">
        <v>8</v>
      </c>
      <c r="D605" s="103" t="s">
        <v>1185</v>
      </c>
      <c r="E605" s="104">
        <v>0</v>
      </c>
      <c r="F605" s="103" t="s">
        <v>1186</v>
      </c>
      <c r="G605" s="103" t="s">
        <v>1187</v>
      </c>
      <c r="H605" s="103" t="s">
        <v>1188</v>
      </c>
      <c r="I605" s="103">
        <v>1</v>
      </c>
      <c r="J605" s="104">
        <v>9.9499999999999993</v>
      </c>
      <c r="K605" s="103" t="s">
        <v>2487</v>
      </c>
      <c r="L605" s="105"/>
      <c r="M605" s="103">
        <v>0</v>
      </c>
      <c r="N605" s="105"/>
    </row>
    <row r="606" spans="1:14" x14ac:dyDescent="0.3">
      <c r="A606" s="51" t="s">
        <v>895</v>
      </c>
      <c r="B606" s="51" t="s">
        <v>1607</v>
      </c>
      <c r="C606" s="51" t="s">
        <v>8</v>
      </c>
      <c r="D606" s="12" t="s">
        <v>1108</v>
      </c>
      <c r="E606" s="89">
        <v>1</v>
      </c>
      <c r="F606" s="12" t="s">
        <v>1109</v>
      </c>
      <c r="G606" s="12" t="s">
        <v>1110</v>
      </c>
      <c r="H606" s="12" t="s">
        <v>1111</v>
      </c>
      <c r="I606" s="12"/>
      <c r="J606" s="89">
        <v>24.95</v>
      </c>
      <c r="K606" s="12" t="s">
        <v>1910</v>
      </c>
      <c r="M606" s="12">
        <v>24.95</v>
      </c>
    </row>
    <row r="607" spans="1:14" x14ac:dyDescent="0.3">
      <c r="A607" s="99" t="s">
        <v>1070</v>
      </c>
      <c r="B607" s="100" t="s">
        <v>1013</v>
      </c>
      <c r="C607" s="100" t="s">
        <v>8</v>
      </c>
      <c r="D607" s="69" t="s">
        <v>989</v>
      </c>
      <c r="E607" s="98">
        <v>0</v>
      </c>
      <c r="F607" s="69" t="s">
        <v>990</v>
      </c>
      <c r="G607" s="69" t="s">
        <v>991</v>
      </c>
      <c r="H607" s="69" t="s">
        <v>992</v>
      </c>
      <c r="I607" s="69">
        <v>1</v>
      </c>
      <c r="J607" s="98">
        <v>44.95</v>
      </c>
      <c r="K607" s="69" t="s">
        <v>1914</v>
      </c>
      <c r="L607" s="69" t="s">
        <v>1057</v>
      </c>
      <c r="M607" s="69">
        <v>0</v>
      </c>
      <c r="N607" s="70"/>
    </row>
    <row r="608" spans="1:14" x14ac:dyDescent="0.3">
      <c r="A608" s="12" t="s">
        <v>1070</v>
      </c>
      <c r="B608" s="12" t="s">
        <v>1013</v>
      </c>
      <c r="C608" s="12" t="s">
        <v>1898</v>
      </c>
      <c r="D608" s="12" t="s">
        <v>2094</v>
      </c>
      <c r="E608" s="89">
        <v>0</v>
      </c>
      <c r="F608" s="12"/>
      <c r="G608" s="12"/>
      <c r="H608" s="12" t="s">
        <v>2095</v>
      </c>
      <c r="I608" s="12"/>
      <c r="J608" s="89">
        <v>44.95</v>
      </c>
      <c r="K608" s="12" t="s">
        <v>1910</v>
      </c>
    </row>
    <row r="609" spans="1:14" x14ac:dyDescent="0.3">
      <c r="A609" s="12" t="s">
        <v>1070</v>
      </c>
      <c r="B609" s="12" t="s">
        <v>2065</v>
      </c>
      <c r="C609" s="12" t="s">
        <v>1898</v>
      </c>
      <c r="D609" s="12" t="s">
        <v>2073</v>
      </c>
      <c r="E609" s="89">
        <v>1</v>
      </c>
      <c r="F609" s="12"/>
      <c r="G609" s="12"/>
      <c r="H609" s="12" t="s">
        <v>2072</v>
      </c>
      <c r="I609" s="12"/>
      <c r="J609" s="89">
        <v>39.950000000000003</v>
      </c>
      <c r="K609" s="12" t="s">
        <v>1910</v>
      </c>
    </row>
    <row r="610" spans="1:14" x14ac:dyDescent="0.3">
      <c r="A610" s="12" t="s">
        <v>1070</v>
      </c>
      <c r="B610" s="92" t="s">
        <v>2028</v>
      </c>
      <c r="C610" s="12" t="s">
        <v>1898</v>
      </c>
      <c r="D610" s="12" t="s">
        <v>2098</v>
      </c>
      <c r="E610" s="89">
        <v>0</v>
      </c>
      <c r="F610" s="12"/>
      <c r="G610" s="12"/>
      <c r="H610" s="51" t="s">
        <v>2099</v>
      </c>
      <c r="J610" s="95">
        <v>44.95</v>
      </c>
      <c r="K610" s="51" t="s">
        <v>1910</v>
      </c>
    </row>
    <row r="611" spans="1:14" x14ac:dyDescent="0.3">
      <c r="A611" s="102" t="s">
        <v>1070</v>
      </c>
      <c r="B611" s="117" t="s">
        <v>1437</v>
      </c>
      <c r="C611" s="117" t="s">
        <v>8</v>
      </c>
      <c r="D611" s="103" t="s">
        <v>977</v>
      </c>
      <c r="E611" s="104">
        <v>1</v>
      </c>
      <c r="F611" s="103" t="s">
        <v>978</v>
      </c>
      <c r="G611" s="103" t="s">
        <v>979</v>
      </c>
      <c r="H611" s="103" t="s">
        <v>980</v>
      </c>
      <c r="I611" s="103">
        <v>1</v>
      </c>
      <c r="J611" s="104">
        <v>49.95</v>
      </c>
      <c r="K611" s="103" t="s">
        <v>1910</v>
      </c>
      <c r="L611" s="103" t="s">
        <v>1061</v>
      </c>
      <c r="M611" s="103">
        <v>49.95</v>
      </c>
      <c r="N611" s="105"/>
    </row>
  </sheetData>
  <mergeCells count="1">
    <mergeCell ref="A596:B596"/>
  </mergeCells>
  <conditionalFormatting sqref="A1:M120 A122:M1048576">
    <cfRule type="expression" dxfId="343" priority="1084">
      <formula>AND($E1=0,NOT(ISBLANK($E1)))</formula>
    </cfRule>
  </conditionalFormatting>
  <conditionalFormatting sqref="N2">
    <cfRule type="expression" dxfId="342" priority="1304">
      <formula>AND($E2=0,NOT(ISBLANK($E2)))</formula>
    </cfRule>
  </conditionalFormatting>
  <conditionalFormatting sqref="E121">
    <cfRule type="expression" dxfId="341" priority="1">
      <formula>AND($E121=0,NOT(ISBLANK($E121)))</formula>
    </cfRule>
  </conditionalFormatting>
  <dataValidations disablePrompts="1" count="3">
    <dataValidation allowBlank="1" showInputMessage="1" showErrorMessage="1" prompt="Title of this worksheet is in this cell" sqref="A1" xr:uid="{BFB0C8DF-CF3B-4E22-B4BC-3EBC6E027E80}"/>
    <dataValidation allowBlank="1" showInputMessage="1" showErrorMessage="1" prompt="Title of this worksheet is in cells B1 through D1" sqref="A596" xr:uid="{8E942F3C-5CA7-482C-8BDA-EC71D9192273}"/>
    <dataValidation type="list" allowBlank="1" showInputMessage="1" showErrorMessage="1" sqref="A256" xr:uid="{79283BEC-4A34-4A76-87B7-70434516C94E}">
      <formula1>$C$6:$C$13</formula1>
    </dataValidation>
  </dataValidations>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080" id="{54B0C499-EDF7-4A72-9067-E7FE7F3D1CDD}">
            <xm:f>$K601=FilterSpecs!$F$13</xm:f>
            <x14:dxf>
              <font>
                <b/>
                <i val="0"/>
                <color theme="0"/>
              </font>
              <fill>
                <patternFill>
                  <bgColor theme="9" tint="-0.499984740745262"/>
                </patternFill>
              </fill>
            </x14:dxf>
          </x14:cfRule>
          <x14:cfRule type="expression" priority="1081" id="{55A52834-7ECF-45A3-AE4A-D69155792642}">
            <xm:f>$K601=FilterSpecs!$E$13</xm:f>
            <x14:dxf>
              <font>
                <b/>
                <i val="0"/>
                <color theme="0"/>
              </font>
              <fill>
                <patternFill>
                  <bgColor theme="9" tint="-0.499984740745262"/>
                </patternFill>
              </fill>
            </x14:dxf>
          </x14:cfRule>
          <x14:cfRule type="expression" priority="1082" id="{29807D33-E9C2-4918-A45B-2FCD2860DACC}">
            <xm:f>$K601=FilterSpecs!$F$12</xm:f>
            <x14:dxf>
              <font>
                <b/>
                <i val="0"/>
                <color theme="0"/>
              </font>
              <fill>
                <patternFill>
                  <bgColor rgb="FFFF4F4F"/>
                </patternFill>
              </fill>
            </x14:dxf>
          </x14:cfRule>
          <x14:cfRule type="expression" priority="1083" id="{2458F256-ADB8-4B4C-8F50-E95ED443D9F1}">
            <xm:f>$K601=FilterSpecs!$F$9</xm:f>
            <x14:dxf>
              <font>
                <b/>
                <i val="0"/>
                <color theme="0"/>
              </font>
              <fill>
                <patternFill>
                  <bgColor rgb="FFFF0000"/>
                </patternFill>
              </fill>
            </x14:dxf>
          </x14:cfRule>
          <x14:cfRule type="expression" priority="1085" id="{64A1DCD8-5AD2-46C9-B02E-1A4DE473B793}">
            <xm:f>$K601=FilterSpecs!$F$7</xm:f>
            <x14:dxf>
              <font>
                <b/>
                <i val="0"/>
                <color theme="0"/>
              </font>
              <fill>
                <patternFill>
                  <bgColor rgb="FF00B0F0"/>
                </patternFill>
              </fill>
            </x14:dxf>
          </x14:cfRule>
          <x14:cfRule type="expression" priority="1086" id="{1C33E49F-7E97-40DA-92B7-BCCDF9D29D6D}">
            <xm:f>$K601=FilterSpecs!$F$10</xm:f>
            <x14:dxf>
              <font>
                <b/>
                <i val="0"/>
                <color theme="0"/>
              </font>
              <fill>
                <patternFill>
                  <bgColor rgb="FF002060"/>
                </patternFill>
              </fill>
            </x14:dxf>
          </x14:cfRule>
          <x14:cfRule type="expression" priority="1090" id="{3886C0E2-B08D-447D-8EF4-FC17D61D9622}">
            <xm:f>$K601=FilterSpecs!$F$7</xm:f>
            <x14:dxf>
              <font>
                <b/>
                <i val="0"/>
                <color theme="0"/>
              </font>
              <fill>
                <patternFill>
                  <bgColor rgb="FF00B0F0"/>
                </patternFill>
              </fill>
            </x14:dxf>
          </x14:cfRule>
          <xm:sqref>A601:M611</xm:sqref>
        </x14:conditionalFormatting>
        <x14:conditionalFormatting xmlns:xm="http://schemas.microsoft.com/office/excel/2006/main">
          <x14:cfRule type="expression" priority="1534" id="{8D7BC319-4BB2-45AF-A7AC-22D3676BFA58}">
            <xm:f>$G157=FilterSpecs!$F$13</xm:f>
            <x14:dxf>
              <font>
                <b/>
                <i val="0"/>
                <color theme="0"/>
              </font>
              <fill>
                <patternFill>
                  <bgColor theme="9" tint="-0.499984740745262"/>
                </patternFill>
              </fill>
            </x14:dxf>
          </x14:cfRule>
          <x14:cfRule type="expression" priority="1535" id="{2789F04D-4D31-48CA-ADDE-B767870161FF}">
            <xm:f>$G157=FilterSpecs!$E$13</xm:f>
            <x14:dxf>
              <font>
                <b/>
                <i val="0"/>
                <color theme="0"/>
              </font>
              <fill>
                <patternFill>
                  <bgColor theme="9" tint="-0.499984740745262"/>
                </patternFill>
              </fill>
            </x14:dxf>
          </x14:cfRule>
          <x14:cfRule type="expression" priority="1536" id="{B34CF8E8-895B-4A9F-B9C1-9D04AC68ED63}">
            <xm:f>$G157=FilterSpecs!$F$12</xm:f>
            <x14:dxf>
              <font>
                <b/>
                <i val="0"/>
                <color theme="0"/>
              </font>
              <fill>
                <patternFill>
                  <bgColor rgb="FFFF4F4F"/>
                </patternFill>
              </fill>
            </x14:dxf>
          </x14:cfRule>
          <x14:cfRule type="expression" priority="1537" id="{7D897FA7-67A9-4CF9-ABE7-F31E1BC9BD90}">
            <xm:f>$G157=FilterSpecs!$F$9</xm:f>
            <x14:dxf>
              <font>
                <b/>
                <i val="0"/>
                <color theme="0"/>
              </font>
              <fill>
                <patternFill>
                  <bgColor rgb="FFFF0000"/>
                </patternFill>
              </fill>
            </x14:dxf>
          </x14:cfRule>
          <x14:cfRule type="expression" priority="1538" id="{8006B30B-1953-47CD-9D6E-C6D5C607BCAC}">
            <xm:f>$G157=FilterSpecs!$F$7</xm:f>
            <x14:dxf>
              <font>
                <b/>
                <i val="0"/>
                <color theme="0"/>
              </font>
              <fill>
                <patternFill>
                  <bgColor rgb="FF00B0F0"/>
                </patternFill>
              </fill>
            </x14:dxf>
          </x14:cfRule>
          <x14:cfRule type="expression" priority="1539" id="{01F18857-52CC-4A85-B007-4440EB795441}">
            <xm:f>$G157=FilterSpecs!$F$10</xm:f>
            <x14:dxf>
              <font>
                <b/>
                <i val="0"/>
                <color theme="0"/>
              </font>
              <fill>
                <patternFill>
                  <bgColor rgb="FF002060"/>
                </patternFill>
              </fill>
            </x14:dxf>
          </x14:cfRule>
          <x14:cfRule type="expression" priority="1540" id="{F1C31A38-C19F-4EB0-B7B3-F409B518B551}">
            <xm:f>$G157=FilterSpecs!$F$8</xm:f>
            <x14:dxf>
              <font>
                <b/>
                <i val="0"/>
                <color theme="0"/>
              </font>
              <fill>
                <patternFill>
                  <bgColor rgb="FFFFC000"/>
                </patternFill>
              </fill>
            </x14:dxf>
          </x14:cfRule>
          <x14:cfRule type="expression" priority="1541" id="{C0942B8F-B025-442A-8797-866B0FA90D62}">
            <xm:f>$G157=FilterSpecs!$F$10</xm:f>
            <x14:dxf>
              <font>
                <b/>
                <i val="0"/>
                <color theme="0"/>
              </font>
              <fill>
                <patternFill>
                  <bgColor rgb="FF002060"/>
                </patternFill>
              </fill>
            </x14:dxf>
          </x14:cfRule>
          <x14:cfRule type="expression" priority="1542" id="{8D042CA9-6DD0-4DF0-A718-12B2DA067062}">
            <xm:f>$G157=FilterSpecs!$F$8</xm:f>
            <x14:dxf>
              <font>
                <b/>
                <i val="0"/>
                <color theme="0"/>
              </font>
              <fill>
                <patternFill>
                  <bgColor rgb="FFFFC000"/>
                </patternFill>
              </fill>
            </x14:dxf>
          </x14:cfRule>
          <x14:cfRule type="expression" priority="1543" id="{64AC5D4E-6DAD-4AF3-B626-A9CD489993B3}">
            <xm:f>$G157=FilterSpecs!$F$7</xm:f>
            <x14:dxf>
              <font>
                <b/>
                <i val="0"/>
                <color theme="0"/>
              </font>
              <fill>
                <patternFill>
                  <bgColor rgb="FF00B0F0"/>
                </patternFill>
              </fill>
            </x14:dxf>
          </x14:cfRule>
          <xm:sqref>A595:G596</xm:sqref>
        </x14:conditionalFormatting>
        <x14:conditionalFormatting xmlns:xm="http://schemas.microsoft.com/office/excel/2006/main">
          <x14:cfRule type="expression" priority="1091" id="{8D7BC319-4BB2-45AF-A7AC-22D3676BFA58}">
            <xm:f>$K1=FilterSpecs!$F$13</xm:f>
            <x14:dxf>
              <font>
                <b/>
                <i val="0"/>
                <color theme="0"/>
              </font>
              <fill>
                <patternFill>
                  <bgColor theme="9" tint="-0.499984740745262"/>
                </patternFill>
              </fill>
            </x14:dxf>
          </x14:cfRule>
          <x14:cfRule type="expression" priority="1092" id="{2789F04D-4D31-48CA-ADDE-B767870161FF}">
            <xm:f>$K1=FilterSpecs!$E$13</xm:f>
            <x14:dxf>
              <font>
                <b/>
                <i val="0"/>
                <color theme="0"/>
              </font>
              <fill>
                <patternFill>
                  <bgColor theme="9" tint="-0.499984740745262"/>
                </patternFill>
              </fill>
            </x14:dxf>
          </x14:cfRule>
          <x14:cfRule type="expression" priority="1290" id="{B34CF8E8-895B-4A9F-B9C1-9D04AC68ED63}">
            <xm:f>$K1=FilterSpecs!$F$12</xm:f>
            <x14:dxf>
              <font>
                <b/>
                <i val="0"/>
                <color theme="0"/>
              </font>
              <fill>
                <patternFill>
                  <bgColor rgb="FFFF4F4F"/>
                </patternFill>
              </fill>
            </x14:dxf>
          </x14:cfRule>
          <x14:cfRule type="expression" priority="1291" id="{7D897FA7-67A9-4CF9-ABE7-F31E1BC9BD90}">
            <xm:f>$K1=FilterSpecs!$F$9</xm:f>
            <x14:dxf>
              <font>
                <b/>
                <i val="0"/>
                <color theme="0"/>
              </font>
              <fill>
                <patternFill>
                  <bgColor rgb="FFFF0000"/>
                </patternFill>
              </fill>
            </x14:dxf>
          </x14:cfRule>
          <x14:cfRule type="expression" priority="1305" id="{8006B30B-1953-47CD-9D6E-C6D5C607BCAC}">
            <xm:f>$K1=FilterSpecs!$F$7</xm:f>
            <x14:dxf>
              <font>
                <b/>
                <i val="0"/>
                <color theme="0"/>
              </font>
              <fill>
                <patternFill>
                  <bgColor rgb="FF00B0F0"/>
                </patternFill>
              </fill>
            </x14:dxf>
          </x14:cfRule>
          <x14:cfRule type="expression" priority="1306" id="{01F18857-52CC-4A85-B007-4440EB795441}">
            <xm:f>$K1=FilterSpecs!$F$10</xm:f>
            <x14:dxf>
              <font>
                <b/>
                <i val="0"/>
                <color theme="0"/>
              </font>
              <fill>
                <patternFill>
                  <bgColor rgb="FF002060"/>
                </patternFill>
              </fill>
            </x14:dxf>
          </x14:cfRule>
          <x14:cfRule type="expression" priority="1307" id="{F1C31A38-C19F-4EB0-B7B3-F409B518B551}">
            <xm:f>$K1=FilterSpecs!$F$8</xm:f>
            <x14:dxf>
              <font>
                <b/>
                <i val="0"/>
                <color theme="0"/>
              </font>
              <fill>
                <patternFill>
                  <bgColor rgb="FFFFC000"/>
                </patternFill>
              </fill>
            </x14:dxf>
          </x14:cfRule>
          <x14:cfRule type="expression" priority="1308" id="{C0942B8F-B025-442A-8797-866B0FA90D62}">
            <xm:f>$K1=FilterSpecs!$F$10</xm:f>
            <x14:dxf>
              <font>
                <b/>
                <i val="0"/>
                <color theme="0"/>
              </font>
              <fill>
                <patternFill>
                  <bgColor rgb="FF002060"/>
                </patternFill>
              </fill>
            </x14:dxf>
          </x14:cfRule>
          <x14:cfRule type="expression" priority="1309" id="{8D042CA9-6DD0-4DF0-A718-12B2DA067062}">
            <xm:f>$K1=FilterSpecs!$F$8</xm:f>
            <x14:dxf>
              <font>
                <b/>
                <i val="0"/>
                <color theme="0"/>
              </font>
              <fill>
                <patternFill>
                  <bgColor rgb="FFFFC000"/>
                </patternFill>
              </fill>
            </x14:dxf>
          </x14:cfRule>
          <x14:cfRule type="expression" priority="1310" id="{64AC5D4E-6DAD-4AF3-B626-A9CD489993B3}">
            <xm:f>$K1=FilterSpecs!$F$7</xm:f>
            <x14:dxf>
              <font>
                <b/>
                <i val="0"/>
                <color theme="0"/>
              </font>
              <fill>
                <patternFill>
                  <bgColor rgb="FF00B0F0"/>
                </patternFill>
              </fill>
            </x14:dxf>
          </x14:cfRule>
          <xm:sqref>N2 A1:M120 A122:M1048576</xm:sqref>
        </x14:conditionalFormatting>
        <x14:conditionalFormatting xmlns:xm="http://schemas.microsoft.com/office/excel/2006/main">
          <x14:cfRule type="expression" priority="15" id="{D415D142-E6EF-48B8-BFBF-D6861A6F4AEE}">
            <xm:f>AND((Primary!$E121=0),NOT(ISBLANK(Primary!$E121)))</xm:f>
            <x14:dxf>
              <font>
                <b/>
                <i val="0"/>
                <color theme="0"/>
              </font>
              <fill>
                <patternFill>
                  <bgColor rgb="FF00B050"/>
                </patternFill>
              </fill>
            </x14:dxf>
          </x14:cfRule>
          <xm:sqref>A121:D121 F121:M121</xm:sqref>
        </x14:conditionalFormatting>
        <x14:conditionalFormatting xmlns:xm="http://schemas.microsoft.com/office/excel/2006/main">
          <x14:cfRule type="expression" priority="12" id="{52B99984-8B96-4FA5-B32D-124E2B2DC276}">
            <xm:f>Primary!$K121=FilterSpecs!$F$13</xm:f>
            <x14:dxf>
              <font>
                <b/>
                <i val="0"/>
                <color theme="0"/>
              </font>
              <fill>
                <patternFill>
                  <bgColor theme="9" tint="-0.499984740745262"/>
                </patternFill>
              </fill>
            </x14:dxf>
          </x14:cfRule>
          <x14:cfRule type="expression" priority="13" id="{3223EF63-852B-4705-B6E7-92F0C8420593}">
            <xm:f>Primary!$K121=FilterSpecs!$F$12</xm:f>
            <x14:dxf>
              <font>
                <b/>
                <i val="0"/>
                <color theme="0"/>
              </font>
              <fill>
                <patternFill>
                  <bgColor rgb="FFFF4F4F"/>
                </patternFill>
              </fill>
            </x14:dxf>
          </x14:cfRule>
          <x14:cfRule type="expression" priority="14" id="{76098596-6507-4573-A649-09C08B8280CC}">
            <xm:f>Primary!$K121=FilterSpecs!$F$9</xm:f>
            <x14:dxf>
              <font>
                <b/>
                <i val="0"/>
                <color theme="0"/>
              </font>
              <fill>
                <patternFill>
                  <bgColor rgb="FFFF0000"/>
                </patternFill>
              </fill>
            </x14:dxf>
          </x14:cfRule>
          <x14:cfRule type="expression" priority="16" id="{BBC2610D-7FB6-49F6-BD09-2EE68F918B01}">
            <xm:f>Primary!$K121=FilterSpecs!$F$10</xm:f>
            <x14:dxf>
              <font>
                <b/>
                <i val="0"/>
                <color theme="0"/>
              </font>
              <fill>
                <patternFill>
                  <bgColor rgb="FF002060"/>
                </patternFill>
              </fill>
            </x14:dxf>
          </x14:cfRule>
          <x14:cfRule type="expression" priority="17" id="{FC3D7E5A-CAD7-4D05-B156-B3CC314099CB}">
            <xm:f>Primary!$K121=FilterSpecs!$F$8</xm:f>
            <x14:dxf>
              <font>
                <b/>
                <i val="0"/>
                <color theme="0"/>
              </font>
              <fill>
                <patternFill>
                  <bgColor rgb="FFFFC000"/>
                </patternFill>
              </fill>
            </x14:dxf>
          </x14:cfRule>
          <x14:cfRule type="expression" priority="18" id="{42F864C3-E8B3-48DE-9880-9376A3FB0BA1}">
            <xm:f>Primary!$K121=FilterSpecs!$F$7</xm:f>
            <x14:dxf>
              <font>
                <b/>
                <i val="0"/>
                <color theme="0"/>
              </font>
              <fill>
                <patternFill>
                  <bgColor rgb="FF00B0F0"/>
                </patternFill>
              </fill>
            </x14:dxf>
          </x14:cfRule>
          <xm:sqref>A121:D121 F121:M121</xm:sqref>
        </x14:conditionalFormatting>
        <x14:conditionalFormatting xmlns:xm="http://schemas.microsoft.com/office/excel/2006/main">
          <x14:cfRule type="expression" priority="2" id="{975E67B9-C2B9-4606-8F5E-6812EC3434F6}">
            <xm:f>$K121=FilterSpecs!$F$13</xm:f>
            <x14:dxf>
              <font>
                <b/>
                <i val="0"/>
                <color theme="0"/>
              </font>
              <fill>
                <patternFill>
                  <bgColor theme="9" tint="-0.499984740745262"/>
                </patternFill>
              </fill>
            </x14:dxf>
          </x14:cfRule>
          <x14:cfRule type="expression" priority="3" id="{56832D7A-BCFD-40BB-AF5D-546A1B249131}">
            <xm:f>$K121=FilterSpecs!$E$13</xm:f>
            <x14:dxf>
              <font>
                <b/>
                <i val="0"/>
                <color theme="0"/>
              </font>
              <fill>
                <patternFill>
                  <bgColor theme="9" tint="-0.499984740745262"/>
                </patternFill>
              </fill>
            </x14:dxf>
          </x14:cfRule>
          <x14:cfRule type="expression" priority="4" id="{DACFE4EE-E167-4BC2-ADF0-4D3227EF1048}">
            <xm:f>$K121=FilterSpecs!$F$12</xm:f>
            <x14:dxf>
              <font>
                <b/>
                <i val="0"/>
                <color theme="0"/>
              </font>
              <fill>
                <patternFill>
                  <bgColor rgb="FFFF4F4F"/>
                </patternFill>
              </fill>
            </x14:dxf>
          </x14:cfRule>
          <x14:cfRule type="expression" priority="5" id="{E6209B79-1CDD-40FC-892B-B65D0F2C3DA5}">
            <xm:f>$K121=FilterSpecs!$F$9</xm:f>
            <x14:dxf>
              <font>
                <b/>
                <i val="0"/>
                <color theme="0"/>
              </font>
              <fill>
                <patternFill>
                  <bgColor rgb="FFFF0000"/>
                </patternFill>
              </fill>
            </x14:dxf>
          </x14:cfRule>
          <x14:cfRule type="expression" priority="6" id="{E05FE2A7-6196-4AD5-8E22-4E981B338F4D}">
            <xm:f>$K121=FilterSpecs!$F$7</xm:f>
            <x14:dxf>
              <font>
                <b/>
                <i val="0"/>
                <color theme="0"/>
              </font>
              <fill>
                <patternFill>
                  <bgColor rgb="FF00B0F0"/>
                </patternFill>
              </fill>
            </x14:dxf>
          </x14:cfRule>
          <x14:cfRule type="expression" priority="7" id="{6AD2D096-E7A6-41F3-BEE3-4420CAACC88E}">
            <xm:f>$K121=FilterSpecs!$F$10</xm:f>
            <x14:dxf>
              <font>
                <b/>
                <i val="0"/>
                <color theme="0"/>
              </font>
              <fill>
                <patternFill>
                  <bgColor rgb="FF002060"/>
                </patternFill>
              </fill>
            </x14:dxf>
          </x14:cfRule>
          <x14:cfRule type="expression" priority="8" id="{A7DD3AD0-B928-4792-99E7-458D494A09B5}">
            <xm:f>$K121=FilterSpecs!$F$8</xm:f>
            <x14:dxf>
              <font>
                <b/>
                <i val="0"/>
                <color theme="0"/>
              </font>
              <fill>
                <patternFill>
                  <bgColor rgb="FFFFC000"/>
                </patternFill>
              </fill>
            </x14:dxf>
          </x14:cfRule>
          <x14:cfRule type="expression" priority="9" id="{B0919C7E-098A-4B08-87CA-8B3311C3E6E5}">
            <xm:f>$K121=FilterSpecs!$F$10</xm:f>
            <x14:dxf>
              <font>
                <b/>
                <i val="0"/>
                <color theme="0"/>
              </font>
              <fill>
                <patternFill>
                  <bgColor rgb="FF002060"/>
                </patternFill>
              </fill>
            </x14:dxf>
          </x14:cfRule>
          <x14:cfRule type="expression" priority="10" id="{09DF7AD3-365A-42D0-9995-EA7D5CB2FB07}">
            <xm:f>$K121=FilterSpecs!$F$8</xm:f>
            <x14:dxf>
              <font>
                <b/>
                <i val="0"/>
                <color theme="0"/>
              </font>
              <fill>
                <patternFill>
                  <bgColor rgb="FFFFC000"/>
                </patternFill>
              </fill>
            </x14:dxf>
          </x14:cfRule>
          <x14:cfRule type="expression" priority="11" id="{EC892B37-5E37-4B13-9987-181306AC4F5F}">
            <xm:f>$K121=FilterSpecs!$F$7</xm:f>
            <x14:dxf>
              <font>
                <b/>
                <i val="0"/>
                <color theme="0"/>
              </font>
              <fill>
                <patternFill>
                  <bgColor rgb="FF00B0F0"/>
                </patternFill>
              </fill>
            </x14:dxf>
          </x14:cfRule>
          <xm:sqref>E121</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C16FEC18-6A69-4D28-9C45-10A95F19F123}">
          <x14:formula1>
            <xm:f>FilterSpecs!$C$6:$C$13</xm:f>
          </x14:formula1>
          <xm:sqref>A257:B257</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87330-B8AC-4002-B9F9-B5E1C46A30C6}">
  <sheetPr codeName="Sheet21">
    <tabColor rgb="FF92D050"/>
  </sheetPr>
  <dimension ref="A11:AB637"/>
  <sheetViews>
    <sheetView topLeftCell="K528" zoomScale="85" zoomScaleNormal="85" workbookViewId="0">
      <selection activeCell="Y607" sqref="Y607"/>
    </sheetView>
  </sheetViews>
  <sheetFormatPr defaultRowHeight="14.4" x14ac:dyDescent="0.3"/>
  <cols>
    <col min="1" max="1" width="37.77734375" style="51" customWidth="1"/>
    <col min="2" max="2" width="46.109375" style="51" bestFit="1" customWidth="1"/>
    <col min="3" max="3" width="17.109375" style="51" customWidth="1"/>
    <col min="4" max="4" width="14" style="51" customWidth="1"/>
    <col min="5" max="5" width="7.77734375" style="51" customWidth="1"/>
    <col min="6" max="6" width="8.44140625" customWidth="1"/>
    <col min="7" max="7" width="0.109375" hidden="1" customWidth="1"/>
    <col min="8" max="8" width="3.33203125" style="51" hidden="1" customWidth="1"/>
    <col min="9" max="9" width="63.109375" customWidth="1"/>
    <col min="10" max="10" width="0.109375" style="51" hidden="1" customWidth="1"/>
    <col min="11" max="11" width="9.5546875" style="51" customWidth="1"/>
    <col min="12" max="12" width="2.5546875" customWidth="1"/>
    <col min="13" max="13" width="7.21875" hidden="1" customWidth="1"/>
    <col min="14" max="14" width="8.44140625" customWidth="1"/>
    <col min="15" max="15" width="11.5546875" customWidth="1"/>
    <col min="16" max="16" width="1.6640625" customWidth="1"/>
    <col min="17" max="17" width="19" hidden="1" customWidth="1"/>
    <col min="18" max="18" width="19.109375" bestFit="1" customWidth="1"/>
    <col min="19" max="19" width="57.77734375" bestFit="1" customWidth="1"/>
    <col min="20" max="20" width="7.21875" customWidth="1"/>
    <col min="21" max="21" width="12.109375" customWidth="1"/>
    <col min="22" max="22" width="7.77734375" customWidth="1"/>
    <col min="27" max="27" width="62.6640625" bestFit="1" customWidth="1"/>
    <col min="28" max="28" width="20.6640625" customWidth="1"/>
  </cols>
  <sheetData>
    <row r="11" spans="1:26" ht="72" customHeight="1" thickBot="1" x14ac:dyDescent="0.35">
      <c r="A11" s="59"/>
    </row>
    <row r="12" spans="1:26" ht="6.6" customHeight="1" thickTop="1" x14ac:dyDescent="0.3">
      <c r="A12" s="108"/>
      <c r="B12" s="108"/>
      <c r="C12" s="108"/>
      <c r="D12" s="108"/>
      <c r="E12" s="108"/>
      <c r="F12" s="108"/>
      <c r="G12" s="108"/>
      <c r="H12" s="108"/>
      <c r="I12" s="108"/>
      <c r="J12" s="108"/>
      <c r="K12" s="108"/>
      <c r="L12" s="108"/>
      <c r="M12" s="108"/>
      <c r="N12" s="108"/>
      <c r="O12" s="108"/>
      <c r="P12" s="108"/>
    </row>
    <row r="13" spans="1:26" x14ac:dyDescent="0.3">
      <c r="A13" s="51" t="s">
        <v>893</v>
      </c>
      <c r="B13" s="97" t="s">
        <v>163</v>
      </c>
      <c r="C13" s="97" t="s">
        <v>7</v>
      </c>
      <c r="D13" s="12" t="s">
        <v>25</v>
      </c>
      <c r="E13" s="12" t="s">
        <v>2566</v>
      </c>
      <c r="F13" s="12" t="s">
        <v>2567</v>
      </c>
      <c r="G13" s="12" t="s">
        <v>27</v>
      </c>
      <c r="H13" s="12" t="s">
        <v>28</v>
      </c>
      <c r="I13" s="12" t="s">
        <v>29</v>
      </c>
      <c r="J13" s="12" t="s">
        <v>30</v>
      </c>
      <c r="K13" s="12" t="s">
        <v>31</v>
      </c>
      <c r="L13" s="12" t="s">
        <v>1918</v>
      </c>
      <c r="M13" s="12" t="s">
        <v>1621</v>
      </c>
      <c r="N13" s="12" t="s">
        <v>1412</v>
      </c>
      <c r="O13" s="12" t="s">
        <v>2587</v>
      </c>
      <c r="P13" s="12" t="s">
        <v>2548</v>
      </c>
      <c r="Q13" s="12" t="s">
        <v>2563</v>
      </c>
      <c r="R13" s="12" t="s">
        <v>2559</v>
      </c>
      <c r="S13" s="12" t="s">
        <v>2400</v>
      </c>
      <c r="T13" s="12" t="s">
        <v>2569</v>
      </c>
      <c r="U13" s="12" t="s">
        <v>2565</v>
      </c>
      <c r="V13" s="12" t="s">
        <v>2564</v>
      </c>
      <c r="W13" s="12" t="s">
        <v>2568</v>
      </c>
      <c r="X13" s="12" t="s">
        <v>2582</v>
      </c>
      <c r="Y13" s="12" t="s">
        <v>2583</v>
      </c>
    </row>
    <row r="14" spans="1:26" s="149" customFormat="1" hidden="1" x14ac:dyDescent="0.3">
      <c r="A14" s="103" t="s">
        <v>894</v>
      </c>
      <c r="B14" s="103" t="s">
        <v>888</v>
      </c>
      <c r="C14" s="103" t="s">
        <v>1906</v>
      </c>
      <c r="D14" s="106" t="str">
        <f>IF(MouserListTable12[[#This Row],[Vendor]]=FilterSpecs!$A$8,MouserListTable12[[#This Row],[Mouser SKU]], MouserListTable12[[#This Row],[Supplier SKU]])</f>
        <v>474-WIG-13660</v>
      </c>
      <c r="E14" s="121">
        <f>MouserListTable12[[#This Row],[Tot '#]]-MouserListTable12[[#This Row],['# Initial]]</f>
        <v>1</v>
      </c>
      <c r="F14" s="121">
        <f>IF(AND(MouserListTable12[[#This Row],[Tag]]&lt;&gt;FilterSpecs!$F$12, MouserListTable12[[#This Row],[Tag]]&lt;&gt;FilterSpecs!$F$9), MouserListTable12[[#This Row],['#/Unit]]*FilterSpecs!$B$3+MouserListTable12[[#This Row],[Extra Initial]],0)</f>
        <v>0</v>
      </c>
      <c r="G14" s="103" t="s">
        <v>137</v>
      </c>
      <c r="H14" s="103" t="s">
        <v>138</v>
      </c>
      <c r="I14" s="103" t="s">
        <v>139</v>
      </c>
      <c r="J14" s="103">
        <v>1</v>
      </c>
      <c r="K14" s="157">
        <v>49.95</v>
      </c>
      <c r="L14" s="103" t="s">
        <v>1910</v>
      </c>
      <c r="M14" s="106" t="s">
        <v>1489</v>
      </c>
      <c r="N14" s="157">
        <f>MouserListTable12[[#This Row],['# Initial]]*MouserListTable12[[#This Row],[Price (USD)]]</f>
        <v>0</v>
      </c>
      <c r="O14" s="106" t="s">
        <v>136</v>
      </c>
      <c r="P14" s="103">
        <f t="shared" ref="P14:P77" si="0">IF($P13="List #",1,$P13+1)</f>
        <v>1</v>
      </c>
      <c r="Q14" s="103" t="s">
        <v>8</v>
      </c>
      <c r="R1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474-WIG-13660</v>
      </c>
      <c r="S14" s="195" t="str">
        <f>HYPERLINK("https://www.mouser.com/ProductDetail/" &amp;MouserListTable12[[#This Row],[Mouser SKU]])</f>
        <v>https://www.mouser.com/ProductDetail/474-WIG-13660</v>
      </c>
      <c r="T14" s="121">
        <v>0</v>
      </c>
      <c r="U14" s="121">
        <v>1</v>
      </c>
      <c r="V14" s="121">
        <v>0</v>
      </c>
      <c r="W14" s="121">
        <f>MouserListTable12[[#This Row],['#/Unit]]*FilterSpecs!$C$3+MouserListTable12[[#This Row],[Extra]]</f>
        <v>1</v>
      </c>
      <c r="X14" s="121">
        <f>IF(MouserListTable12[[#This Row],[Tag]]=FilterSpecs!$F$7,MouserListTable12[[#This Row],['#/Unit]]*MouserListTable12[[#This Row],[Price (USD)]],0)</f>
        <v>0</v>
      </c>
      <c r="Y14" s="121">
        <f>MouserListTable12[[#This Row],[Tot '#]]*MouserListTable12[[#This Row],[Price (USD)]]</f>
        <v>49.95</v>
      </c>
      <c r="Z14"/>
    </row>
    <row r="15" spans="1:26" s="146" customFormat="1" hidden="1" x14ac:dyDescent="0.3">
      <c r="A15" s="103" t="s">
        <v>894</v>
      </c>
      <c r="B15" s="103" t="s">
        <v>888</v>
      </c>
      <c r="C15" s="103" t="s">
        <v>1906</v>
      </c>
      <c r="D15" s="106" t="str">
        <f>IF(MouserListTable12[[#This Row],[Vendor]]=FilterSpecs!$A$8,MouserListTable12[[#This Row],[Mouser SKU]], MouserListTable12[[#This Row],[Supplier SKU]])</f>
        <v>474-COM-14023</v>
      </c>
      <c r="E15" s="121">
        <f>MouserListTable12[[#This Row],[Tot '#]]-MouserListTable12[[#This Row],['# Initial]]</f>
        <v>1</v>
      </c>
      <c r="F15" s="121">
        <f>IF(AND(MouserListTable12[[#This Row],[Tag]]&lt;&gt;FilterSpecs!$F$12, MouserListTable12[[#This Row],[Tag]]&lt;&gt;FilterSpecs!$F$9), MouserListTable12[[#This Row],['#/Unit]]*FilterSpecs!$B$3+MouserListTable12[[#This Row],[Extra Initial]],0)</f>
        <v>0</v>
      </c>
      <c r="G15" s="103" t="s">
        <v>149</v>
      </c>
      <c r="H15" s="103" t="s">
        <v>150</v>
      </c>
      <c r="I15" s="103" t="s">
        <v>151</v>
      </c>
      <c r="J15" s="103"/>
      <c r="K15" s="157">
        <v>4.95</v>
      </c>
      <c r="L15" s="103" t="s">
        <v>1910</v>
      </c>
      <c r="M15" s="106"/>
      <c r="N15" s="157">
        <f>MouserListTable12[[#This Row],['# Initial]]*MouserListTable12[[#This Row],[Price (USD)]]</f>
        <v>0</v>
      </c>
      <c r="O15" s="106" t="s">
        <v>148</v>
      </c>
      <c r="P15" s="103">
        <f t="shared" si="0"/>
        <v>2</v>
      </c>
      <c r="Q15" s="103" t="s">
        <v>8</v>
      </c>
      <c r="R1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474-COM-14023</v>
      </c>
      <c r="S15" s="195" t="str">
        <f>HYPERLINK("https://www.mouser.com/ProductDetail/" &amp;MouserListTable12[[#This Row],[Mouser SKU]])</f>
        <v>https://www.mouser.com/ProductDetail/474-COM-14023</v>
      </c>
      <c r="T15" s="121">
        <v>0</v>
      </c>
      <c r="U15" s="121">
        <v>1</v>
      </c>
      <c r="V15" s="121">
        <v>0</v>
      </c>
      <c r="W15" s="121">
        <f>MouserListTable12[[#This Row],['#/Unit]]*FilterSpecs!$C$3+MouserListTable12[[#This Row],[Extra]]</f>
        <v>1</v>
      </c>
      <c r="X15" s="121">
        <f>IF(MouserListTable12[[#This Row],[Tag]]=FilterSpecs!$F$7,MouserListTable12[[#This Row],['#/Unit]]*MouserListTable12[[#This Row],[Price (USD)]],0)</f>
        <v>0</v>
      </c>
      <c r="Y15" s="121">
        <f>MouserListTable12[[#This Row],[Tot '#]]*MouserListTable12[[#This Row],[Price (USD)]]</f>
        <v>4.95</v>
      </c>
      <c r="Z15"/>
    </row>
    <row r="16" spans="1:26" s="146" customFormat="1" hidden="1" x14ac:dyDescent="0.3">
      <c r="A16" s="103" t="s">
        <v>894</v>
      </c>
      <c r="B16" s="103" t="s">
        <v>888</v>
      </c>
      <c r="C16" s="103" t="s">
        <v>1906</v>
      </c>
      <c r="D16" s="106" t="str">
        <f>IF(MouserListTable12[[#This Row],[Vendor]]=FilterSpecs!$A$8,MouserListTable12[[#This Row],[Mouser SKU]], MouserListTable12[[#This Row],[Supplier SKU]])</f>
        <v>474-COM-09151</v>
      </c>
      <c r="E16" s="121">
        <f>MouserListTable12[[#This Row],[Tot '#]]-MouserListTable12[[#This Row],['# Initial]]</f>
        <v>2</v>
      </c>
      <c r="F16" s="121">
        <f>IF(AND(MouserListTable12[[#This Row],[Tag]]&lt;&gt;FilterSpecs!$F$12, MouserListTable12[[#This Row],[Tag]]&lt;&gt;FilterSpecs!$F$9), MouserListTable12[[#This Row],['#/Unit]]*FilterSpecs!$B$3+MouserListTable12[[#This Row],[Extra Initial]],0)</f>
        <v>0</v>
      </c>
      <c r="G16" s="103" t="s">
        <v>153</v>
      </c>
      <c r="H16" s="103" t="s">
        <v>154</v>
      </c>
      <c r="I16" s="103" t="s">
        <v>155</v>
      </c>
      <c r="J16" s="103">
        <v>1</v>
      </c>
      <c r="K16" s="157">
        <v>1.95</v>
      </c>
      <c r="L16" s="103" t="s">
        <v>1910</v>
      </c>
      <c r="M16" s="106"/>
      <c r="N16" s="157">
        <f>MouserListTable12[[#This Row],['# Initial]]*MouserListTable12[[#This Row],[Price (USD)]]</f>
        <v>0</v>
      </c>
      <c r="O16" s="106" t="s">
        <v>152</v>
      </c>
      <c r="P16" s="103">
        <f t="shared" si="0"/>
        <v>3</v>
      </c>
      <c r="Q16" s="103" t="s">
        <v>8</v>
      </c>
      <c r="R1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474-COM-09151</v>
      </c>
      <c r="S16" s="195" t="str">
        <f>HYPERLINK("https://www.mouser.com/ProductDetail/" &amp;MouserListTable12[[#This Row],[Mouser SKU]])</f>
        <v>https://www.mouser.com/ProductDetail/474-COM-09151</v>
      </c>
      <c r="T16" s="121">
        <v>0</v>
      </c>
      <c r="U16" s="121">
        <v>2</v>
      </c>
      <c r="V16" s="121">
        <v>0</v>
      </c>
      <c r="W16" s="121">
        <f>MouserListTable12[[#This Row],['#/Unit]]*FilterSpecs!$C$3+MouserListTable12[[#This Row],[Extra]]</f>
        <v>2</v>
      </c>
      <c r="X16" s="121">
        <f>IF(MouserListTable12[[#This Row],[Tag]]=FilterSpecs!$F$7,MouserListTable12[[#This Row],['#/Unit]]*MouserListTable12[[#This Row],[Price (USD)]],0)</f>
        <v>0</v>
      </c>
      <c r="Y16" s="121">
        <f>MouserListTable12[[#This Row],[Tot '#]]*MouserListTable12[[#This Row],[Price (USD)]]</f>
        <v>3.9</v>
      </c>
      <c r="Z16"/>
    </row>
    <row r="17" spans="1:26" s="146" customFormat="1" hidden="1" x14ac:dyDescent="0.3">
      <c r="A17" s="103" t="s">
        <v>894</v>
      </c>
      <c r="B17" s="103" t="s">
        <v>888</v>
      </c>
      <c r="C17" s="103" t="s">
        <v>1906</v>
      </c>
      <c r="D17" s="106" t="str">
        <f>IF(MouserListTable12[[#This Row],[Vendor]]=FilterSpecs!$A$8,MouserListTable12[[#This Row],[Mouser SKU]], MouserListTable12[[#This Row],[Supplier SKU]])</f>
        <v>474-COM-11145</v>
      </c>
      <c r="E17" s="121">
        <f>MouserListTable12[[#This Row],[Tot '#]]-MouserListTable12[[#This Row],['# Initial]]</f>
        <v>1</v>
      </c>
      <c r="F17" s="121">
        <f>IF(AND(MouserListTable12[[#This Row],[Tag]]&lt;&gt;FilterSpecs!$F$12, MouserListTable12[[#This Row],[Tag]]&lt;&gt;FilterSpecs!$F$9), MouserListTable12[[#This Row],['#/Unit]]*FilterSpecs!$B$3+MouserListTable12[[#This Row],[Extra Initial]],0)</f>
        <v>0</v>
      </c>
      <c r="G17" s="103" t="s">
        <v>157</v>
      </c>
      <c r="H17" s="103" t="s">
        <v>158</v>
      </c>
      <c r="I17" s="103" t="s">
        <v>159</v>
      </c>
      <c r="J17" s="103"/>
      <c r="K17" s="157">
        <v>0.75</v>
      </c>
      <c r="L17" s="103" t="s">
        <v>1910</v>
      </c>
      <c r="M17" s="106"/>
      <c r="N17" s="157">
        <f>MouserListTable12[[#This Row],['# Initial]]*MouserListTable12[[#This Row],[Price (USD)]]</f>
        <v>0</v>
      </c>
      <c r="O17" s="106" t="s">
        <v>156</v>
      </c>
      <c r="P17" s="103">
        <f t="shared" si="0"/>
        <v>4</v>
      </c>
      <c r="Q17" s="103" t="s">
        <v>8</v>
      </c>
      <c r="R1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474-COM-11145</v>
      </c>
      <c r="S17" s="195" t="str">
        <f>HYPERLINK("https://www.mouser.com/ProductDetail/" &amp;MouserListTable12[[#This Row],[Mouser SKU]])</f>
        <v>https://www.mouser.com/ProductDetail/474-COM-11145</v>
      </c>
      <c r="T17" s="121">
        <v>0</v>
      </c>
      <c r="U17" s="121">
        <v>1</v>
      </c>
      <c r="V17" s="121">
        <v>0</v>
      </c>
      <c r="W17" s="121">
        <f>MouserListTable12[[#This Row],['#/Unit]]*FilterSpecs!$C$3+MouserListTable12[[#This Row],[Extra]]</f>
        <v>1</v>
      </c>
      <c r="X17" s="121">
        <f>IF(MouserListTable12[[#This Row],[Tag]]=FilterSpecs!$F$7,MouserListTable12[[#This Row],['#/Unit]]*MouserListTable12[[#This Row],[Price (USD)]],0)</f>
        <v>0</v>
      </c>
      <c r="Y17" s="121">
        <f>MouserListTable12[[#This Row],[Tot '#]]*MouserListTable12[[#This Row],[Price (USD)]]</f>
        <v>0.75</v>
      </c>
      <c r="Z17"/>
    </row>
    <row r="18" spans="1:26" s="146" customFormat="1" hidden="1" x14ac:dyDescent="0.3">
      <c r="A18" s="103" t="s">
        <v>894</v>
      </c>
      <c r="B18" s="103" t="s">
        <v>888</v>
      </c>
      <c r="C18" s="103" t="s">
        <v>1906</v>
      </c>
      <c r="D18" s="106" t="str">
        <f>IF(MouserListTable12[[#This Row],[Vendor]]=FilterSpecs!$A$8,MouserListTable12[[#This Row],[Mouser SKU]], MouserListTable12[[#This Row],[Supplier SKU]])</f>
        <v>474-ROB-08449</v>
      </c>
      <c r="E18" s="121">
        <f>MouserListTable12[[#This Row],[Tot '#]]-MouserListTable12[[#This Row],['# Initial]]</f>
        <v>2</v>
      </c>
      <c r="F18" s="121">
        <f>IF(AND(MouserListTable12[[#This Row],[Tag]]&lt;&gt;FilterSpecs!$F$12, MouserListTable12[[#This Row],[Tag]]&lt;&gt;FilterSpecs!$F$9), MouserListTable12[[#This Row],['#/Unit]]*FilterSpecs!$B$3+MouserListTable12[[#This Row],[Extra Initial]],0)</f>
        <v>0</v>
      </c>
      <c r="G18" s="103" t="s">
        <v>668</v>
      </c>
      <c r="H18" s="103" t="s">
        <v>669</v>
      </c>
      <c r="I18" s="103" t="s">
        <v>670</v>
      </c>
      <c r="J18" s="103">
        <v>1</v>
      </c>
      <c r="K18" s="157">
        <v>4.95</v>
      </c>
      <c r="L18" s="103" t="s">
        <v>1910</v>
      </c>
      <c r="M18" s="106"/>
      <c r="N18" s="157">
        <f>MouserListTable12[[#This Row],['# Initial]]*MouserListTable12[[#This Row],[Price (USD)]]</f>
        <v>0</v>
      </c>
      <c r="O18" s="106" t="s">
        <v>667</v>
      </c>
      <c r="P18" s="103">
        <f t="shared" si="0"/>
        <v>5</v>
      </c>
      <c r="Q18" s="103" t="s">
        <v>8</v>
      </c>
      <c r="R1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474-ROB-08449</v>
      </c>
      <c r="S18" s="195" t="str">
        <f>HYPERLINK("https://www.mouser.com/ProductDetail/" &amp;MouserListTable12[[#This Row],[Mouser SKU]])</f>
        <v>https://www.mouser.com/ProductDetail/474-ROB-08449</v>
      </c>
      <c r="T18" s="121">
        <v>0</v>
      </c>
      <c r="U18" s="121">
        <v>2</v>
      </c>
      <c r="V18" s="121">
        <v>0</v>
      </c>
      <c r="W18" s="121">
        <f>MouserListTable12[[#This Row],['#/Unit]]*FilterSpecs!$C$3+MouserListTable12[[#This Row],[Extra]]</f>
        <v>2</v>
      </c>
      <c r="X18" s="121">
        <f>IF(MouserListTable12[[#This Row],[Tag]]=FilterSpecs!$F$7,MouserListTable12[[#This Row],['#/Unit]]*MouserListTable12[[#This Row],[Price (USD)]],0)</f>
        <v>0</v>
      </c>
      <c r="Y18" s="121">
        <f>MouserListTable12[[#This Row],[Tot '#]]*MouserListTable12[[#This Row],[Price (USD)]]</f>
        <v>9.9</v>
      </c>
      <c r="Z18"/>
    </row>
    <row r="19" spans="1:26" s="146" customFormat="1" hidden="1" x14ac:dyDescent="0.3">
      <c r="A19" s="103" t="s">
        <v>894</v>
      </c>
      <c r="B19" s="103" t="s">
        <v>888</v>
      </c>
      <c r="C19" s="103" t="s">
        <v>1906</v>
      </c>
      <c r="D19" s="106" t="str">
        <f>IF(MouserListTable12[[#This Row],[Vendor]]=FilterSpecs!$A$8,MouserListTable12[[#This Row],[Mouser SKU]], MouserListTable12[[#This Row],[Supplier SKU]])</f>
        <v>474-DEV-11711</v>
      </c>
      <c r="E19" s="121">
        <f>MouserListTable12[[#This Row],[Tot '#]]-MouserListTable12[[#This Row],['# Initial]]</f>
        <v>1</v>
      </c>
      <c r="F19" s="121">
        <f>IF(AND(MouserListTable12[[#This Row],[Tag]]&lt;&gt;FilterSpecs!$F$12, MouserListTable12[[#This Row],[Tag]]&lt;&gt;FilterSpecs!$F$9), MouserListTable12[[#This Row],['#/Unit]]*FilterSpecs!$B$3+MouserListTable12[[#This Row],[Extra Initial]],0)</f>
        <v>0</v>
      </c>
      <c r="G19" s="103" t="s">
        <v>141</v>
      </c>
      <c r="H19" s="103" t="s">
        <v>142</v>
      </c>
      <c r="I19" s="103" t="s">
        <v>143</v>
      </c>
      <c r="J19" s="103">
        <v>1</v>
      </c>
      <c r="K19" s="157">
        <v>59.95</v>
      </c>
      <c r="L19" s="103" t="s">
        <v>1910</v>
      </c>
      <c r="M19" s="106"/>
      <c r="N19" s="157">
        <f>MouserListTable12[[#This Row],['# Initial]]*MouserListTable12[[#This Row],[Price (USD)]]</f>
        <v>0</v>
      </c>
      <c r="O19" s="106" t="s">
        <v>140</v>
      </c>
      <c r="P19" s="103">
        <f t="shared" si="0"/>
        <v>6</v>
      </c>
      <c r="Q19" s="103" t="s">
        <v>8</v>
      </c>
      <c r="R1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474-DEV-11711</v>
      </c>
      <c r="S19" s="195" t="str">
        <f>HYPERLINK("https://www.mouser.com/ProductDetail/" &amp;MouserListTable12[[#This Row],[Mouser SKU]])</f>
        <v>https://www.mouser.com/ProductDetail/474-DEV-11711</v>
      </c>
      <c r="T19" s="121">
        <v>0</v>
      </c>
      <c r="U19" s="121">
        <v>1</v>
      </c>
      <c r="V19" s="121">
        <v>0</v>
      </c>
      <c r="W19" s="121">
        <f>MouserListTable12[[#This Row],['#/Unit]]*FilterSpecs!$C$3+MouserListTable12[[#This Row],[Extra]]</f>
        <v>1</v>
      </c>
      <c r="X19" s="121">
        <f>IF(MouserListTable12[[#This Row],[Tag]]=FilterSpecs!$F$7,MouserListTable12[[#This Row],['#/Unit]]*MouserListTable12[[#This Row],[Price (USD)]],0)</f>
        <v>0</v>
      </c>
      <c r="Y19" s="121">
        <f>MouserListTable12[[#This Row],[Tot '#]]*MouserListTable12[[#This Row],[Price (USD)]]</f>
        <v>59.95</v>
      </c>
      <c r="Z19"/>
    </row>
    <row r="20" spans="1:26" s="146" customFormat="1" hidden="1" x14ac:dyDescent="0.3">
      <c r="A20" s="103" t="s">
        <v>894</v>
      </c>
      <c r="B20" s="103" t="s">
        <v>888</v>
      </c>
      <c r="C20" s="103" t="s">
        <v>1906</v>
      </c>
      <c r="D20" s="106" t="str">
        <f>IF(MouserListTable12[[#This Row],[Vendor]]=FilterSpecs!$A$8,MouserListTable12[[#This Row],[Mouser SKU]], MouserListTable12[[#This Row],[Supplier SKU]])</f>
        <v>474-BOB-09868</v>
      </c>
      <c r="E20" s="121">
        <f>MouserListTable12[[#This Row],[Tot '#]]-MouserListTable12[[#This Row],['# Initial]]</f>
        <v>1</v>
      </c>
      <c r="F20" s="121">
        <f>IF(AND(MouserListTable12[[#This Row],[Tag]]&lt;&gt;FilterSpecs!$F$12, MouserListTable12[[#This Row],[Tag]]&lt;&gt;FilterSpecs!$F$9), MouserListTable12[[#This Row],['#/Unit]]*FilterSpecs!$B$3+MouserListTable12[[#This Row],[Extra Initial]],0)</f>
        <v>0</v>
      </c>
      <c r="G20" s="103" t="s">
        <v>1499</v>
      </c>
      <c r="H20" s="103" t="s">
        <v>1500</v>
      </c>
      <c r="I20" s="103" t="s">
        <v>1501</v>
      </c>
      <c r="J20" s="103">
        <v>1</v>
      </c>
      <c r="K20" s="157">
        <v>9.9499999999999993</v>
      </c>
      <c r="L20" s="103" t="s">
        <v>1910</v>
      </c>
      <c r="M20" s="106"/>
      <c r="N20" s="157">
        <f>MouserListTable12[[#This Row],['# Initial]]*MouserListTable12[[#This Row],[Price (USD)]]</f>
        <v>0</v>
      </c>
      <c r="O20" s="106" t="s">
        <v>1498</v>
      </c>
      <c r="P20" s="103">
        <f t="shared" si="0"/>
        <v>7</v>
      </c>
      <c r="Q20" s="103" t="s">
        <v>8</v>
      </c>
      <c r="R2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474-BOB-09868</v>
      </c>
      <c r="S20" s="195" t="str">
        <f>HYPERLINK("https://www.mouser.com/ProductDetail/" &amp;MouserListTable12[[#This Row],[Mouser SKU]])</f>
        <v>https://www.mouser.com/ProductDetail/474-BOB-09868</v>
      </c>
      <c r="T20" s="121">
        <v>0</v>
      </c>
      <c r="U20" s="121">
        <v>1</v>
      </c>
      <c r="V20" s="121">
        <v>0</v>
      </c>
      <c r="W20" s="121">
        <f>MouserListTable12[[#This Row],['#/Unit]]*FilterSpecs!$C$3+MouserListTable12[[#This Row],[Extra]]</f>
        <v>1</v>
      </c>
      <c r="X20" s="121">
        <f>IF(MouserListTable12[[#This Row],[Tag]]=FilterSpecs!$F$7,MouserListTable12[[#This Row],['#/Unit]]*MouserListTable12[[#This Row],[Price (USD)]],0)</f>
        <v>0</v>
      </c>
      <c r="Y20" s="121">
        <f>MouserListTable12[[#This Row],[Tot '#]]*MouserListTable12[[#This Row],[Price (USD)]]</f>
        <v>9.9499999999999993</v>
      </c>
      <c r="Z20"/>
    </row>
    <row r="21" spans="1:26" s="146" customFormat="1" hidden="1" x14ac:dyDescent="0.3">
      <c r="A21" s="103" t="s">
        <v>894</v>
      </c>
      <c r="B21" s="103" t="s">
        <v>888</v>
      </c>
      <c r="C21" s="103" t="s">
        <v>1906</v>
      </c>
      <c r="D21" s="106" t="str">
        <f>IF(MouserListTable12[[#This Row],[Vendor]]=FilterSpecs!$A$8,MouserListTable12[[#This Row],[Mouser SKU]], MouserListTable12[[#This Row],[Supplier SKU]])</f>
        <v>474-COM-08635</v>
      </c>
      <c r="E21" s="121">
        <f>MouserListTable12[[#This Row],[Tot '#]]-MouserListTable12[[#This Row],['# Initial]]</f>
        <v>1</v>
      </c>
      <c r="F21" s="121">
        <f>IF(AND(MouserListTable12[[#This Row],[Tag]]&lt;&gt;FilterSpecs!$F$12, MouserListTable12[[#This Row],[Tag]]&lt;&gt;FilterSpecs!$F$9), MouserListTable12[[#This Row],['#/Unit]]*FilterSpecs!$B$3+MouserListTable12[[#This Row],[Extra Initial]],0)</f>
        <v>0</v>
      </c>
      <c r="G21" s="103" t="s">
        <v>1520</v>
      </c>
      <c r="H21" s="103" t="s">
        <v>1521</v>
      </c>
      <c r="I21" s="103" t="s">
        <v>1522</v>
      </c>
      <c r="J21" s="103">
        <v>1</v>
      </c>
      <c r="K21" s="157">
        <v>0.95</v>
      </c>
      <c r="L21" s="103" t="s">
        <v>1910</v>
      </c>
      <c r="M21" s="106"/>
      <c r="N21" s="157">
        <f>MouserListTable12[[#This Row],['# Initial]]*MouserListTable12[[#This Row],[Price (USD)]]</f>
        <v>0</v>
      </c>
      <c r="O21" s="106" t="s">
        <v>1519</v>
      </c>
      <c r="P21" s="103">
        <f t="shared" si="0"/>
        <v>8</v>
      </c>
      <c r="Q21" s="103" t="s">
        <v>8</v>
      </c>
      <c r="R2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474-COM-08635</v>
      </c>
      <c r="S21" s="195" t="str">
        <f>HYPERLINK("https://www.mouser.com/ProductDetail/" &amp;MouserListTable12[[#This Row],[Mouser SKU]])</f>
        <v>https://www.mouser.com/ProductDetail/474-COM-08635</v>
      </c>
      <c r="T21" s="121">
        <v>0</v>
      </c>
      <c r="U21" s="121">
        <v>1</v>
      </c>
      <c r="V21" s="121">
        <v>0</v>
      </c>
      <c r="W21" s="121">
        <f>MouserListTable12[[#This Row],['#/Unit]]*FilterSpecs!$C$3+MouserListTable12[[#This Row],[Extra]]</f>
        <v>1</v>
      </c>
      <c r="X21" s="121">
        <f>IF(MouserListTable12[[#This Row],[Tag]]=FilterSpecs!$F$7,MouserListTable12[[#This Row],['#/Unit]]*MouserListTable12[[#This Row],[Price (USD)]],0)</f>
        <v>0</v>
      </c>
      <c r="Y21" s="121">
        <f>MouserListTable12[[#This Row],[Tot '#]]*MouserListTable12[[#This Row],[Price (USD)]]</f>
        <v>0.95</v>
      </c>
      <c r="Z21"/>
    </row>
    <row r="22" spans="1:26" s="146" customFormat="1" hidden="1" x14ac:dyDescent="0.3">
      <c r="A22" s="103" t="s">
        <v>894</v>
      </c>
      <c r="B22" s="103" t="s">
        <v>888</v>
      </c>
      <c r="C22" s="103" t="s">
        <v>1906</v>
      </c>
      <c r="D22" s="106" t="str">
        <f>IF(MouserListTable12[[#This Row],[Vendor]]=FilterSpecs!$A$8,MouserListTable12[[#This Row],[Mouser SKU]], MouserListTable12[[#This Row],[Supplier SKU]])</f>
        <v>474-BOB-12758</v>
      </c>
      <c r="E22" s="121">
        <f>MouserListTable12[[#This Row],[Tot '#]]-MouserListTable12[[#This Row],['# Initial]]</f>
        <v>1</v>
      </c>
      <c r="F22" s="121">
        <f>IF(AND(MouserListTable12[[#This Row],[Tag]]&lt;&gt;FilterSpecs!$F$12, MouserListTable12[[#This Row],[Tag]]&lt;&gt;FilterSpecs!$F$9), MouserListTable12[[#This Row],['#/Unit]]*FilterSpecs!$B$3+MouserListTable12[[#This Row],[Extra Initial]],0)</f>
        <v>0</v>
      </c>
      <c r="G22" s="103" t="s">
        <v>1852</v>
      </c>
      <c r="H22" s="103" t="s">
        <v>1853</v>
      </c>
      <c r="I22" s="103" t="s">
        <v>1854</v>
      </c>
      <c r="J22" s="103">
        <v>1</v>
      </c>
      <c r="K22" s="157">
        <v>5.95</v>
      </c>
      <c r="L22" s="103" t="s">
        <v>1910</v>
      </c>
      <c r="M22" s="106"/>
      <c r="N22" s="157">
        <f>MouserListTable12[[#This Row],['# Initial]]*MouserListTable12[[#This Row],[Price (USD)]]</f>
        <v>0</v>
      </c>
      <c r="O22" s="106" t="s">
        <v>1851</v>
      </c>
      <c r="P22" s="103">
        <f t="shared" si="0"/>
        <v>9</v>
      </c>
      <c r="Q22" s="103" t="s">
        <v>8</v>
      </c>
      <c r="R2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474-BOB-12758</v>
      </c>
      <c r="S22" s="195" t="str">
        <f>HYPERLINK("https://www.mouser.com/ProductDetail/" &amp;MouserListTable12[[#This Row],[Mouser SKU]])</f>
        <v>https://www.mouser.com/ProductDetail/474-BOB-12758</v>
      </c>
      <c r="T22" s="121">
        <v>0</v>
      </c>
      <c r="U22" s="121">
        <v>1</v>
      </c>
      <c r="V22" s="121">
        <v>0</v>
      </c>
      <c r="W22" s="121">
        <f>MouserListTable12[[#This Row],['#/Unit]]*FilterSpecs!$C$3+MouserListTable12[[#This Row],[Extra]]</f>
        <v>1</v>
      </c>
      <c r="X22" s="121">
        <f>IF(MouserListTable12[[#This Row],[Tag]]=FilterSpecs!$F$7,MouserListTable12[[#This Row],['#/Unit]]*MouserListTable12[[#This Row],[Price (USD)]],0)</f>
        <v>0</v>
      </c>
      <c r="Y22" s="121">
        <f>MouserListTable12[[#This Row],[Tot '#]]*MouserListTable12[[#This Row],[Price (USD)]]</f>
        <v>5.95</v>
      </c>
      <c r="Z22"/>
    </row>
    <row r="23" spans="1:26" s="146" customFormat="1" hidden="1" x14ac:dyDescent="0.3">
      <c r="A23" s="126" t="s">
        <v>894</v>
      </c>
      <c r="B23" s="126" t="s">
        <v>888</v>
      </c>
      <c r="C23" s="103" t="s">
        <v>1906</v>
      </c>
      <c r="D23" s="106" t="str">
        <f>IF(MouserListTable12[[#This Row],[Vendor]]=FilterSpecs!$A$8,MouserListTable12[[#This Row],[Mouser SKU]], MouserListTable12[[#This Row],[Supplier SKU]])</f>
        <v>474-SEN-12642</v>
      </c>
      <c r="E23" s="121">
        <f>MouserListTable12[[#This Row],[Tot '#]]-MouserListTable12[[#This Row],['# Initial]]</f>
        <v>0</v>
      </c>
      <c r="F23" s="121">
        <f>IF(AND(MouserListTable12[[#This Row],[Tag]]&lt;&gt;FilterSpecs!$F$12, MouserListTable12[[#This Row],[Tag]]&lt;&gt;FilterSpecs!$F$9), MouserListTable12[[#This Row],['#/Unit]]*FilterSpecs!$B$3+MouserListTable12[[#This Row],[Extra Initial]],0)</f>
        <v>0</v>
      </c>
      <c r="G23" s="103" t="s">
        <v>145</v>
      </c>
      <c r="H23" s="103" t="s">
        <v>146</v>
      </c>
      <c r="I23" s="103" t="s">
        <v>147</v>
      </c>
      <c r="J23" s="103">
        <v>1</v>
      </c>
      <c r="K23" s="157">
        <v>10.95</v>
      </c>
      <c r="L23" s="103" t="s">
        <v>1910</v>
      </c>
      <c r="N23" s="157">
        <f>MouserListTable12[[#This Row],['# Initial]]*MouserListTable12[[#This Row],[Price (USD)]]</f>
        <v>0</v>
      </c>
      <c r="O23" s="106" t="s">
        <v>144</v>
      </c>
      <c r="P23" s="103">
        <f t="shared" si="0"/>
        <v>10</v>
      </c>
      <c r="Q23" s="103" t="s">
        <v>8</v>
      </c>
      <c r="R2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474-SEN-12642</v>
      </c>
      <c r="S23" s="195" t="str">
        <f>HYPERLINK("https://www.mouser.com/ProductDetail/" &amp;MouserListTable12[[#This Row],[Mouser SKU]])</f>
        <v>https://www.mouser.com/ProductDetail/474-SEN-12642</v>
      </c>
      <c r="T23" s="121">
        <v>0</v>
      </c>
      <c r="U23" s="121">
        <v>0</v>
      </c>
      <c r="V23" s="121">
        <v>0</v>
      </c>
      <c r="W23" s="121">
        <f>MouserListTable12[[#This Row],['#/Unit]]*FilterSpecs!$C$3+MouserListTable12[[#This Row],[Extra]]</f>
        <v>0</v>
      </c>
      <c r="X23" s="121">
        <f>IF(MouserListTable12[[#This Row],[Tag]]=FilterSpecs!$F$7,MouserListTable12[[#This Row],['#/Unit]]*MouserListTable12[[#This Row],[Price (USD)]],0)</f>
        <v>0</v>
      </c>
      <c r="Y23" s="121">
        <f>MouserListTable12[[#This Row],[Tot '#]]*MouserListTable12[[#This Row],[Price (USD)]]</f>
        <v>0</v>
      </c>
      <c r="Z23"/>
    </row>
    <row r="24" spans="1:26" s="146" customFormat="1" hidden="1" x14ac:dyDescent="0.3">
      <c r="A24" s="103" t="s">
        <v>894</v>
      </c>
      <c r="B24" s="103" t="s">
        <v>888</v>
      </c>
      <c r="C24" s="103" t="s">
        <v>1906</v>
      </c>
      <c r="D24" s="106" t="str">
        <f>IF(MouserListTable12[[#This Row],[Vendor]]=FilterSpecs!$A$8,MouserListTable12[[#This Row],[Mouser SKU]], MouserListTable12[[#This Row],[Supplier SKU]])</f>
        <v>485-94</v>
      </c>
      <c r="E24" s="121">
        <f>MouserListTable12[[#This Row],[Tot '#]]-MouserListTable12[[#This Row],['# Initial]]</f>
        <v>0</v>
      </c>
      <c r="F24" s="121">
        <f>IF(AND(MouserListTable12[[#This Row],[Tag]]&lt;&gt;FilterSpecs!$F$12, MouserListTable12[[#This Row],[Tag]]&lt;&gt;FilterSpecs!$F$9), MouserListTable12[[#This Row],['#/Unit]]*FilterSpecs!$B$3+MouserListTable12[[#This Row],[Extra Initial]],0)</f>
        <v>0</v>
      </c>
      <c r="G24" s="103"/>
      <c r="H24" s="103"/>
      <c r="I24" s="126" t="s">
        <v>2252</v>
      </c>
      <c r="K24" s="158">
        <v>22</v>
      </c>
      <c r="L24" s="126" t="s">
        <v>1910</v>
      </c>
      <c r="N24" s="157">
        <f>MouserListTable12[[#This Row],['# Initial]]*MouserListTable12[[#This Row],[Price (USD)]]</f>
        <v>0</v>
      </c>
      <c r="O24" s="106" t="s">
        <v>2251</v>
      </c>
      <c r="P24" s="103">
        <f t="shared" si="0"/>
        <v>11</v>
      </c>
      <c r="Q24" s="103" t="s">
        <v>1898</v>
      </c>
      <c r="R2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485-94</v>
      </c>
      <c r="S24" s="195" t="str">
        <f>HYPERLINK("https://www.mouser.com/ProductDetail/" &amp;MouserListTable12[[#This Row],[Mouser SKU]])</f>
        <v>https://www.mouser.com/ProductDetail/485-94</v>
      </c>
      <c r="T24" s="121">
        <v>0</v>
      </c>
      <c r="U24" s="121">
        <v>0</v>
      </c>
      <c r="V24" s="121">
        <v>0</v>
      </c>
      <c r="W24" s="121">
        <f>MouserListTable12[[#This Row],['#/Unit]]*FilterSpecs!$C$3+MouserListTable12[[#This Row],[Extra]]</f>
        <v>0</v>
      </c>
      <c r="X24" s="121">
        <f>IF(MouserListTable12[[#This Row],[Tag]]=FilterSpecs!$F$7,MouserListTable12[[#This Row],['#/Unit]]*MouserListTable12[[#This Row],[Price (USD)]],0)</f>
        <v>0</v>
      </c>
      <c r="Y24" s="121">
        <f>MouserListTable12[[#This Row],[Tot '#]]*MouserListTable12[[#This Row],[Price (USD)]]</f>
        <v>0</v>
      </c>
      <c r="Z24"/>
    </row>
    <row r="25" spans="1:26" s="146" customFormat="1" hidden="1" x14ac:dyDescent="0.3">
      <c r="A25" s="103" t="s">
        <v>894</v>
      </c>
      <c r="B25" s="103" t="s">
        <v>888</v>
      </c>
      <c r="C25" s="103" t="s">
        <v>1906</v>
      </c>
      <c r="D25" s="106" t="str">
        <f>IF(MouserListTable12[[#This Row],[Vendor]]=FilterSpecs!$A$8,MouserListTable12[[#This Row],[Mouser SKU]], MouserListTable12[[#This Row],[Supplier SKU]])</f>
        <v>485-3369</v>
      </c>
      <c r="E25" s="121">
        <f>MouserListTable12[[#This Row],[Tot '#]]-MouserListTable12[[#This Row],['# Initial]]</f>
        <v>0</v>
      </c>
      <c r="F25" s="121">
        <f>IF(AND(MouserListTable12[[#This Row],[Tag]]&lt;&gt;FilterSpecs!$F$12, MouserListTable12[[#This Row],[Tag]]&lt;&gt;FilterSpecs!$F$9), MouserListTable12[[#This Row],['#/Unit]]*FilterSpecs!$B$3+MouserListTable12[[#This Row],[Extra Initial]],0)</f>
        <v>0</v>
      </c>
      <c r="G25" s="103"/>
      <c r="H25" s="103"/>
      <c r="I25" s="126" t="s">
        <v>2254</v>
      </c>
      <c r="K25" s="158">
        <v>12.5</v>
      </c>
      <c r="L25" s="126" t="s">
        <v>1910</v>
      </c>
      <c r="N25" s="157">
        <f>MouserListTable12[[#This Row],['# Initial]]*MouserListTable12[[#This Row],[Price (USD)]]</f>
        <v>0</v>
      </c>
      <c r="O25" s="106" t="s">
        <v>2253</v>
      </c>
      <c r="P25" s="103">
        <f t="shared" si="0"/>
        <v>12</v>
      </c>
      <c r="Q25" s="103" t="s">
        <v>1898</v>
      </c>
      <c r="R2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485-3369</v>
      </c>
      <c r="S25" s="195" t="str">
        <f>HYPERLINK("https://www.mouser.com/ProductDetail/" &amp;MouserListTable12[[#This Row],[Mouser SKU]])</f>
        <v>https://www.mouser.com/ProductDetail/485-3369</v>
      </c>
      <c r="T25" s="121">
        <v>0</v>
      </c>
      <c r="U25" s="121">
        <v>0</v>
      </c>
      <c r="V25" s="121">
        <v>0</v>
      </c>
      <c r="W25" s="121">
        <f>MouserListTable12[[#This Row],['#/Unit]]*FilterSpecs!$C$3+MouserListTable12[[#This Row],[Extra]]</f>
        <v>0</v>
      </c>
      <c r="X25" s="121">
        <f>IF(MouserListTable12[[#This Row],[Tag]]=FilterSpecs!$F$7,MouserListTable12[[#This Row],['#/Unit]]*MouserListTable12[[#This Row],[Price (USD)]],0)</f>
        <v>0</v>
      </c>
      <c r="Y25" s="121">
        <f>MouserListTable12[[#This Row],[Tot '#]]*MouserListTable12[[#This Row],[Price (USD)]]</f>
        <v>0</v>
      </c>
      <c r="Z25"/>
    </row>
    <row r="26" spans="1:26" s="146" customFormat="1" hidden="1" x14ac:dyDescent="0.3">
      <c r="A26" s="103" t="s">
        <v>894</v>
      </c>
      <c r="B26" s="103" t="s">
        <v>888</v>
      </c>
      <c r="C26" s="103" t="s">
        <v>1906</v>
      </c>
      <c r="D26" s="106" t="str">
        <f>IF(MouserListTable12[[#This Row],[Vendor]]=FilterSpecs!$A$8,MouserListTable12[[#This Row],[Mouser SKU]], MouserListTable12[[#This Row],[Supplier SKU]])</f>
        <v>485-3367</v>
      </c>
      <c r="E26" s="121">
        <f>MouserListTable12[[#This Row],[Tot '#]]-MouserListTable12[[#This Row],['# Initial]]</f>
        <v>0</v>
      </c>
      <c r="F26" s="121">
        <f>IF(AND(MouserListTable12[[#This Row],[Tag]]&lt;&gt;FilterSpecs!$F$12, MouserListTable12[[#This Row],[Tag]]&lt;&gt;FilterSpecs!$F$9), MouserListTable12[[#This Row],['#/Unit]]*FilterSpecs!$B$3+MouserListTable12[[#This Row],[Extra Initial]],0)</f>
        <v>0</v>
      </c>
      <c r="G26" s="103"/>
      <c r="H26" s="103"/>
      <c r="I26" s="126" t="s">
        <v>2256</v>
      </c>
      <c r="K26" s="158">
        <v>5.95</v>
      </c>
      <c r="L26" s="126" t="s">
        <v>1910</v>
      </c>
      <c r="N26" s="157">
        <f>MouserListTable12[[#This Row],['# Initial]]*MouserListTable12[[#This Row],[Price (USD)]]</f>
        <v>0</v>
      </c>
      <c r="O26" s="106" t="s">
        <v>2255</v>
      </c>
      <c r="P26" s="103">
        <f t="shared" si="0"/>
        <v>13</v>
      </c>
      <c r="Q26" s="103" t="s">
        <v>1898</v>
      </c>
      <c r="R2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485-3367</v>
      </c>
      <c r="S26" s="195" t="str">
        <f>HYPERLINK("https://www.mouser.com/ProductDetail/" &amp;MouserListTable12[[#This Row],[Mouser SKU]])</f>
        <v>https://www.mouser.com/ProductDetail/485-3367</v>
      </c>
      <c r="T26" s="121">
        <v>0</v>
      </c>
      <c r="U26" s="121">
        <v>0</v>
      </c>
      <c r="V26" s="121">
        <v>0</v>
      </c>
      <c r="W26" s="121">
        <f>MouserListTable12[[#This Row],['#/Unit]]*FilterSpecs!$C$3+MouserListTable12[[#This Row],[Extra]]</f>
        <v>0</v>
      </c>
      <c r="X26" s="121">
        <f>IF(MouserListTable12[[#This Row],[Tag]]=FilterSpecs!$F$7,MouserListTable12[[#This Row],['#/Unit]]*MouserListTable12[[#This Row],[Price (USD)]],0)</f>
        <v>0</v>
      </c>
      <c r="Y26" s="121">
        <f>MouserListTable12[[#This Row],[Tot '#]]*MouserListTable12[[#This Row],[Price (USD)]]</f>
        <v>0</v>
      </c>
      <c r="Z26"/>
    </row>
    <row r="27" spans="1:26" s="146" customFormat="1" hidden="1" x14ac:dyDescent="0.3">
      <c r="A27" s="103" t="s">
        <v>894</v>
      </c>
      <c r="B27" s="103" t="s">
        <v>888</v>
      </c>
      <c r="C27" s="103" t="s">
        <v>1906</v>
      </c>
      <c r="D27" s="106" t="str">
        <f>IF(MouserListTable12[[#This Row],[Vendor]]=FilterSpecs!$A$8,MouserListTable12[[#This Row],[Mouser SKU]], MouserListTable12[[#This Row],[Supplier SKU]])</f>
        <v>485-3351</v>
      </c>
      <c r="E27" s="121">
        <f>MouserListTable12[[#This Row],[Tot '#]]-MouserListTable12[[#This Row],['# Initial]]</f>
        <v>0</v>
      </c>
      <c r="F27" s="121">
        <f>IF(AND(MouserListTable12[[#This Row],[Tag]]&lt;&gt;FilterSpecs!$F$12, MouserListTable12[[#This Row],[Tag]]&lt;&gt;FilterSpecs!$F$9), MouserListTable12[[#This Row],['#/Unit]]*FilterSpecs!$B$3+MouserListTable12[[#This Row],[Extra Initial]],0)</f>
        <v>0</v>
      </c>
      <c r="G27" s="103"/>
      <c r="H27" s="103"/>
      <c r="I27" s="126" t="s">
        <v>2258</v>
      </c>
      <c r="K27" s="158">
        <v>3.95</v>
      </c>
      <c r="L27" s="126" t="s">
        <v>1910</v>
      </c>
      <c r="N27" s="157">
        <f>MouserListTable12[[#This Row],['# Initial]]*MouserListTable12[[#This Row],[Price (USD)]]</f>
        <v>0</v>
      </c>
      <c r="O27" s="106" t="s">
        <v>2257</v>
      </c>
      <c r="P27" s="103">
        <f t="shared" si="0"/>
        <v>14</v>
      </c>
      <c r="Q27" s="103" t="s">
        <v>1898</v>
      </c>
      <c r="R2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485-3351</v>
      </c>
      <c r="S27" s="195" t="str">
        <f>HYPERLINK("https://www.mouser.com/ProductDetail/" &amp;MouserListTable12[[#This Row],[Mouser SKU]])</f>
        <v>https://www.mouser.com/ProductDetail/485-3351</v>
      </c>
      <c r="T27" s="121">
        <v>0</v>
      </c>
      <c r="U27" s="121">
        <v>0</v>
      </c>
      <c r="V27" s="121">
        <v>0</v>
      </c>
      <c r="W27" s="121">
        <f>MouserListTable12[[#This Row],['#/Unit]]*FilterSpecs!$C$3+MouserListTable12[[#This Row],[Extra]]</f>
        <v>0</v>
      </c>
      <c r="X27" s="121">
        <f>IF(MouserListTable12[[#This Row],[Tag]]=FilterSpecs!$F$7,MouserListTable12[[#This Row],['#/Unit]]*MouserListTable12[[#This Row],[Price (USD)]],0)</f>
        <v>0</v>
      </c>
      <c r="Y27" s="121">
        <f>MouserListTable12[[#This Row],[Tot '#]]*MouserListTable12[[#This Row],[Price (USD)]]</f>
        <v>0</v>
      </c>
      <c r="Z27"/>
    </row>
    <row r="28" spans="1:26" s="146" customFormat="1" hidden="1" x14ac:dyDescent="0.3">
      <c r="A28" s="103" t="s">
        <v>894</v>
      </c>
      <c r="B28" s="103" t="s">
        <v>888</v>
      </c>
      <c r="C28" s="103" t="s">
        <v>1906</v>
      </c>
      <c r="D28" s="106" t="str">
        <f>IF(MouserListTable12[[#This Row],[Vendor]]=FilterSpecs!$A$8,MouserListTable12[[#This Row],[Mouser SKU]], MouserListTable12[[#This Row],[Supplier SKU]])</f>
        <v>485-1314</v>
      </c>
      <c r="E28" s="121">
        <f>MouserListTable12[[#This Row],[Tot '#]]-MouserListTable12[[#This Row],['# Initial]]</f>
        <v>0</v>
      </c>
      <c r="F28" s="121">
        <f>IF(AND(MouserListTable12[[#This Row],[Tag]]&lt;&gt;FilterSpecs!$F$12, MouserListTable12[[#This Row],[Tag]]&lt;&gt;FilterSpecs!$F$9), MouserListTable12[[#This Row],['#/Unit]]*FilterSpecs!$B$3+MouserListTable12[[#This Row],[Extra Initial]],0)</f>
        <v>0</v>
      </c>
      <c r="G28" s="103"/>
      <c r="H28" s="103"/>
      <c r="I28" s="126" t="s">
        <v>2260</v>
      </c>
      <c r="K28" s="158">
        <v>1.95</v>
      </c>
      <c r="L28" s="126" t="s">
        <v>1910</v>
      </c>
      <c r="N28" s="157">
        <f>MouserListTable12[[#This Row],['# Initial]]*MouserListTable12[[#This Row],[Price (USD)]]</f>
        <v>0</v>
      </c>
      <c r="O28" s="106" t="s">
        <v>2259</v>
      </c>
      <c r="P28" s="103">
        <f t="shared" si="0"/>
        <v>15</v>
      </c>
      <c r="Q28" s="103" t="s">
        <v>1898</v>
      </c>
      <c r="R2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485-1314</v>
      </c>
      <c r="S28" s="195" t="str">
        <f>HYPERLINK("https://www.mouser.com/ProductDetail/" &amp;MouserListTable12[[#This Row],[Mouser SKU]])</f>
        <v>https://www.mouser.com/ProductDetail/485-1314</v>
      </c>
      <c r="T28" s="121">
        <v>0</v>
      </c>
      <c r="U28" s="121">
        <v>0</v>
      </c>
      <c r="V28" s="121">
        <v>0</v>
      </c>
      <c r="W28" s="121">
        <f>MouserListTable12[[#This Row],['#/Unit]]*FilterSpecs!$C$3+MouserListTable12[[#This Row],[Extra]]</f>
        <v>0</v>
      </c>
      <c r="X28" s="121">
        <f>IF(MouserListTable12[[#This Row],[Tag]]=FilterSpecs!$F$7,MouserListTable12[[#This Row],['#/Unit]]*MouserListTable12[[#This Row],[Price (USD)]],0)</f>
        <v>0</v>
      </c>
      <c r="Y28" s="121">
        <f>MouserListTable12[[#This Row],[Tot '#]]*MouserListTable12[[#This Row],[Price (USD)]]</f>
        <v>0</v>
      </c>
      <c r="Z28"/>
    </row>
    <row r="29" spans="1:26" s="146" customFormat="1" hidden="1" x14ac:dyDescent="0.3">
      <c r="A29" s="103" t="s">
        <v>894</v>
      </c>
      <c r="B29" s="103" t="s">
        <v>888</v>
      </c>
      <c r="C29" s="103" t="s">
        <v>1906</v>
      </c>
      <c r="D29" s="106" t="str">
        <f>IF(MouserListTable12[[#This Row],[Vendor]]=FilterSpecs!$A$8,MouserListTable12[[#This Row],[Mouser SKU]], MouserListTable12[[#This Row],[Supplier SKU]])</f>
        <v>485-1313</v>
      </c>
      <c r="E29" s="121">
        <f>MouserListTable12[[#This Row],[Tot '#]]-MouserListTable12[[#This Row],['# Initial]]</f>
        <v>0</v>
      </c>
      <c r="F29" s="121">
        <f>IF(AND(MouserListTable12[[#This Row],[Tag]]&lt;&gt;FilterSpecs!$F$12, MouserListTable12[[#This Row],[Tag]]&lt;&gt;FilterSpecs!$F$9), MouserListTable12[[#This Row],['#/Unit]]*FilterSpecs!$B$3+MouserListTable12[[#This Row],[Extra Initial]],0)</f>
        <v>0</v>
      </c>
      <c r="G29" s="103"/>
      <c r="H29" s="103"/>
      <c r="I29" s="126" t="s">
        <v>2262</v>
      </c>
      <c r="K29" s="158">
        <v>1.95</v>
      </c>
      <c r="L29" s="126" t="s">
        <v>1913</v>
      </c>
      <c r="N29" s="157">
        <f>MouserListTable12[[#This Row],['# Initial]]*MouserListTable12[[#This Row],[Price (USD)]]</f>
        <v>0</v>
      </c>
      <c r="O29" s="106" t="s">
        <v>2261</v>
      </c>
      <c r="P29" s="103">
        <f t="shared" si="0"/>
        <v>16</v>
      </c>
      <c r="Q29" s="103" t="s">
        <v>1898</v>
      </c>
      <c r="R2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485-1313</v>
      </c>
      <c r="S29" s="195" t="str">
        <f>HYPERLINK("https://www.mouser.com/ProductDetail/" &amp;MouserListTable12[[#This Row],[Mouser SKU]])</f>
        <v>https://www.mouser.com/ProductDetail/485-1313</v>
      </c>
      <c r="T29" s="121">
        <v>0</v>
      </c>
      <c r="U29" s="121">
        <v>0</v>
      </c>
      <c r="V29" s="121">
        <v>0</v>
      </c>
      <c r="W29" s="121">
        <f>MouserListTable12[[#This Row],['#/Unit]]*FilterSpecs!$C$3+MouserListTable12[[#This Row],[Extra]]</f>
        <v>0</v>
      </c>
      <c r="X29" s="121">
        <f>IF(MouserListTable12[[#This Row],[Tag]]=FilterSpecs!$F$7,MouserListTable12[[#This Row],['#/Unit]]*MouserListTable12[[#This Row],[Price (USD)]],0)</f>
        <v>0</v>
      </c>
      <c r="Y29" s="121">
        <f>MouserListTable12[[#This Row],[Tot '#]]*MouserListTable12[[#This Row],[Price (USD)]]</f>
        <v>0</v>
      </c>
      <c r="Z29"/>
    </row>
    <row r="30" spans="1:26" s="146" customFormat="1" hidden="1" x14ac:dyDescent="0.3">
      <c r="A30" s="103" t="s">
        <v>894</v>
      </c>
      <c r="B30" s="103" t="s">
        <v>888</v>
      </c>
      <c r="C30" s="103" t="s">
        <v>1906</v>
      </c>
      <c r="D30" s="106" t="str">
        <f>IF(MouserListTable12[[#This Row],[Vendor]]=FilterSpecs!$A$8,MouserListTable12[[#This Row],[Mouser SKU]], MouserListTable12[[#This Row],[Supplier SKU]])</f>
        <v>485-1669</v>
      </c>
      <c r="E30" s="121">
        <f>MouserListTable12[[#This Row],[Tot '#]]-MouserListTable12[[#This Row],['# Initial]]</f>
        <v>0</v>
      </c>
      <c r="F30" s="121">
        <f>IF(AND(MouserListTable12[[#This Row],[Tag]]&lt;&gt;FilterSpecs!$F$12, MouserListTable12[[#This Row],[Tag]]&lt;&gt;FilterSpecs!$F$9), MouserListTable12[[#This Row],['#/Unit]]*FilterSpecs!$B$3+MouserListTable12[[#This Row],[Extra Initial]],0)</f>
        <v>0</v>
      </c>
      <c r="G30" s="103"/>
      <c r="H30" s="103"/>
      <c r="I30" s="126" t="s">
        <v>2264</v>
      </c>
      <c r="K30" s="158">
        <v>7.5</v>
      </c>
      <c r="L30" s="126" t="s">
        <v>1913</v>
      </c>
      <c r="N30" s="157">
        <f>MouserListTable12[[#This Row],['# Initial]]*MouserListTable12[[#This Row],[Price (USD)]]</f>
        <v>0</v>
      </c>
      <c r="O30" s="106" t="s">
        <v>2263</v>
      </c>
      <c r="P30" s="103">
        <f t="shared" si="0"/>
        <v>17</v>
      </c>
      <c r="Q30" s="103" t="s">
        <v>1898</v>
      </c>
      <c r="R3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485-1669</v>
      </c>
      <c r="S30" s="195" t="str">
        <f>HYPERLINK("https://www.mouser.com/ProductDetail/" &amp;MouserListTable12[[#This Row],[Mouser SKU]])</f>
        <v>https://www.mouser.com/ProductDetail/485-1669</v>
      </c>
      <c r="T30" s="121">
        <v>0</v>
      </c>
      <c r="U30" s="121">
        <v>0</v>
      </c>
      <c r="V30" s="121">
        <v>0</v>
      </c>
      <c r="W30" s="121">
        <f>MouserListTable12[[#This Row],['#/Unit]]*FilterSpecs!$C$3+MouserListTable12[[#This Row],[Extra]]</f>
        <v>0</v>
      </c>
      <c r="X30" s="121">
        <f>IF(MouserListTable12[[#This Row],[Tag]]=FilterSpecs!$F$7,MouserListTable12[[#This Row],['#/Unit]]*MouserListTable12[[#This Row],[Price (USD)]],0)</f>
        <v>0</v>
      </c>
      <c r="Y30" s="121">
        <f>MouserListTable12[[#This Row],[Tot '#]]*MouserListTable12[[#This Row],[Price (USD)]]</f>
        <v>0</v>
      </c>
      <c r="Z30"/>
    </row>
    <row r="31" spans="1:26" s="146" customFormat="1" hidden="1" x14ac:dyDescent="0.3">
      <c r="A31" s="103" t="s">
        <v>894</v>
      </c>
      <c r="B31" s="103" t="s">
        <v>888</v>
      </c>
      <c r="C31" s="103" t="s">
        <v>1906</v>
      </c>
      <c r="D31" s="106" t="str">
        <f>IF(MouserListTable12[[#This Row],[Vendor]]=FilterSpecs!$A$8,MouserListTable12[[#This Row],[Mouser SKU]], MouserListTable12[[#This Row],[Supplier SKU]])</f>
        <v>485-1363</v>
      </c>
      <c r="E31" s="121">
        <f>MouserListTable12[[#This Row],[Tot '#]]-MouserListTable12[[#This Row],['# Initial]]</f>
        <v>0</v>
      </c>
      <c r="F31" s="121">
        <f>IF(AND(MouserListTable12[[#This Row],[Tag]]&lt;&gt;FilterSpecs!$F$12, MouserListTable12[[#This Row],[Tag]]&lt;&gt;FilterSpecs!$F$9), MouserListTable12[[#This Row],['#/Unit]]*FilterSpecs!$B$3+MouserListTable12[[#This Row],[Extra Initial]],0)</f>
        <v>0</v>
      </c>
      <c r="G31" s="103"/>
      <c r="H31" s="103"/>
      <c r="I31" s="126" t="s">
        <v>2266</v>
      </c>
      <c r="K31" s="158">
        <v>9.9499999999999993</v>
      </c>
      <c r="L31" s="126" t="s">
        <v>1910</v>
      </c>
      <c r="N31" s="157">
        <f>MouserListTable12[[#This Row],['# Initial]]*MouserListTable12[[#This Row],[Price (USD)]]</f>
        <v>0</v>
      </c>
      <c r="O31" s="106" t="s">
        <v>2265</v>
      </c>
      <c r="P31" s="103">
        <f t="shared" si="0"/>
        <v>18</v>
      </c>
      <c r="Q31" s="103" t="s">
        <v>1898</v>
      </c>
      <c r="R3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485-1363</v>
      </c>
      <c r="S31" s="195" t="str">
        <f>HYPERLINK("https://www.mouser.com/ProductDetail/" &amp;MouserListTable12[[#This Row],[Mouser SKU]])</f>
        <v>https://www.mouser.com/ProductDetail/485-1363</v>
      </c>
      <c r="T31" s="121">
        <v>0</v>
      </c>
      <c r="U31" s="121">
        <v>0</v>
      </c>
      <c r="V31" s="121">
        <v>0</v>
      </c>
      <c r="W31" s="121">
        <f>MouserListTable12[[#This Row],['#/Unit]]*FilterSpecs!$C$3+MouserListTable12[[#This Row],[Extra]]</f>
        <v>0</v>
      </c>
      <c r="X31" s="121">
        <f>IF(MouserListTable12[[#This Row],[Tag]]=FilterSpecs!$F$7,MouserListTable12[[#This Row],['#/Unit]]*MouserListTable12[[#This Row],[Price (USD)]],0)</f>
        <v>0</v>
      </c>
      <c r="Y31" s="121">
        <f>MouserListTable12[[#This Row],[Tot '#]]*MouserListTable12[[#This Row],[Price (USD)]]</f>
        <v>0</v>
      </c>
      <c r="Z31"/>
    </row>
    <row r="32" spans="1:26" s="146" customFormat="1" x14ac:dyDescent="0.3">
      <c r="A32" s="103" t="s">
        <v>894</v>
      </c>
      <c r="B32" s="103" t="s">
        <v>12</v>
      </c>
      <c r="C32" s="103" t="s">
        <v>1906</v>
      </c>
      <c r="D32" s="106" t="str">
        <f>IF(MouserListTable12[[#This Row],[Vendor]]=FilterSpecs!$A$8,MouserListTable12[[#This Row],[Mouser SKU]], MouserListTable12[[#This Row],[Supplier SKU]])</f>
        <v>474-WRL-11373</v>
      </c>
      <c r="E32" s="121">
        <f>MouserListTable12[[#This Row],[Tot '#]]-MouserListTable12[[#This Row],['# Initial]]</f>
        <v>0</v>
      </c>
      <c r="F32" s="121">
        <f>IF(AND(MouserListTable12[[#This Row],[Tag]]&lt;&gt;FilterSpecs!$F$12, MouserListTable12[[#This Row],[Tag]]&lt;&gt;FilterSpecs!$F$9), MouserListTable12[[#This Row],['#/Unit]]*FilterSpecs!$B$3+MouserListTable12[[#This Row],[Extra Initial]],0)</f>
        <v>5</v>
      </c>
      <c r="G32" s="103" t="s">
        <v>57</v>
      </c>
      <c r="H32" s="103" t="s">
        <v>58</v>
      </c>
      <c r="I32" s="103" t="s">
        <v>59</v>
      </c>
      <c r="J32" s="103">
        <v>1</v>
      </c>
      <c r="K32" s="157">
        <v>9.9499999999999993</v>
      </c>
      <c r="L32" s="103" t="s">
        <v>1911</v>
      </c>
      <c r="M32" s="106"/>
      <c r="N32" s="157">
        <f>MouserListTable12[[#This Row],['# Initial]]*MouserListTable12[[#This Row],[Price (USD)]]</f>
        <v>49.75</v>
      </c>
      <c r="O32" s="106" t="s">
        <v>56</v>
      </c>
      <c r="P32" s="103">
        <f t="shared" si="0"/>
        <v>19</v>
      </c>
      <c r="Q32" s="103" t="s">
        <v>8</v>
      </c>
      <c r="R3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474-WRL-11373</v>
      </c>
      <c r="S32" s="195" t="str">
        <f>HYPERLINK("https://www.mouser.com/ProductDetail/" &amp;MouserListTable12[[#This Row],[Mouser SKU]])</f>
        <v>https://www.mouser.com/ProductDetail/474-WRL-11373</v>
      </c>
      <c r="T32" s="121">
        <v>1</v>
      </c>
      <c r="U32" s="121">
        <v>0</v>
      </c>
      <c r="V32" s="121">
        <v>0</v>
      </c>
      <c r="W32" s="121">
        <f>MouserListTable12[[#This Row],['#/Unit]]*FilterSpecs!$C$3+MouserListTable12[[#This Row],[Extra]]</f>
        <v>5</v>
      </c>
      <c r="X32" s="121">
        <f>IF(MouserListTable12[[#This Row],[Tag]]=FilterSpecs!$F$7,MouserListTable12[[#This Row],['#/Unit]]*MouserListTable12[[#This Row],[Price (USD)]],0)</f>
        <v>9.9499999999999993</v>
      </c>
      <c r="Y32" s="121">
        <f>MouserListTable12[[#This Row],[Tot '#]]*MouserListTable12[[#This Row],[Price (USD)]]</f>
        <v>49.75</v>
      </c>
      <c r="Z32"/>
    </row>
    <row r="33" spans="1:28" s="146" customFormat="1" x14ac:dyDescent="0.3">
      <c r="A33" s="103" t="s">
        <v>894</v>
      </c>
      <c r="B33" s="103" t="s">
        <v>12</v>
      </c>
      <c r="C33" s="103" t="s">
        <v>1906</v>
      </c>
      <c r="D33" s="106" t="str">
        <f>IF(MouserListTable12[[#This Row],[Vendor]]=FilterSpecs!$A$8,MouserListTable12[[#This Row],[Mouser SKU]], MouserListTable12[[#This Row],[Supplier SKU]])</f>
        <v>474-WRL-11697</v>
      </c>
      <c r="E33" s="121">
        <f>MouserListTable12[[#This Row],[Tot '#]]-MouserListTable12[[#This Row],['# Initial]]</f>
        <v>0</v>
      </c>
      <c r="F33" s="121">
        <f>IF(AND(MouserListTable12[[#This Row],[Tag]]&lt;&gt;FilterSpecs!$F$12, MouserListTable12[[#This Row],[Tag]]&lt;&gt;FilterSpecs!$F$9), MouserListTable12[[#This Row],['#/Unit]]*FilterSpecs!$B$3+MouserListTable12[[#This Row],[Extra Initial]],0)</f>
        <v>5</v>
      </c>
      <c r="G33" s="103" t="s">
        <v>61</v>
      </c>
      <c r="H33" s="103" t="s">
        <v>62</v>
      </c>
      <c r="I33" s="103" t="s">
        <v>63</v>
      </c>
      <c r="J33" s="103">
        <v>1</v>
      </c>
      <c r="K33" s="157">
        <v>24.95</v>
      </c>
      <c r="L33" s="103" t="s">
        <v>1911</v>
      </c>
      <c r="M33" s="106"/>
      <c r="N33" s="157">
        <f>MouserListTable12[[#This Row],['# Initial]]*MouserListTable12[[#This Row],[Price (USD)]]</f>
        <v>124.75</v>
      </c>
      <c r="O33" s="106" t="s">
        <v>60</v>
      </c>
      <c r="P33" s="103">
        <f t="shared" si="0"/>
        <v>20</v>
      </c>
      <c r="Q33" s="103" t="s">
        <v>8</v>
      </c>
      <c r="R3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474-WRL-11697</v>
      </c>
      <c r="S33" s="195" t="str">
        <f>HYPERLINK("https://www.mouser.com/ProductDetail/" &amp;MouserListTable12[[#This Row],[Mouser SKU]])</f>
        <v>https://www.mouser.com/ProductDetail/474-WRL-11697</v>
      </c>
      <c r="T33" s="121">
        <v>1</v>
      </c>
      <c r="U33" s="121">
        <v>0</v>
      </c>
      <c r="V33" s="121">
        <v>0</v>
      </c>
      <c r="W33" s="121">
        <f>MouserListTable12[[#This Row],['#/Unit]]*FilterSpecs!$C$3+MouserListTable12[[#This Row],[Extra]]</f>
        <v>5</v>
      </c>
      <c r="X33" s="121">
        <f>IF(MouserListTable12[[#This Row],[Tag]]=FilterSpecs!$F$7,MouserListTable12[[#This Row],['#/Unit]]*MouserListTable12[[#This Row],[Price (USD)]],0)</f>
        <v>24.95</v>
      </c>
      <c r="Y33" s="121">
        <f>MouserListTable12[[#This Row],[Tot '#]]*MouserListTable12[[#This Row],[Price (USD)]]</f>
        <v>124.75</v>
      </c>
      <c r="Z33"/>
    </row>
    <row r="34" spans="1:28" s="146" customFormat="1" hidden="1" x14ac:dyDescent="0.3">
      <c r="A34" s="103" t="s">
        <v>894</v>
      </c>
      <c r="B34" s="103" t="s">
        <v>12</v>
      </c>
      <c r="C34" s="103" t="s">
        <v>1906</v>
      </c>
      <c r="D34" s="106" t="str">
        <f>IF(MouserListTable12[[#This Row],[Vendor]]=FilterSpecs!$A$8,MouserListTable12[[#This Row],[Mouser SKU]], MouserListTable12[[#This Row],[Supplier SKU]])</f>
        <v>474-WRL-09434</v>
      </c>
      <c r="E34" s="121">
        <f>MouserListTable12[[#This Row],[Tot '#]]-MouserListTable12[[#This Row],['# Initial]]</f>
        <v>0</v>
      </c>
      <c r="F34" s="121">
        <f>IF(AND(MouserListTable12[[#This Row],[Tag]]&lt;&gt;FilterSpecs!$F$12, MouserListTable12[[#This Row],[Tag]]&lt;&gt;FilterSpecs!$F$9), MouserListTable12[[#This Row],['#/Unit]]*FilterSpecs!$B$3+MouserListTable12[[#This Row],[Extra Initial]],0)</f>
        <v>0</v>
      </c>
      <c r="G34" s="103" t="s">
        <v>65</v>
      </c>
      <c r="H34" s="103" t="s">
        <v>66</v>
      </c>
      <c r="I34" s="103" t="s">
        <v>67</v>
      </c>
      <c r="J34" s="103"/>
      <c r="K34" s="157">
        <v>10.95</v>
      </c>
      <c r="L34" s="103" t="s">
        <v>1911</v>
      </c>
      <c r="M34" s="106"/>
      <c r="N34" s="157">
        <f>MouserListTable12[[#This Row],['# Initial]]*MouserListTable12[[#This Row],[Price (USD)]]</f>
        <v>0</v>
      </c>
      <c r="O34" s="106" t="s">
        <v>64</v>
      </c>
      <c r="P34" s="103">
        <f t="shared" si="0"/>
        <v>21</v>
      </c>
      <c r="Q34" s="103" t="s">
        <v>8</v>
      </c>
      <c r="R3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474-WRL-09434</v>
      </c>
      <c r="S34" s="195" t="str">
        <f>HYPERLINK("https://www.mouser.com/ProductDetail/" &amp;MouserListTable12[[#This Row],[Mouser SKU]])</f>
        <v>https://www.mouser.com/ProductDetail/474-WRL-09434</v>
      </c>
      <c r="T34" s="121">
        <v>0</v>
      </c>
      <c r="U34" s="121">
        <v>0</v>
      </c>
      <c r="V34" s="121">
        <v>0</v>
      </c>
      <c r="W34" s="121">
        <f>MouserListTable12[[#This Row],['#/Unit]]*FilterSpecs!$C$3+MouserListTable12[[#This Row],[Extra]]</f>
        <v>0</v>
      </c>
      <c r="X34" s="121">
        <f>IF(MouserListTable12[[#This Row],[Tag]]=FilterSpecs!$F$7,MouserListTable12[[#This Row],['#/Unit]]*MouserListTable12[[#This Row],[Price (USD)]],0)</f>
        <v>0</v>
      </c>
      <c r="Y34" s="121">
        <f>MouserListTable12[[#This Row],[Tot '#]]*MouserListTable12[[#This Row],[Price (USD)]]</f>
        <v>0</v>
      </c>
      <c r="Z34"/>
    </row>
    <row r="35" spans="1:28" s="146" customFormat="1" x14ac:dyDescent="0.3">
      <c r="A35" s="103" t="s">
        <v>894</v>
      </c>
      <c r="B35" s="103" t="s">
        <v>12</v>
      </c>
      <c r="C35" s="103" t="s">
        <v>1906</v>
      </c>
      <c r="D35" s="106" t="str">
        <f>IF(MouserListTable12[[#This Row],[Vendor]]=FilterSpecs!$A$8,MouserListTable12[[#This Row],[Mouser SKU]], MouserListTable12[[#This Row],[Supplier SKU]])</f>
        <v>474-WRL-11601</v>
      </c>
      <c r="E35" s="121">
        <f>MouserListTable12[[#This Row],[Tot '#]]-MouserListTable12[[#This Row],['# Initial]]</f>
        <v>0</v>
      </c>
      <c r="F35" s="121">
        <f>IF(AND(MouserListTable12[[#This Row],[Tag]]&lt;&gt;FilterSpecs!$F$12, MouserListTable12[[#This Row],[Tag]]&lt;&gt;FilterSpecs!$F$9), MouserListTable12[[#This Row],['#/Unit]]*FilterSpecs!$B$3+MouserListTable12[[#This Row],[Extra Initial]],0)</f>
        <v>10</v>
      </c>
      <c r="G35" s="103" t="s">
        <v>69</v>
      </c>
      <c r="H35" s="103" t="s">
        <v>70</v>
      </c>
      <c r="I35" s="103" t="s">
        <v>71</v>
      </c>
      <c r="J35" s="103">
        <v>1</v>
      </c>
      <c r="K35" s="157">
        <v>24.95</v>
      </c>
      <c r="L35" s="103" t="s">
        <v>1911</v>
      </c>
      <c r="M35" s="106"/>
      <c r="N35" s="157">
        <f>MouserListTable12[[#This Row],['# Initial]]*MouserListTable12[[#This Row],[Price (USD)]]</f>
        <v>249.5</v>
      </c>
      <c r="O35" s="106" t="s">
        <v>68</v>
      </c>
      <c r="P35" s="103">
        <f t="shared" si="0"/>
        <v>22</v>
      </c>
      <c r="Q35" s="103" t="s">
        <v>8</v>
      </c>
      <c r="R3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474-WRL-11601</v>
      </c>
      <c r="S35" s="195" t="str">
        <f>HYPERLINK("https://www.mouser.com/ProductDetail/" &amp;MouserListTable12[[#This Row],[Mouser SKU]])</f>
        <v>https://www.mouser.com/ProductDetail/474-WRL-11601</v>
      </c>
      <c r="T35" s="121">
        <v>2</v>
      </c>
      <c r="U35" s="121">
        <v>0</v>
      </c>
      <c r="V35" s="121">
        <v>0</v>
      </c>
      <c r="W35" s="121">
        <f>MouserListTable12[[#This Row],['#/Unit]]*FilterSpecs!$C$3+MouserListTable12[[#This Row],[Extra]]</f>
        <v>10</v>
      </c>
      <c r="X35" s="121">
        <f>IF(MouserListTable12[[#This Row],[Tag]]=FilterSpecs!$F$7,MouserListTable12[[#This Row],['#/Unit]]*MouserListTable12[[#This Row],[Price (USD)]],0)</f>
        <v>49.9</v>
      </c>
      <c r="Y35" s="121">
        <f>MouserListTable12[[#This Row],[Tot '#]]*MouserListTable12[[#This Row],[Price (USD)]]</f>
        <v>249.5</v>
      </c>
      <c r="Z35"/>
    </row>
    <row r="36" spans="1:28" s="146" customFormat="1" hidden="1" x14ac:dyDescent="0.3">
      <c r="A36" s="103" t="s">
        <v>894</v>
      </c>
      <c r="B36" s="103" t="s">
        <v>1896</v>
      </c>
      <c r="C36" s="103" t="s">
        <v>1906</v>
      </c>
      <c r="D36" s="106" t="str">
        <f>IF(MouserListTable12[[#This Row],[Vendor]]=FilterSpecs!$A$8,MouserListTable12[[#This Row],[Mouser SKU]], MouserListTable12[[#This Row],[Supplier SKU]])</f>
        <v>474-WIG-12772</v>
      </c>
      <c r="E36" s="121">
        <f>MouserListTable12[[#This Row],[Tot '#]]-MouserListTable12[[#This Row],['# Initial]]</f>
        <v>1</v>
      </c>
      <c r="F36" s="121">
        <f>IF(AND(MouserListTable12[[#This Row],[Tag]]&lt;&gt;FilterSpecs!$F$12, MouserListTable12[[#This Row],[Tag]]&lt;&gt;FilterSpecs!$F$9), MouserListTable12[[#This Row],['#/Unit]]*FilterSpecs!$B$3+MouserListTable12[[#This Row],[Extra Initial]],0)</f>
        <v>0</v>
      </c>
      <c r="G36" s="103" t="s">
        <v>231</v>
      </c>
      <c r="H36" s="103" t="s">
        <v>232</v>
      </c>
      <c r="I36" s="103" t="s">
        <v>198</v>
      </c>
      <c r="J36" s="103">
        <v>1</v>
      </c>
      <c r="K36" s="157">
        <v>54.95</v>
      </c>
      <c r="L36" s="103" t="s">
        <v>1910</v>
      </c>
      <c r="M36" s="106"/>
      <c r="N36" s="157">
        <f>MouserListTable12[[#This Row],['# Initial]]*MouserListTable12[[#This Row],[Price (USD)]]</f>
        <v>0</v>
      </c>
      <c r="O36" s="106" t="s">
        <v>230</v>
      </c>
      <c r="P36" s="103">
        <f t="shared" si="0"/>
        <v>23</v>
      </c>
      <c r="Q36" s="103" t="s">
        <v>8</v>
      </c>
      <c r="R3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474-WIG-12772</v>
      </c>
      <c r="S36" s="195" t="str">
        <f>HYPERLINK("https://www.mouser.com/ProductDetail/" &amp;MouserListTable12[[#This Row],[Mouser SKU]])</f>
        <v>https://www.mouser.com/ProductDetail/474-WIG-12772</v>
      </c>
      <c r="T36" s="121">
        <v>0</v>
      </c>
      <c r="U36" s="121">
        <v>1</v>
      </c>
      <c r="V36" s="121">
        <v>0</v>
      </c>
      <c r="W36" s="121">
        <f>MouserListTable12[[#This Row],['#/Unit]]*FilterSpecs!$C$3+MouserListTable12[[#This Row],[Extra]]</f>
        <v>1</v>
      </c>
      <c r="X36" s="121">
        <f>IF(MouserListTable12[[#This Row],[Tag]]=FilterSpecs!$F$7,MouserListTable12[[#This Row],['#/Unit]]*MouserListTable12[[#This Row],[Price (USD)]],0)</f>
        <v>0</v>
      </c>
      <c r="Y36" s="121">
        <f>MouserListTable12[[#This Row],[Tot '#]]*MouserListTable12[[#This Row],[Price (USD)]]</f>
        <v>54.95</v>
      </c>
      <c r="Z36"/>
    </row>
    <row r="37" spans="1:28" s="146" customFormat="1" hidden="1" x14ac:dyDescent="0.3">
      <c r="A37" s="103" t="s">
        <v>894</v>
      </c>
      <c r="B37" s="103" t="s">
        <v>1896</v>
      </c>
      <c r="C37" s="103" t="s">
        <v>1906</v>
      </c>
      <c r="D37" s="106" t="str">
        <f>IF(MouserListTable12[[#This Row],[Vendor]]=FilterSpecs!$A$8,MouserListTable12[[#This Row],[Mouser SKU]], MouserListTable12[[#This Row],[Supplier SKU]])</f>
        <v>474-DEV-13712</v>
      </c>
      <c r="E37" s="121">
        <f>MouserListTable12[[#This Row],[Tot '#]]-MouserListTable12[[#This Row],['# Initial]]</f>
        <v>1</v>
      </c>
      <c r="F37" s="121">
        <f>IF(AND(MouserListTable12[[#This Row],[Tag]]&lt;&gt;FilterSpecs!$F$12, MouserListTable12[[#This Row],[Tag]]&lt;&gt;FilterSpecs!$F$9), MouserListTable12[[#This Row],['#/Unit]]*FilterSpecs!$B$3+MouserListTable12[[#This Row],[Extra Initial]],0)</f>
        <v>0</v>
      </c>
      <c r="G37" s="103" t="s">
        <v>1832</v>
      </c>
      <c r="H37" s="103" t="s">
        <v>1833</v>
      </c>
      <c r="I37" s="103" t="s">
        <v>1834</v>
      </c>
      <c r="J37" s="103">
        <v>1</v>
      </c>
      <c r="K37" s="157">
        <v>14.95</v>
      </c>
      <c r="L37" s="103" t="s">
        <v>1910</v>
      </c>
      <c r="M37" s="106"/>
      <c r="N37" s="157">
        <f>MouserListTable12[[#This Row],['# Initial]]*MouserListTable12[[#This Row],[Price (USD)]]</f>
        <v>0</v>
      </c>
      <c r="O37" s="106" t="s">
        <v>1831</v>
      </c>
      <c r="P37" s="103">
        <f t="shared" si="0"/>
        <v>24</v>
      </c>
      <c r="Q37" s="103" t="s">
        <v>8</v>
      </c>
      <c r="R3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474-DEV-13712</v>
      </c>
      <c r="S37" s="195" t="str">
        <f>HYPERLINK("https://www.mouser.com/ProductDetail/" &amp;MouserListTable12[[#This Row],[Mouser SKU]])</f>
        <v>https://www.mouser.com/ProductDetail/474-DEV-13712</v>
      </c>
      <c r="T37" s="121">
        <v>0</v>
      </c>
      <c r="U37" s="121">
        <v>1</v>
      </c>
      <c r="V37" s="121">
        <v>0</v>
      </c>
      <c r="W37" s="121">
        <f>MouserListTable12[[#This Row],['#/Unit]]*FilterSpecs!$C$3+MouserListTable12[[#This Row],[Extra]]</f>
        <v>1</v>
      </c>
      <c r="X37" s="121">
        <f>IF(MouserListTable12[[#This Row],[Tag]]=FilterSpecs!$F$7,MouserListTable12[[#This Row],['#/Unit]]*MouserListTable12[[#This Row],[Price (USD)]],0)</f>
        <v>0</v>
      </c>
      <c r="Y37" s="121">
        <f>MouserListTable12[[#This Row],[Tot '#]]*MouserListTable12[[#This Row],[Price (USD)]]</f>
        <v>14.95</v>
      </c>
      <c r="Z37"/>
    </row>
    <row r="38" spans="1:28" s="144" customFormat="1" hidden="1" x14ac:dyDescent="0.3">
      <c r="A38" s="103" t="s">
        <v>894</v>
      </c>
      <c r="B38" s="103" t="s">
        <v>1896</v>
      </c>
      <c r="C38" s="103" t="s">
        <v>1906</v>
      </c>
      <c r="D38" s="106" t="str">
        <f>IF(MouserListTable12[[#This Row],[Vendor]]=FilterSpecs!$A$8,MouserListTable12[[#This Row],[Mouser SKU]], MouserListTable12[[#This Row],[Supplier SKU]])</f>
        <v>474-DEV-12761</v>
      </c>
      <c r="E38" s="121">
        <f>MouserListTable12[[#This Row],[Tot '#]]-MouserListTable12[[#This Row],['# Initial]]</f>
        <v>1</v>
      </c>
      <c r="F38" s="121">
        <f>IF(AND(MouserListTable12[[#This Row],[Tag]]&lt;&gt;FilterSpecs!$F$12, MouserListTable12[[#This Row],[Tag]]&lt;&gt;FilterSpecs!$F$9), MouserListTable12[[#This Row],['#/Unit]]*FilterSpecs!$B$3+MouserListTable12[[#This Row],[Extra Initial]],0)</f>
        <v>0</v>
      </c>
      <c r="G38" s="103" t="s">
        <v>2508</v>
      </c>
      <c r="H38" s="103" t="s">
        <v>2509</v>
      </c>
      <c r="I38" s="103" t="s">
        <v>2510</v>
      </c>
      <c r="J38" s="103">
        <v>1</v>
      </c>
      <c r="K38" s="157">
        <v>14.95</v>
      </c>
      <c r="L38" s="103" t="s">
        <v>1911</v>
      </c>
      <c r="M38" s="103"/>
      <c r="N38" s="157">
        <f>MouserListTable12[[#This Row],['# Initial]]*MouserListTable12[[#This Row],[Price (USD)]]</f>
        <v>0</v>
      </c>
      <c r="O38" s="106" t="s">
        <v>2507</v>
      </c>
      <c r="P38" s="103">
        <f t="shared" si="0"/>
        <v>25</v>
      </c>
      <c r="Q38" s="103" t="s">
        <v>8</v>
      </c>
      <c r="R3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474-DEV-12761</v>
      </c>
      <c r="S38" s="195" t="str">
        <f>HYPERLINK("https://www.mouser.com/ProductDetail/" &amp;MouserListTable12[[#This Row],[Mouser SKU]])</f>
        <v>https://www.mouser.com/ProductDetail/474-DEV-12761</v>
      </c>
      <c r="T38" s="121">
        <v>0</v>
      </c>
      <c r="U38" s="121">
        <v>1</v>
      </c>
      <c r="V38" s="121">
        <v>0</v>
      </c>
      <c r="W38" s="121">
        <f>MouserListTable12[[#This Row],['#/Unit]]*FilterSpecs!$C$3+MouserListTable12[[#This Row],[Extra]]</f>
        <v>1</v>
      </c>
      <c r="X38" s="121">
        <f>IF(MouserListTable12[[#This Row],[Tag]]=FilterSpecs!$F$7,MouserListTable12[[#This Row],['#/Unit]]*MouserListTable12[[#This Row],[Price (USD)]],0)</f>
        <v>0</v>
      </c>
      <c r="Y38" s="121">
        <f>MouserListTable12[[#This Row],[Tot '#]]*MouserListTable12[[#This Row],[Price (USD)]]</f>
        <v>14.95</v>
      </c>
      <c r="Z38"/>
    </row>
    <row r="39" spans="1:28" s="146" customFormat="1" x14ac:dyDescent="0.3">
      <c r="A39" s="103" t="s">
        <v>894</v>
      </c>
      <c r="B39" s="103" t="s">
        <v>1896</v>
      </c>
      <c r="C39" s="103" t="s">
        <v>1906</v>
      </c>
      <c r="D39" s="106" t="str">
        <f>IF(MouserListTable12[[#This Row],[Vendor]]=FilterSpecs!$A$8,MouserListTable12[[#This Row],[Mouser SKU]], MouserListTable12[[#This Row],[Supplier SKU]])</f>
        <v>474-TOL-09419</v>
      </c>
      <c r="E39" s="121">
        <f>MouserListTable12[[#This Row],[Tot '#]]-MouserListTable12[[#This Row],['# Initial]]</f>
        <v>0</v>
      </c>
      <c r="F39" s="121">
        <f>IF(AND(MouserListTable12[[#This Row],[Tag]]&lt;&gt;FilterSpecs!$F$12, MouserListTable12[[#This Row],[Tag]]&lt;&gt;FilterSpecs!$F$9), MouserListTable12[[#This Row],['#/Unit]]*FilterSpecs!$B$3+MouserListTable12[[#This Row],[Extra Initial]],0)</f>
        <v>1</v>
      </c>
      <c r="G39" s="103" t="s">
        <v>234</v>
      </c>
      <c r="H39" s="103" t="s">
        <v>235</v>
      </c>
      <c r="I39" s="103" t="s">
        <v>205</v>
      </c>
      <c r="J39" s="103">
        <v>1</v>
      </c>
      <c r="K39" s="157">
        <v>9.9499999999999993</v>
      </c>
      <c r="L39" s="103" t="s">
        <v>1914</v>
      </c>
      <c r="M39" s="106"/>
      <c r="N39" s="157">
        <f>MouserListTable12[[#This Row],['# Initial]]*MouserListTable12[[#This Row],[Price (USD)]]</f>
        <v>9.9499999999999993</v>
      </c>
      <c r="O39" s="106" t="s">
        <v>233</v>
      </c>
      <c r="P39" s="103">
        <f t="shared" si="0"/>
        <v>26</v>
      </c>
      <c r="Q39" s="103" t="s">
        <v>8</v>
      </c>
      <c r="R3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474-TOL-09419</v>
      </c>
      <c r="S39" s="195" t="str">
        <f>HYPERLINK("https://www.mouser.com/ProductDetail/" &amp;MouserListTable12[[#This Row],[Mouser SKU]])</f>
        <v>https://www.mouser.com/ProductDetail/474-TOL-09419</v>
      </c>
      <c r="T39" s="121">
        <v>0</v>
      </c>
      <c r="U39" s="121">
        <v>1</v>
      </c>
      <c r="V39" s="121">
        <v>1</v>
      </c>
      <c r="W39" s="121">
        <f>MouserListTable12[[#This Row],['#/Unit]]*FilterSpecs!$C$3+MouserListTable12[[#This Row],[Extra]]</f>
        <v>1</v>
      </c>
      <c r="X39" s="121">
        <f>IF(MouserListTable12[[#This Row],[Tag]]=FilterSpecs!$F$7,MouserListTable12[[#This Row],['#/Unit]]*MouserListTable12[[#This Row],[Price (USD)]],0)</f>
        <v>0</v>
      </c>
      <c r="Y39" s="121">
        <f>MouserListTable12[[#This Row],[Tot '#]]*MouserListTable12[[#This Row],[Price (USD)]]</f>
        <v>9.9499999999999993</v>
      </c>
      <c r="Z39"/>
    </row>
    <row r="40" spans="1:28" s="146" customFormat="1" hidden="1" x14ac:dyDescent="0.3">
      <c r="A40" s="126" t="s">
        <v>894</v>
      </c>
      <c r="B40" s="126" t="s">
        <v>1896</v>
      </c>
      <c r="C40" s="103" t="s">
        <v>1906</v>
      </c>
      <c r="D40" s="106" t="str">
        <f>IF(MouserListTable12[[#This Row],[Vendor]]=FilterSpecs!$A$8,MouserListTable12[[#This Row],[Mouser SKU]], MouserListTable12[[#This Row],[Supplier SKU]])</f>
        <v>474-BOB-12941</v>
      </c>
      <c r="E40" s="121">
        <f>MouserListTable12[[#This Row],[Tot '#]]-MouserListTable12[[#This Row],['# Initial]]</f>
        <v>0</v>
      </c>
      <c r="F40" s="121">
        <f>IF(AND(MouserListTable12[[#This Row],[Tag]]&lt;&gt;FilterSpecs!$F$12, MouserListTable12[[#This Row],[Tag]]&lt;&gt;FilterSpecs!$F$9), MouserListTable12[[#This Row],['#/Unit]]*FilterSpecs!$B$3+MouserListTable12[[#This Row],[Extra Initial]],0)</f>
        <v>0</v>
      </c>
      <c r="G40" s="103" t="s">
        <v>287</v>
      </c>
      <c r="H40" s="103" t="s">
        <v>288</v>
      </c>
      <c r="I40" s="103" t="s">
        <v>203</v>
      </c>
      <c r="J40" s="103">
        <v>1</v>
      </c>
      <c r="K40" s="157">
        <v>9.9499999999999993</v>
      </c>
      <c r="L40" s="103" t="s">
        <v>1911</v>
      </c>
      <c r="N40" s="157">
        <f>MouserListTable12[[#This Row],['# Initial]]*MouserListTable12[[#This Row],[Price (USD)]]</f>
        <v>0</v>
      </c>
      <c r="O40" s="106" t="s">
        <v>286</v>
      </c>
      <c r="P40" s="103">
        <f t="shared" si="0"/>
        <v>27</v>
      </c>
      <c r="Q40" s="103" t="s">
        <v>8</v>
      </c>
      <c r="R4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474-BOB-12941</v>
      </c>
      <c r="S40" s="195" t="str">
        <f>HYPERLINK("https://www.mouser.com/ProductDetail/" &amp;MouserListTable12[[#This Row],[Mouser SKU]])</f>
        <v>https://www.mouser.com/ProductDetail/474-BOB-12941</v>
      </c>
      <c r="T40" s="121">
        <v>0</v>
      </c>
      <c r="U40" s="121">
        <v>0</v>
      </c>
      <c r="V40" s="121">
        <v>0</v>
      </c>
      <c r="W40" s="121">
        <f>MouserListTable12[[#This Row],['#/Unit]]*FilterSpecs!$C$3+MouserListTable12[[#This Row],[Extra]]</f>
        <v>0</v>
      </c>
      <c r="X40" s="121">
        <f>IF(MouserListTable12[[#This Row],[Tag]]=FilterSpecs!$F$7,MouserListTable12[[#This Row],['#/Unit]]*MouserListTable12[[#This Row],[Price (USD)]],0)</f>
        <v>0</v>
      </c>
      <c r="Y40" s="121">
        <f>MouserListTable12[[#This Row],[Tot '#]]*MouserListTable12[[#This Row],[Price (USD)]]</f>
        <v>0</v>
      </c>
      <c r="Z40"/>
    </row>
    <row r="41" spans="1:28" s="146" customFormat="1" x14ac:dyDescent="0.3">
      <c r="A41" s="103" t="s">
        <v>894</v>
      </c>
      <c r="B41" s="103" t="s">
        <v>1896</v>
      </c>
      <c r="C41" s="103" t="s">
        <v>1906</v>
      </c>
      <c r="D41" s="106" t="str">
        <f>IF(MouserListTable12[[#This Row],[Vendor]]=FilterSpecs!$A$8,MouserListTable12[[#This Row],[Mouser SKU]], MouserListTable12[[#This Row],[Supplier SKU]])</f>
        <v>474-DEV-13743</v>
      </c>
      <c r="E41" s="121">
        <f>MouserListTable12[[#This Row],[Tot '#]]-MouserListTable12[[#This Row],['# Initial]]</f>
        <v>0</v>
      </c>
      <c r="F41" s="121">
        <f>IF(AND(MouserListTable12[[#This Row],[Tag]]&lt;&gt;FilterSpecs!$F$12, MouserListTable12[[#This Row],[Tag]]&lt;&gt;FilterSpecs!$F$9), MouserListTable12[[#This Row],['#/Unit]]*FilterSpecs!$B$3+MouserListTable12[[#This Row],[Extra Initial]],0)</f>
        <v>5</v>
      </c>
      <c r="G41" s="103" t="s">
        <v>415</v>
      </c>
      <c r="H41" s="103" t="s">
        <v>416</v>
      </c>
      <c r="I41" s="103" t="s">
        <v>223</v>
      </c>
      <c r="J41" s="103">
        <v>1</v>
      </c>
      <c r="K41" s="157">
        <v>4.95</v>
      </c>
      <c r="L41" s="103" t="s">
        <v>1911</v>
      </c>
      <c r="M41" s="106"/>
      <c r="N41" s="157">
        <f>MouserListTable12[[#This Row],['# Initial]]*MouserListTable12[[#This Row],[Price (USD)]]</f>
        <v>24.75</v>
      </c>
      <c r="O41" s="106" t="s">
        <v>414</v>
      </c>
      <c r="P41" s="103">
        <f t="shared" si="0"/>
        <v>28</v>
      </c>
      <c r="Q41" s="103" t="s">
        <v>8</v>
      </c>
      <c r="R4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474-DEV-13743</v>
      </c>
      <c r="S41" s="195" t="str">
        <f>HYPERLINK("https://www.mouser.com/ProductDetail/" &amp;MouserListTable12[[#This Row],[Mouser SKU]])</f>
        <v>https://www.mouser.com/ProductDetail/474-DEV-13743</v>
      </c>
      <c r="T41" s="121">
        <v>1</v>
      </c>
      <c r="U41" s="121">
        <v>0</v>
      </c>
      <c r="V41" s="121">
        <v>0</v>
      </c>
      <c r="W41" s="121">
        <f>MouserListTable12[[#This Row],['#/Unit]]*FilterSpecs!$C$3+MouserListTable12[[#This Row],[Extra]]</f>
        <v>5</v>
      </c>
      <c r="X41" s="121">
        <f>IF(MouserListTable12[[#This Row],[Tag]]=FilterSpecs!$F$7,MouserListTable12[[#This Row],['#/Unit]]*MouserListTable12[[#This Row],[Price (USD)]],0)</f>
        <v>4.95</v>
      </c>
      <c r="Y41" s="121">
        <f>MouserListTable12[[#This Row],[Tot '#]]*MouserListTable12[[#This Row],[Price (USD)]]</f>
        <v>24.75</v>
      </c>
      <c r="Z41"/>
    </row>
    <row r="42" spans="1:28" s="146" customFormat="1" x14ac:dyDescent="0.3">
      <c r="A42" s="103" t="s">
        <v>894</v>
      </c>
      <c r="B42" s="103" t="s">
        <v>1896</v>
      </c>
      <c r="C42" s="103" t="s">
        <v>1906</v>
      </c>
      <c r="D42" s="106" t="str">
        <f>IF(MouserListTable12[[#This Row],[Vendor]]=FilterSpecs!$A$8,MouserListTable12[[#This Row],[Mouser SKU]], MouserListTable12[[#This Row],[Supplier SKU]])</f>
        <v>474-COM-13833</v>
      </c>
      <c r="E42" s="121">
        <f>MouserListTable12[[#This Row],[Tot '#]]-MouserListTable12[[#This Row],['# Initial]]</f>
        <v>1</v>
      </c>
      <c r="F42" s="121">
        <f>IF(AND(MouserListTable12[[#This Row],[Tag]]&lt;&gt;FilterSpecs!$F$12, MouserListTable12[[#This Row],[Tag]]&lt;&gt;FilterSpecs!$F$9), MouserListTable12[[#This Row],['#/Unit]]*FilterSpecs!$B$3+MouserListTable12[[#This Row],[Extra Initial]],0)</f>
        <v>5</v>
      </c>
      <c r="G42" s="103" t="s">
        <v>636</v>
      </c>
      <c r="H42" s="103" t="s">
        <v>637</v>
      </c>
      <c r="I42" s="103" t="s">
        <v>638</v>
      </c>
      <c r="J42" s="103">
        <v>1</v>
      </c>
      <c r="K42" s="157">
        <v>19.95</v>
      </c>
      <c r="L42" s="103" t="s">
        <v>1911</v>
      </c>
      <c r="M42" s="106"/>
      <c r="N42" s="157">
        <f>MouserListTable12[[#This Row],['# Initial]]*MouserListTable12[[#This Row],[Price (USD)]]</f>
        <v>99.75</v>
      </c>
      <c r="O42" s="106" t="s">
        <v>635</v>
      </c>
      <c r="P42" s="103">
        <f t="shared" si="0"/>
        <v>29</v>
      </c>
      <c r="Q42" s="103" t="s">
        <v>8</v>
      </c>
      <c r="R4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474-COM-13833</v>
      </c>
      <c r="S42" s="195" t="str">
        <f>HYPERLINK("https://www.mouser.com/ProductDetail/" &amp;MouserListTable12[[#This Row],[Mouser SKU]])</f>
        <v>https://www.mouser.com/ProductDetail/474-COM-13833</v>
      </c>
      <c r="T42" s="121">
        <v>1</v>
      </c>
      <c r="U42" s="121">
        <v>1</v>
      </c>
      <c r="V42" s="121">
        <v>0</v>
      </c>
      <c r="W42" s="121">
        <f>MouserListTable12[[#This Row],['#/Unit]]*FilterSpecs!$C$3+MouserListTable12[[#This Row],[Extra]]</f>
        <v>6</v>
      </c>
      <c r="X42" s="121">
        <f>IF(MouserListTable12[[#This Row],[Tag]]=FilterSpecs!$F$7,MouserListTable12[[#This Row],['#/Unit]]*MouserListTable12[[#This Row],[Price (USD)]],0)</f>
        <v>19.95</v>
      </c>
      <c r="Y42" s="121">
        <f>MouserListTable12[[#This Row],[Tot '#]]*MouserListTable12[[#This Row],[Price (USD)]]</f>
        <v>119.69999999999999</v>
      </c>
      <c r="Z42"/>
    </row>
    <row r="43" spans="1:28" s="146" customFormat="1" hidden="1" x14ac:dyDescent="0.3">
      <c r="A43" s="103" t="s">
        <v>894</v>
      </c>
      <c r="B43" s="103" t="s">
        <v>1896</v>
      </c>
      <c r="C43" s="103" t="s">
        <v>1906</v>
      </c>
      <c r="D43" s="106" t="str">
        <f>IF(MouserListTable12[[#This Row],[Vendor]]=FilterSpecs!$A$8,MouserListTable12[[#This Row],[Mouser SKU]], MouserListTable12[[#This Row],[Supplier SKU]])</f>
        <v>485-102</v>
      </c>
      <c r="E43" s="121">
        <f>MouserListTable12[[#This Row],[Tot '#]]-MouserListTable12[[#This Row],['# Initial]]</f>
        <v>2</v>
      </c>
      <c r="F43" s="121">
        <f>IF(AND(MouserListTable12[[#This Row],[Tag]]&lt;&gt;FilterSpecs!$F$12, MouserListTable12[[#This Row],[Tag]]&lt;&gt;FilterSpecs!$F$9), MouserListTable12[[#This Row],['#/Unit]]*FilterSpecs!$B$3+MouserListTable12[[#This Row],[Extra Initial]],0)</f>
        <v>0</v>
      </c>
      <c r="G43" s="103"/>
      <c r="H43" s="103"/>
      <c r="I43" s="103" t="s">
        <v>2268</v>
      </c>
      <c r="J43" s="103"/>
      <c r="K43" s="157">
        <v>7.95</v>
      </c>
      <c r="L43" s="103" t="s">
        <v>1910</v>
      </c>
      <c r="M43" s="106"/>
      <c r="N43" s="157">
        <f>MouserListTable12[[#This Row],['# Initial]]*MouserListTable12[[#This Row],[Price (USD)]]</f>
        <v>0</v>
      </c>
      <c r="O43" s="106" t="s">
        <v>2267</v>
      </c>
      <c r="P43" s="103">
        <f t="shared" si="0"/>
        <v>30</v>
      </c>
      <c r="Q43" s="103" t="s">
        <v>1898</v>
      </c>
      <c r="R4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485-102</v>
      </c>
      <c r="S43" s="195" t="str">
        <f>HYPERLINK("https://www.mouser.com/ProductDetail/" &amp;MouserListTable12[[#This Row],[Mouser SKU]])</f>
        <v>https://www.mouser.com/ProductDetail/485-102</v>
      </c>
      <c r="T43" s="121">
        <v>0</v>
      </c>
      <c r="U43" s="121">
        <v>2</v>
      </c>
      <c r="V43" s="121">
        <v>0</v>
      </c>
      <c r="W43" s="121">
        <f>MouserListTable12[[#This Row],['#/Unit]]*FilterSpecs!$C$3+MouserListTable12[[#This Row],[Extra]]</f>
        <v>2</v>
      </c>
      <c r="X43" s="121">
        <f>IF(MouserListTable12[[#This Row],[Tag]]=FilterSpecs!$F$7,MouserListTable12[[#This Row],['#/Unit]]*MouserListTable12[[#This Row],[Price (USD)]],0)</f>
        <v>0</v>
      </c>
      <c r="Y43" s="121">
        <f>MouserListTable12[[#This Row],[Tot '#]]*MouserListTable12[[#This Row],[Price (USD)]]</f>
        <v>15.9</v>
      </c>
      <c r="Z43"/>
    </row>
    <row r="44" spans="1:28" s="146" customFormat="1" x14ac:dyDescent="0.3">
      <c r="A44" s="103" t="s">
        <v>894</v>
      </c>
      <c r="B44" s="103" t="s">
        <v>1896</v>
      </c>
      <c r="C44" s="103" t="s">
        <v>1906</v>
      </c>
      <c r="D44" s="106" t="str">
        <f>IF(MouserListTable12[[#This Row],[Vendor]]=FilterSpecs!$A$8,MouserListTable12[[#This Row],[Mouser SKU]], MouserListTable12[[#This Row],[Supplier SKU]])</f>
        <v>485-1969</v>
      </c>
      <c r="E44" s="121">
        <f>MouserListTable12[[#This Row],[Tot '#]]-MouserListTable12[[#This Row],['# Initial]]</f>
        <v>0</v>
      </c>
      <c r="F44" s="121">
        <f>IF(AND(MouserListTable12[[#This Row],[Tag]]&lt;&gt;FilterSpecs!$F$12, MouserListTable12[[#This Row],[Tag]]&lt;&gt;FilterSpecs!$F$9), MouserListTable12[[#This Row],['#/Unit]]*FilterSpecs!$B$3+MouserListTable12[[#This Row],[Extra Initial]],0)</f>
        <v>1</v>
      </c>
      <c r="G44" s="103"/>
      <c r="H44" s="103"/>
      <c r="I44" s="103" t="s">
        <v>2078</v>
      </c>
      <c r="J44" s="103"/>
      <c r="K44" s="157">
        <v>2.95</v>
      </c>
      <c r="L44" s="103" t="s">
        <v>1910</v>
      </c>
      <c r="M44" s="106"/>
      <c r="N44" s="157">
        <f>MouserListTable12[[#This Row],['# Initial]]*MouserListTable12[[#This Row],[Price (USD)]]</f>
        <v>2.95</v>
      </c>
      <c r="O44" s="106" t="s">
        <v>2079</v>
      </c>
      <c r="P44" s="103">
        <f t="shared" si="0"/>
        <v>31</v>
      </c>
      <c r="Q44" s="103" t="s">
        <v>1898</v>
      </c>
      <c r="R4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485-1969</v>
      </c>
      <c r="S44" s="195" t="str">
        <f>HYPERLINK("https://www.mouser.com/ProductDetail/" &amp;MouserListTable12[[#This Row],[Mouser SKU]])</f>
        <v>https://www.mouser.com/ProductDetail/485-1969</v>
      </c>
      <c r="T44" s="121">
        <v>0</v>
      </c>
      <c r="U44" s="121">
        <v>1</v>
      </c>
      <c r="V44" s="121">
        <v>1</v>
      </c>
      <c r="W44" s="121">
        <f>MouserListTable12[[#This Row],['#/Unit]]*FilterSpecs!$C$3+MouserListTable12[[#This Row],[Extra]]</f>
        <v>1</v>
      </c>
      <c r="X44" s="121">
        <f>IF(MouserListTable12[[#This Row],[Tag]]=FilterSpecs!$F$7,MouserListTable12[[#This Row],['#/Unit]]*MouserListTable12[[#This Row],[Price (USD)]],0)</f>
        <v>0</v>
      </c>
      <c r="Y44" s="121">
        <f>MouserListTable12[[#This Row],[Tot '#]]*MouserListTable12[[#This Row],[Price (USD)]]</f>
        <v>2.95</v>
      </c>
      <c r="Z44"/>
      <c r="AA44" s="194"/>
      <c r="AB44" s="194"/>
    </row>
    <row r="45" spans="1:28" s="146" customFormat="1" hidden="1" x14ac:dyDescent="0.3">
      <c r="A45" s="126" t="s">
        <v>894</v>
      </c>
      <c r="B45" s="126" t="s">
        <v>1896</v>
      </c>
      <c r="C45" s="103" t="s">
        <v>1906</v>
      </c>
      <c r="D45" s="106" t="str">
        <f>IF(MouserListTable12[[#This Row],[Vendor]]=FilterSpecs!$A$8,MouserListTable12[[#This Row],[Mouser SKU]], MouserListTable12[[#This Row],[Supplier SKU]])</f>
        <v>485-2693</v>
      </c>
      <c r="E45" s="121">
        <f>MouserListTable12[[#This Row],[Tot '#]]-MouserListTable12[[#This Row],['# Initial]]</f>
        <v>0</v>
      </c>
      <c r="F45" s="121">
        <f>IF(AND(MouserListTable12[[#This Row],[Tag]]&lt;&gt;FilterSpecs!$F$12, MouserListTable12[[#This Row],[Tag]]&lt;&gt;FilterSpecs!$F$9), MouserListTable12[[#This Row],['#/Unit]]*FilterSpecs!$B$3+MouserListTable12[[#This Row],[Extra Initial]],0)</f>
        <v>0</v>
      </c>
      <c r="G45" s="103"/>
      <c r="H45" s="103"/>
      <c r="I45" s="103" t="s">
        <v>2270</v>
      </c>
      <c r="J45" s="103"/>
      <c r="K45" s="157">
        <v>19.95</v>
      </c>
      <c r="L45" s="103" t="s">
        <v>1913</v>
      </c>
      <c r="N45" s="157">
        <f>MouserListTable12[[#This Row],['# Initial]]*MouserListTable12[[#This Row],[Price (USD)]]</f>
        <v>0</v>
      </c>
      <c r="O45" s="106" t="s">
        <v>2269</v>
      </c>
      <c r="P45" s="103">
        <f t="shared" si="0"/>
        <v>32</v>
      </c>
      <c r="Q45" s="103" t="s">
        <v>1898</v>
      </c>
      <c r="R4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485-2693</v>
      </c>
      <c r="S45" s="195" t="str">
        <f>HYPERLINK("https://www.mouser.com/ProductDetail/" &amp;MouserListTable12[[#This Row],[Mouser SKU]])</f>
        <v>https://www.mouser.com/ProductDetail/485-2693</v>
      </c>
      <c r="T45" s="121">
        <v>0</v>
      </c>
      <c r="U45" s="121">
        <v>0</v>
      </c>
      <c r="V45" s="121">
        <v>0</v>
      </c>
      <c r="W45" s="121">
        <f>MouserListTable12[[#This Row],['#/Unit]]*FilterSpecs!$C$3+MouserListTable12[[#This Row],[Extra]]</f>
        <v>0</v>
      </c>
      <c r="X45" s="121">
        <f>IF(MouserListTable12[[#This Row],[Tag]]=FilterSpecs!$F$7,MouserListTable12[[#This Row],['#/Unit]]*MouserListTable12[[#This Row],[Price (USD)]],0)</f>
        <v>0</v>
      </c>
      <c r="Y45" s="121">
        <f>MouserListTable12[[#This Row],[Tot '#]]*MouserListTable12[[#This Row],[Price (USD)]]</f>
        <v>0</v>
      </c>
      <c r="Z45"/>
    </row>
    <row r="46" spans="1:28" s="146" customFormat="1" hidden="1" x14ac:dyDescent="0.3">
      <c r="A46" s="103" t="s">
        <v>894</v>
      </c>
      <c r="B46" s="103" t="s">
        <v>1896</v>
      </c>
      <c r="C46" s="103" t="s">
        <v>1906</v>
      </c>
      <c r="D46" s="106" t="str">
        <f>IF(MouserListTable12[[#This Row],[Vendor]]=FilterSpecs!$A$8,MouserListTable12[[#This Row],[Mouser SKU]], MouserListTable12[[#This Row],[Supplier SKU]])</f>
        <v>485-1294</v>
      </c>
      <c r="E46" s="121">
        <f>MouserListTable12[[#This Row],[Tot '#]]-MouserListTable12[[#This Row],['# Initial]]</f>
        <v>0</v>
      </c>
      <c r="F46" s="121">
        <f>IF(AND(MouserListTable12[[#This Row],[Tag]]&lt;&gt;FilterSpecs!$F$12, MouserListTable12[[#This Row],[Tag]]&lt;&gt;FilterSpecs!$F$9), MouserListTable12[[#This Row],['#/Unit]]*FilterSpecs!$B$3+MouserListTable12[[#This Row],[Extra Initial]],0)</f>
        <v>0</v>
      </c>
      <c r="G46" s="103"/>
      <c r="H46" s="103"/>
      <c r="I46" s="126" t="s">
        <v>2272</v>
      </c>
      <c r="K46" s="158">
        <v>9.9499999999999993</v>
      </c>
      <c r="L46" s="126" t="s">
        <v>1910</v>
      </c>
      <c r="N46" s="157">
        <f>MouserListTable12[[#This Row],['# Initial]]*MouserListTable12[[#This Row],[Price (USD)]]</f>
        <v>0</v>
      </c>
      <c r="O46" s="106" t="s">
        <v>2271</v>
      </c>
      <c r="P46" s="103">
        <f t="shared" si="0"/>
        <v>33</v>
      </c>
      <c r="Q46" s="103" t="s">
        <v>1898</v>
      </c>
      <c r="R4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485-1294</v>
      </c>
      <c r="S46" s="195" t="str">
        <f>HYPERLINK("https://www.mouser.com/ProductDetail/" &amp;MouserListTable12[[#This Row],[Mouser SKU]])</f>
        <v>https://www.mouser.com/ProductDetail/485-1294</v>
      </c>
      <c r="T46" s="121">
        <v>0</v>
      </c>
      <c r="U46" s="121">
        <v>0</v>
      </c>
      <c r="V46" s="121">
        <v>0</v>
      </c>
      <c r="W46" s="121">
        <f>MouserListTable12[[#This Row],['#/Unit]]*FilterSpecs!$C$3+MouserListTable12[[#This Row],[Extra]]</f>
        <v>0</v>
      </c>
      <c r="X46" s="121">
        <f>IF(MouserListTable12[[#This Row],[Tag]]=FilterSpecs!$F$7,MouserListTable12[[#This Row],['#/Unit]]*MouserListTable12[[#This Row],[Price (USD)]],0)</f>
        <v>0</v>
      </c>
      <c r="Y46" s="121">
        <f>MouserListTable12[[#This Row],[Tot '#]]*MouserListTable12[[#This Row],[Price (USD)]]</f>
        <v>0</v>
      </c>
      <c r="Z46"/>
    </row>
    <row r="47" spans="1:28" s="146" customFormat="1" hidden="1" x14ac:dyDescent="0.3">
      <c r="A47" s="103" t="s">
        <v>894</v>
      </c>
      <c r="B47" s="103" t="s">
        <v>1896</v>
      </c>
      <c r="C47" s="103" t="s">
        <v>1906</v>
      </c>
      <c r="D47" s="106" t="str">
        <f>IF(MouserListTable12[[#This Row],[Vendor]]=FilterSpecs!$A$8,MouserListTable12[[#This Row],[Mouser SKU]], MouserListTable12[[#This Row],[Supplier SKU]])</f>
        <v>474-DEV-11643</v>
      </c>
      <c r="E47" s="121">
        <f>MouserListTable12[[#This Row],[Tot '#]]-MouserListTable12[[#This Row],['# Initial]]</f>
        <v>0</v>
      </c>
      <c r="F47" s="121">
        <f>IF(AND(MouserListTable12[[#This Row],[Tag]]&lt;&gt;FilterSpecs!$F$12, MouserListTable12[[#This Row],[Tag]]&lt;&gt;FilterSpecs!$F$9), MouserListTable12[[#This Row],['#/Unit]]*FilterSpecs!$B$3+MouserListTable12[[#This Row],[Extra Initial]],0)</f>
        <v>0</v>
      </c>
      <c r="G47" s="103" t="s">
        <v>333</v>
      </c>
      <c r="H47" s="103" t="s">
        <v>334</v>
      </c>
      <c r="I47" s="103" t="s">
        <v>335</v>
      </c>
      <c r="J47" s="146">
        <v>1</v>
      </c>
      <c r="K47" s="157">
        <v>54.95</v>
      </c>
      <c r="L47" s="103" t="s">
        <v>2490</v>
      </c>
      <c r="M47" s="106"/>
      <c r="N47" s="157">
        <f>MouserListTable12[[#This Row],['# Initial]]*MouserListTable12[[#This Row],[Price (USD)]]</f>
        <v>0</v>
      </c>
      <c r="O47" s="106" t="s">
        <v>332</v>
      </c>
      <c r="P47" s="103">
        <f t="shared" si="0"/>
        <v>34</v>
      </c>
      <c r="Q47" s="103" t="s">
        <v>8</v>
      </c>
      <c r="R4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474-DEV-11643</v>
      </c>
      <c r="S47" s="195" t="str">
        <f>HYPERLINK("https://www.mouser.com/ProductDetail/" &amp;MouserListTable12[[#This Row],[Mouser SKU]])</f>
        <v>https://www.mouser.com/ProductDetail/474-DEV-11643</v>
      </c>
      <c r="T47" s="121">
        <v>0</v>
      </c>
      <c r="U47" s="121">
        <v>0</v>
      </c>
      <c r="V47" s="121">
        <v>0</v>
      </c>
      <c r="W47" s="121">
        <f>MouserListTable12[[#This Row],['#/Unit]]*FilterSpecs!$C$3+MouserListTable12[[#This Row],[Extra]]</f>
        <v>0</v>
      </c>
      <c r="X47" s="121">
        <f>IF(MouserListTable12[[#This Row],[Tag]]=FilterSpecs!$F$7,MouserListTable12[[#This Row],['#/Unit]]*MouserListTable12[[#This Row],[Price (USD)]],0)</f>
        <v>0</v>
      </c>
      <c r="Y47" s="121">
        <f>MouserListTable12[[#This Row],[Tot '#]]*MouserListTable12[[#This Row],[Price (USD)]]</f>
        <v>0</v>
      </c>
      <c r="Z47"/>
    </row>
    <row r="48" spans="1:28" s="146" customFormat="1" x14ac:dyDescent="0.3">
      <c r="A48" s="103" t="s">
        <v>894</v>
      </c>
      <c r="B48" s="103" t="s">
        <v>1896</v>
      </c>
      <c r="C48" s="103" t="s">
        <v>1906</v>
      </c>
      <c r="D48" s="106" t="str">
        <f>IF(MouserListTable12[[#This Row],[Vendor]]=FilterSpecs!$A$8,MouserListTable12[[#This Row],[Mouser SKU]], MouserListTable12[[#This Row],[Supplier SKU]])</f>
        <v>474-COM-13004</v>
      </c>
      <c r="E48" s="121">
        <f>MouserListTable12[[#This Row],[Tot '#]]-MouserListTable12[[#This Row],['# Initial]]</f>
        <v>0</v>
      </c>
      <c r="F48" s="121">
        <f>IF(AND(MouserListTable12[[#This Row],[Tag]]&lt;&gt;FilterSpecs!$F$12, MouserListTable12[[#This Row],[Tag]]&lt;&gt;FilterSpecs!$F$9), MouserListTable12[[#This Row],['#/Unit]]*FilterSpecs!$B$3+MouserListTable12[[#This Row],[Extra Initial]],0)</f>
        <v>5</v>
      </c>
      <c r="G48" s="103" t="s">
        <v>348</v>
      </c>
      <c r="H48" s="103" t="s">
        <v>349</v>
      </c>
      <c r="I48" s="103" t="s">
        <v>350</v>
      </c>
      <c r="K48" s="157">
        <v>4.95</v>
      </c>
      <c r="L48" s="103" t="s">
        <v>1911</v>
      </c>
      <c r="M48" s="106"/>
      <c r="N48" s="157">
        <f>MouserListTable12[[#This Row],['# Initial]]*MouserListTable12[[#This Row],[Price (USD)]]</f>
        <v>24.75</v>
      </c>
      <c r="O48" s="106" t="s">
        <v>347</v>
      </c>
      <c r="P48" s="103">
        <f t="shared" si="0"/>
        <v>35</v>
      </c>
      <c r="Q48" s="103" t="s">
        <v>8</v>
      </c>
      <c r="R4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474-COM-13004</v>
      </c>
      <c r="S48" s="195" t="str">
        <f>HYPERLINK("https://www.mouser.com/ProductDetail/" &amp;MouserListTable12[[#This Row],[Mouser SKU]])</f>
        <v>https://www.mouser.com/ProductDetail/474-COM-13004</v>
      </c>
      <c r="T48" s="121">
        <v>1</v>
      </c>
      <c r="U48" s="121">
        <v>0</v>
      </c>
      <c r="V48" s="121">
        <v>0</v>
      </c>
      <c r="W48" s="121">
        <f>MouserListTable12[[#This Row],['#/Unit]]*FilterSpecs!$C$3+MouserListTable12[[#This Row],[Extra]]</f>
        <v>5</v>
      </c>
      <c r="X48" s="121">
        <f>IF(MouserListTable12[[#This Row],[Tag]]=FilterSpecs!$F$7,MouserListTable12[[#This Row],['#/Unit]]*MouserListTable12[[#This Row],[Price (USD)]],0)</f>
        <v>4.95</v>
      </c>
      <c r="Y48" s="121">
        <f>MouserListTable12[[#This Row],[Tot '#]]*MouserListTable12[[#This Row],[Price (USD)]]</f>
        <v>24.75</v>
      </c>
      <c r="Z48"/>
    </row>
    <row r="49" spans="1:26" s="146" customFormat="1" hidden="1" x14ac:dyDescent="0.3">
      <c r="A49" s="103" t="s">
        <v>894</v>
      </c>
      <c r="B49" s="103" t="s">
        <v>1896</v>
      </c>
      <c r="C49" s="103" t="s">
        <v>1906</v>
      </c>
      <c r="D49" s="106" t="str">
        <f>IF(MouserListTable12[[#This Row],[Vendor]]=FilterSpecs!$A$8,MouserListTable12[[#This Row],[Mouser SKU]], MouserListTable12[[#This Row],[Supplier SKU]])</f>
        <v>474-BOB-10160</v>
      </c>
      <c r="E49" s="121">
        <f>MouserListTable12[[#This Row],[Tot '#]]-MouserListTable12[[#This Row],['# Initial]]</f>
        <v>1</v>
      </c>
      <c r="F49" s="121">
        <f>IF(AND(MouserListTable12[[#This Row],[Tag]]&lt;&gt;FilterSpecs!$F$12, MouserListTable12[[#This Row],[Tag]]&lt;&gt;FilterSpecs!$F$9), MouserListTable12[[#This Row],['#/Unit]]*FilterSpecs!$B$3+MouserListTable12[[#This Row],[Extra Initial]],0)</f>
        <v>0</v>
      </c>
      <c r="G49" s="103" t="s">
        <v>926</v>
      </c>
      <c r="H49" s="103" t="s">
        <v>927</v>
      </c>
      <c r="I49" s="103" t="s">
        <v>928</v>
      </c>
      <c r="J49" s="146">
        <v>1</v>
      </c>
      <c r="K49" s="157">
        <v>19.95</v>
      </c>
      <c r="L49" s="103" t="s">
        <v>1914</v>
      </c>
      <c r="M49" s="106"/>
      <c r="N49" s="157">
        <f>MouserListTable12[[#This Row],['# Initial]]*MouserListTable12[[#This Row],[Price (USD)]]</f>
        <v>0</v>
      </c>
      <c r="O49" s="106" t="s">
        <v>925</v>
      </c>
      <c r="P49" s="103">
        <f t="shared" si="0"/>
        <v>36</v>
      </c>
      <c r="Q49" s="103" t="s">
        <v>8</v>
      </c>
      <c r="R4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474-BOB-10160</v>
      </c>
      <c r="S49" s="195" t="str">
        <f>HYPERLINK("https://www.mouser.com/ProductDetail/" &amp;MouserListTable12[[#This Row],[Mouser SKU]])</f>
        <v>https://www.mouser.com/ProductDetail/474-BOB-10160</v>
      </c>
      <c r="T49" s="121">
        <v>0</v>
      </c>
      <c r="U49" s="121">
        <v>1</v>
      </c>
      <c r="V49" s="121">
        <v>0</v>
      </c>
      <c r="W49" s="121">
        <f>MouserListTable12[[#This Row],['#/Unit]]*FilterSpecs!$C$3+MouserListTable12[[#This Row],[Extra]]</f>
        <v>1</v>
      </c>
      <c r="X49" s="121">
        <f>IF(MouserListTable12[[#This Row],[Tag]]=FilterSpecs!$F$7,MouserListTable12[[#This Row],['#/Unit]]*MouserListTable12[[#This Row],[Price (USD)]],0)</f>
        <v>0</v>
      </c>
      <c r="Y49" s="121">
        <f>MouserListTable12[[#This Row],[Tot '#]]*MouserListTable12[[#This Row],[Price (USD)]]</f>
        <v>19.95</v>
      </c>
      <c r="Z49"/>
    </row>
    <row r="50" spans="1:26" s="146" customFormat="1" hidden="1" x14ac:dyDescent="0.3">
      <c r="A50" s="103" t="s">
        <v>894</v>
      </c>
      <c r="B50" s="103" t="s">
        <v>2030</v>
      </c>
      <c r="C50" s="103" t="s">
        <v>1906</v>
      </c>
      <c r="D50" s="106" t="str">
        <f>IF(MouserListTable12[[#This Row],[Vendor]]=FilterSpecs!$A$8,MouserListTable12[[#This Row],[Mouser SKU]], MouserListTable12[[#This Row],[Supplier SKU]])</f>
        <v>474-COM-12014</v>
      </c>
      <c r="E50" s="121">
        <f>MouserListTable12[[#This Row],[Tot '#]]-MouserListTable12[[#This Row],['# Initial]]</f>
        <v>1</v>
      </c>
      <c r="F50" s="121">
        <f>IF(AND(MouserListTable12[[#This Row],[Tag]]&lt;&gt;FilterSpecs!$F$12, MouserListTable12[[#This Row],[Tag]]&lt;&gt;FilterSpecs!$F$9), MouserListTable12[[#This Row],['#/Unit]]*FilterSpecs!$B$3+MouserListTable12[[#This Row],[Extra Initial]],0)</f>
        <v>0</v>
      </c>
      <c r="G50" s="103" t="s">
        <v>1141</v>
      </c>
      <c r="H50" s="103" t="s">
        <v>1142</v>
      </c>
      <c r="I50" s="103" t="s">
        <v>1143</v>
      </c>
      <c r="J50" s="103">
        <v>1</v>
      </c>
      <c r="K50" s="157">
        <v>3.95</v>
      </c>
      <c r="L50" s="103" t="s">
        <v>1910</v>
      </c>
      <c r="M50" s="106"/>
      <c r="N50" s="157">
        <f>MouserListTable12[[#This Row],['# Initial]]*MouserListTable12[[#This Row],[Price (USD)]]</f>
        <v>0</v>
      </c>
      <c r="O50" s="106" t="s">
        <v>1140</v>
      </c>
      <c r="P50" s="103">
        <f t="shared" si="0"/>
        <v>37</v>
      </c>
      <c r="Q50" s="103" t="s">
        <v>8</v>
      </c>
      <c r="R5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474-COM-12014</v>
      </c>
      <c r="S50" s="195" t="str">
        <f>HYPERLINK("https://www.mouser.com/ProductDetail/" &amp;MouserListTable12[[#This Row],[Mouser SKU]])</f>
        <v>https://www.mouser.com/ProductDetail/474-COM-12014</v>
      </c>
      <c r="T50" s="121">
        <v>0</v>
      </c>
      <c r="U50" s="121">
        <v>1</v>
      </c>
      <c r="V50" s="121">
        <v>0</v>
      </c>
      <c r="W50" s="121">
        <f>MouserListTable12[[#This Row],['#/Unit]]*FilterSpecs!$C$3+MouserListTable12[[#This Row],[Extra]]</f>
        <v>1</v>
      </c>
      <c r="X50" s="121">
        <f>IF(MouserListTable12[[#This Row],[Tag]]=FilterSpecs!$F$7,MouserListTable12[[#This Row],['#/Unit]]*MouserListTable12[[#This Row],[Price (USD)]],0)</f>
        <v>0</v>
      </c>
      <c r="Y50" s="121">
        <f>MouserListTable12[[#This Row],[Tot '#]]*MouserListTable12[[#This Row],[Price (USD)]]</f>
        <v>3.95</v>
      </c>
      <c r="Z50"/>
    </row>
    <row r="51" spans="1:26" s="146" customFormat="1" hidden="1" x14ac:dyDescent="0.3">
      <c r="A51" s="103" t="s">
        <v>894</v>
      </c>
      <c r="B51" s="103" t="s">
        <v>2030</v>
      </c>
      <c r="C51" s="103" t="s">
        <v>1906</v>
      </c>
      <c r="D51" s="106" t="str">
        <f>IF(MouserListTable12[[#This Row],[Vendor]]=FilterSpecs!$A$8,MouserListTable12[[#This Row],[Mouser SKU]], MouserListTable12[[#This Row],[Supplier SKU]])</f>
        <v>474-COM-11408</v>
      </c>
      <c r="E51" s="121">
        <f>MouserListTable12[[#This Row],[Tot '#]]-MouserListTable12[[#This Row],['# Initial]]</f>
        <v>1</v>
      </c>
      <c r="F51" s="121">
        <f>IF(AND(MouserListTable12[[#This Row],[Tag]]&lt;&gt;FilterSpecs!$F$12, MouserListTable12[[#This Row],[Tag]]&lt;&gt;FilterSpecs!$F$9), MouserListTable12[[#This Row],['#/Unit]]*FilterSpecs!$B$3+MouserListTable12[[#This Row],[Extra Initial]],0)</f>
        <v>0</v>
      </c>
      <c r="G51" s="103" t="s">
        <v>1730</v>
      </c>
      <c r="H51" s="103" t="s">
        <v>1731</v>
      </c>
      <c r="I51" s="103" t="s">
        <v>1732</v>
      </c>
      <c r="J51" s="103">
        <v>1</v>
      </c>
      <c r="K51" s="157">
        <v>2.95</v>
      </c>
      <c r="L51" s="103" t="s">
        <v>1910</v>
      </c>
      <c r="M51" s="106"/>
      <c r="N51" s="157">
        <f>MouserListTable12[[#This Row],['# Initial]]*MouserListTable12[[#This Row],[Price (USD)]]</f>
        <v>0</v>
      </c>
      <c r="O51" s="106" t="s">
        <v>1729</v>
      </c>
      <c r="P51" s="103">
        <f t="shared" si="0"/>
        <v>38</v>
      </c>
      <c r="Q51" s="103" t="s">
        <v>8</v>
      </c>
      <c r="R5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474-COM-11408</v>
      </c>
      <c r="S51" s="195" t="str">
        <f>HYPERLINK("https://www.mouser.com/ProductDetail/" &amp;MouserListTable12[[#This Row],[Mouser SKU]])</f>
        <v>https://www.mouser.com/ProductDetail/474-COM-11408</v>
      </c>
      <c r="T51" s="121">
        <v>0</v>
      </c>
      <c r="U51" s="121">
        <v>1</v>
      </c>
      <c r="V51" s="121">
        <v>0</v>
      </c>
      <c r="W51" s="121">
        <f>MouserListTable12[[#This Row],['#/Unit]]*FilterSpecs!$C$3+MouserListTable12[[#This Row],[Extra]]</f>
        <v>1</v>
      </c>
      <c r="X51" s="121">
        <f>IF(MouserListTable12[[#This Row],[Tag]]=FilterSpecs!$F$7,MouserListTable12[[#This Row],['#/Unit]]*MouserListTable12[[#This Row],[Price (USD)]],0)</f>
        <v>0</v>
      </c>
      <c r="Y51" s="121">
        <f>MouserListTable12[[#This Row],[Tot '#]]*MouserListTable12[[#This Row],[Price (USD)]]</f>
        <v>2.95</v>
      </c>
      <c r="Z51"/>
    </row>
    <row r="52" spans="1:26" s="146" customFormat="1" hidden="1" x14ac:dyDescent="0.3">
      <c r="A52" s="103" t="s">
        <v>894</v>
      </c>
      <c r="B52" s="103" t="s">
        <v>2030</v>
      </c>
      <c r="C52" s="103" t="s">
        <v>1906</v>
      </c>
      <c r="D52" s="106" t="str">
        <f>IF(MouserListTable12[[#This Row],[Vendor]]=FilterSpecs!$A$8,MouserListTable12[[#This Row],[Mouser SKU]], MouserListTable12[[#This Row],[Supplier SKU]])</f>
        <v>474-COM-13999</v>
      </c>
      <c r="E52" s="121">
        <f>MouserListTable12[[#This Row],[Tot '#]]-MouserListTable12[[#This Row],['# Initial]]</f>
        <v>1</v>
      </c>
      <c r="F52" s="121">
        <f>IF(AND(MouserListTable12[[#This Row],[Tag]]&lt;&gt;FilterSpecs!$F$12, MouserListTable12[[#This Row],[Tag]]&lt;&gt;FilterSpecs!$F$9), MouserListTable12[[#This Row],['#/Unit]]*FilterSpecs!$B$3+MouserListTable12[[#This Row],[Extra Initial]],0)</f>
        <v>0</v>
      </c>
      <c r="G52" s="103" t="s">
        <v>1674</v>
      </c>
      <c r="H52" s="103" t="s">
        <v>1675</v>
      </c>
      <c r="I52" s="103" t="s">
        <v>1676</v>
      </c>
      <c r="J52" s="103"/>
      <c r="K52" s="157">
        <v>3.95</v>
      </c>
      <c r="L52" s="103" t="s">
        <v>2487</v>
      </c>
      <c r="M52" s="106"/>
      <c r="N52" s="157">
        <f>MouserListTable12[[#This Row],['# Initial]]*MouserListTable12[[#This Row],[Price (USD)]]</f>
        <v>0</v>
      </c>
      <c r="O52" s="106" t="s">
        <v>1673</v>
      </c>
      <c r="P52" s="103">
        <f t="shared" si="0"/>
        <v>39</v>
      </c>
      <c r="Q52" s="103" t="s">
        <v>8</v>
      </c>
      <c r="R5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474-COM-13999</v>
      </c>
      <c r="S52" s="195" t="str">
        <f>HYPERLINK("https://www.mouser.com/ProductDetail/" &amp;MouserListTable12[[#This Row],[Mouser SKU]])</f>
        <v>https://www.mouser.com/ProductDetail/474-COM-13999</v>
      </c>
      <c r="T52" s="121">
        <v>0</v>
      </c>
      <c r="U52" s="121">
        <v>1</v>
      </c>
      <c r="V52" s="121">
        <v>0</v>
      </c>
      <c r="W52" s="121">
        <f>MouserListTable12[[#This Row],['#/Unit]]*FilterSpecs!$C$3+MouserListTable12[[#This Row],[Extra]]</f>
        <v>1</v>
      </c>
      <c r="X52" s="121">
        <f>IF(MouserListTable12[[#This Row],[Tag]]=FilterSpecs!$F$7,MouserListTable12[[#This Row],['#/Unit]]*MouserListTable12[[#This Row],[Price (USD)]],0)</f>
        <v>0</v>
      </c>
      <c r="Y52" s="121">
        <f>MouserListTable12[[#This Row],[Tot '#]]*MouserListTable12[[#This Row],[Price (USD)]]</f>
        <v>3.95</v>
      </c>
      <c r="Z52"/>
    </row>
    <row r="53" spans="1:26" s="146" customFormat="1" x14ac:dyDescent="0.3">
      <c r="A53" s="103" t="s">
        <v>894</v>
      </c>
      <c r="B53" s="103" t="s">
        <v>2030</v>
      </c>
      <c r="C53" s="103" t="s">
        <v>1906</v>
      </c>
      <c r="D53" s="106" t="str">
        <f>IF(MouserListTable12[[#This Row],[Vendor]]=FilterSpecs!$A$8,MouserListTable12[[#This Row],[Mouser SKU]], MouserListTable12[[#This Row],[Supplier SKU]])</f>
        <v>474-COM-09938</v>
      </c>
      <c r="E53" s="121">
        <f>MouserListTable12[[#This Row],[Tot '#]]-MouserListTable12[[#This Row],['# Initial]]</f>
        <v>0</v>
      </c>
      <c r="F53" s="121">
        <f>IF(AND(MouserListTable12[[#This Row],[Tag]]&lt;&gt;FilterSpecs!$F$12, MouserListTable12[[#This Row],[Tag]]&lt;&gt;FilterSpecs!$F$9), MouserListTable12[[#This Row],['#/Unit]]*FilterSpecs!$B$3+MouserListTable12[[#This Row],[Extra Initial]],0)</f>
        <v>10</v>
      </c>
      <c r="G53" s="103" t="s">
        <v>1446</v>
      </c>
      <c r="H53" s="103" t="s">
        <v>1447</v>
      </c>
      <c r="I53" s="103" t="s">
        <v>1448</v>
      </c>
      <c r="J53" s="103">
        <v>1</v>
      </c>
      <c r="K53" s="157">
        <v>1.95</v>
      </c>
      <c r="L53" s="103" t="s">
        <v>1911</v>
      </c>
      <c r="M53" s="106"/>
      <c r="N53" s="157">
        <f>MouserListTable12[[#This Row],['# Initial]]*MouserListTable12[[#This Row],[Price (USD)]]</f>
        <v>19.5</v>
      </c>
      <c r="O53" s="106" t="s">
        <v>1445</v>
      </c>
      <c r="P53" s="103">
        <f t="shared" si="0"/>
        <v>40</v>
      </c>
      <c r="Q53" s="103" t="s">
        <v>8</v>
      </c>
      <c r="R5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474-COM-09938</v>
      </c>
      <c r="S53" s="195" t="str">
        <f>HYPERLINK("https://www.mouser.com/ProductDetail/" &amp;MouserListTable12[[#This Row],[Mouser SKU]])</f>
        <v>https://www.mouser.com/ProductDetail/474-COM-09938</v>
      </c>
      <c r="T53" s="121">
        <v>2</v>
      </c>
      <c r="U53" s="121">
        <v>0</v>
      </c>
      <c r="V53" s="121">
        <v>0</v>
      </c>
      <c r="W53" s="121">
        <f>MouserListTable12[[#This Row],['#/Unit]]*FilterSpecs!$C$3+MouserListTable12[[#This Row],[Extra]]</f>
        <v>10</v>
      </c>
      <c r="X53" s="121">
        <f>IF(MouserListTable12[[#This Row],[Tag]]=FilterSpecs!$F$7,MouserListTable12[[#This Row],['#/Unit]]*MouserListTable12[[#This Row],[Price (USD)]],0)</f>
        <v>3.9</v>
      </c>
      <c r="Y53" s="121">
        <f>MouserListTable12[[#This Row],[Tot '#]]*MouserListTable12[[#This Row],[Price (USD)]]</f>
        <v>19.5</v>
      </c>
      <c r="Z53"/>
    </row>
    <row r="54" spans="1:26" s="146" customFormat="1" hidden="1" x14ac:dyDescent="0.3">
      <c r="A54" s="103" t="s">
        <v>894</v>
      </c>
      <c r="B54" s="103" t="s">
        <v>2030</v>
      </c>
      <c r="C54" s="103" t="s">
        <v>1906</v>
      </c>
      <c r="D54" s="106" t="str">
        <f>IF(MouserListTable12[[#This Row],[Vendor]]=FilterSpecs!$A$8,MouserListTable12[[#This Row],[Mouser SKU]], MouserListTable12[[#This Row],[Supplier SKU]])</f>
        <v>474-BOB-13282</v>
      </c>
      <c r="E54" s="121">
        <f>MouserListTable12[[#This Row],[Tot '#]]-MouserListTable12[[#This Row],['# Initial]]</f>
        <v>2</v>
      </c>
      <c r="F54" s="121">
        <f>IF(AND(MouserListTable12[[#This Row],[Tag]]&lt;&gt;FilterSpecs!$F$12, MouserListTable12[[#This Row],[Tag]]&lt;&gt;FilterSpecs!$F$9), MouserListTable12[[#This Row],['#/Unit]]*FilterSpecs!$B$3+MouserListTable12[[#This Row],[Extra Initial]],0)</f>
        <v>0</v>
      </c>
      <c r="G54" s="103" t="s">
        <v>1137</v>
      </c>
      <c r="H54" s="103" t="s">
        <v>1138</v>
      </c>
      <c r="I54" s="103" t="s">
        <v>1139</v>
      </c>
      <c r="J54" s="103">
        <v>1</v>
      </c>
      <c r="K54" s="157">
        <v>2.95</v>
      </c>
      <c r="L54" s="103" t="s">
        <v>1910</v>
      </c>
      <c r="M54" s="106"/>
      <c r="N54" s="157">
        <f>MouserListTable12[[#This Row],['# Initial]]*MouserListTable12[[#This Row],[Price (USD)]]</f>
        <v>0</v>
      </c>
      <c r="O54" s="106" t="s">
        <v>1136</v>
      </c>
      <c r="P54" s="103">
        <f t="shared" si="0"/>
        <v>41</v>
      </c>
      <c r="Q54" s="103" t="s">
        <v>8</v>
      </c>
      <c r="R5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474-BOB-13282</v>
      </c>
      <c r="S54" s="195" t="str">
        <f>HYPERLINK("https://www.mouser.com/ProductDetail/" &amp;MouserListTable12[[#This Row],[Mouser SKU]])</f>
        <v>https://www.mouser.com/ProductDetail/474-BOB-13282</v>
      </c>
      <c r="T54" s="121">
        <v>0</v>
      </c>
      <c r="U54" s="121">
        <v>2</v>
      </c>
      <c r="V54" s="121">
        <v>0</v>
      </c>
      <c r="W54" s="121">
        <f>MouserListTable12[[#This Row],['#/Unit]]*FilterSpecs!$C$3+MouserListTable12[[#This Row],[Extra]]</f>
        <v>2</v>
      </c>
      <c r="X54" s="121">
        <f>IF(MouserListTable12[[#This Row],[Tag]]=FilterSpecs!$F$7,MouserListTable12[[#This Row],['#/Unit]]*MouserListTable12[[#This Row],[Price (USD)]],0)</f>
        <v>0</v>
      </c>
      <c r="Y54" s="121">
        <f>MouserListTable12[[#This Row],[Tot '#]]*MouserListTable12[[#This Row],[Price (USD)]]</f>
        <v>5.9</v>
      </c>
      <c r="Z54"/>
    </row>
    <row r="55" spans="1:26" s="146" customFormat="1" x14ac:dyDescent="0.3">
      <c r="A55" s="103" t="s">
        <v>894</v>
      </c>
      <c r="B55" s="103" t="s">
        <v>2030</v>
      </c>
      <c r="C55" s="103" t="s">
        <v>1906</v>
      </c>
      <c r="D55" s="106" t="str">
        <f>IF(MouserListTable12[[#This Row],[Vendor]]=FilterSpecs!$A$8,MouserListTable12[[#This Row],[Mouser SKU]], MouserListTable12[[#This Row],[Supplier SKU]])</f>
        <v>474-BOB-13884</v>
      </c>
      <c r="E55" s="121">
        <f>MouserListTable12[[#This Row],[Tot '#]]-MouserListTable12[[#This Row],['# Initial]]</f>
        <v>0</v>
      </c>
      <c r="F55" s="121">
        <f>IF(AND(MouserListTable12[[#This Row],[Tag]]&lt;&gt;FilterSpecs!$F$12, MouserListTable12[[#This Row],[Tag]]&lt;&gt;FilterSpecs!$F$9), MouserListTable12[[#This Row],['#/Unit]]*FilterSpecs!$B$3+MouserListTable12[[#This Row],[Extra Initial]],0)</f>
        <v>5</v>
      </c>
      <c r="G55" s="103" t="s">
        <v>1133</v>
      </c>
      <c r="H55" s="103" t="s">
        <v>1134</v>
      </c>
      <c r="I55" s="103" t="s">
        <v>1135</v>
      </c>
      <c r="J55" s="103">
        <v>1</v>
      </c>
      <c r="K55" s="157">
        <v>7.95</v>
      </c>
      <c r="L55" s="103" t="s">
        <v>1911</v>
      </c>
      <c r="M55" s="106"/>
      <c r="N55" s="157">
        <f>MouserListTable12[[#This Row],['# Initial]]*MouserListTable12[[#This Row],[Price (USD)]]</f>
        <v>39.75</v>
      </c>
      <c r="O55" s="106" t="s">
        <v>1132</v>
      </c>
      <c r="P55" s="103">
        <f t="shared" si="0"/>
        <v>42</v>
      </c>
      <c r="Q55" s="103" t="s">
        <v>8</v>
      </c>
      <c r="R5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474-BOB-13884</v>
      </c>
      <c r="S55" s="195" t="str">
        <f>HYPERLINK("https://www.mouser.com/ProductDetail/" &amp;MouserListTable12[[#This Row],[Mouser SKU]])</f>
        <v>https://www.mouser.com/ProductDetail/474-BOB-13884</v>
      </c>
      <c r="T55" s="121">
        <v>1</v>
      </c>
      <c r="U55" s="121">
        <v>0</v>
      </c>
      <c r="V55" s="121">
        <v>0</v>
      </c>
      <c r="W55" s="121">
        <f>MouserListTable12[[#This Row],['#/Unit]]*FilterSpecs!$C$3+MouserListTable12[[#This Row],[Extra]]</f>
        <v>5</v>
      </c>
      <c r="X55" s="121">
        <f>IF(MouserListTable12[[#This Row],[Tag]]=FilterSpecs!$F$7,MouserListTable12[[#This Row],['#/Unit]]*MouserListTable12[[#This Row],[Price (USD)]],0)</f>
        <v>7.95</v>
      </c>
      <c r="Y55" s="121">
        <f>MouserListTable12[[#This Row],[Tot '#]]*MouserListTable12[[#This Row],[Price (USD)]]</f>
        <v>39.75</v>
      </c>
      <c r="Z55"/>
    </row>
    <row r="56" spans="1:26" s="146" customFormat="1" hidden="1" x14ac:dyDescent="0.3">
      <c r="A56" s="103" t="s">
        <v>894</v>
      </c>
      <c r="B56" s="103" t="s">
        <v>2030</v>
      </c>
      <c r="C56" s="103" t="s">
        <v>1906</v>
      </c>
      <c r="D56" s="106" t="str">
        <f>IF(MouserListTable12[[#This Row],[Vendor]]=FilterSpecs!$A$8,MouserListTable12[[#This Row],[Mouser SKU]], MouserListTable12[[#This Row],[Supplier SKU]])</f>
        <v>474-COM-12661</v>
      </c>
      <c r="E56" s="121">
        <f>MouserListTable12[[#This Row],[Tot '#]]-MouserListTable12[[#This Row],['# Initial]]</f>
        <v>1</v>
      </c>
      <c r="F56" s="121">
        <f>IF(AND(MouserListTable12[[#This Row],[Tag]]&lt;&gt;FilterSpecs!$F$12, MouserListTable12[[#This Row],[Tag]]&lt;&gt;FilterSpecs!$F$9), MouserListTable12[[#This Row],['#/Unit]]*FilterSpecs!$B$3+MouserListTable12[[#This Row],[Extra Initial]],0)</f>
        <v>0</v>
      </c>
      <c r="G56" s="103" t="s">
        <v>121</v>
      </c>
      <c r="H56" s="103" t="s">
        <v>122</v>
      </c>
      <c r="I56" s="103" t="s">
        <v>123</v>
      </c>
      <c r="J56" s="103">
        <v>1</v>
      </c>
      <c r="K56" s="157">
        <v>5.95</v>
      </c>
      <c r="L56" s="103" t="s">
        <v>1910</v>
      </c>
      <c r="M56" s="106"/>
      <c r="N56" s="157">
        <f>MouserListTable12[[#This Row],['# Initial]]*MouserListTable12[[#This Row],[Price (USD)]]</f>
        <v>0</v>
      </c>
      <c r="O56" s="106" t="s">
        <v>120</v>
      </c>
      <c r="P56" s="103">
        <f t="shared" si="0"/>
        <v>43</v>
      </c>
      <c r="Q56" s="103" t="s">
        <v>8</v>
      </c>
      <c r="R5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474-COM-12661</v>
      </c>
      <c r="S56" s="195" t="str">
        <f>HYPERLINK("https://www.mouser.com/ProductDetail/" &amp;MouserListTable12[[#This Row],[Mouser SKU]])</f>
        <v>https://www.mouser.com/ProductDetail/474-COM-12661</v>
      </c>
      <c r="T56" s="121">
        <v>0</v>
      </c>
      <c r="U56" s="121">
        <v>1</v>
      </c>
      <c r="V56" s="121">
        <v>0</v>
      </c>
      <c r="W56" s="121">
        <f>MouserListTable12[[#This Row],['#/Unit]]*FilterSpecs!$C$3+MouserListTable12[[#This Row],[Extra]]</f>
        <v>1</v>
      </c>
      <c r="X56" s="121">
        <f>IF(MouserListTable12[[#This Row],[Tag]]=FilterSpecs!$F$7,MouserListTable12[[#This Row],['#/Unit]]*MouserListTable12[[#This Row],[Price (USD)]],0)</f>
        <v>0</v>
      </c>
      <c r="Y56" s="121">
        <f>MouserListTable12[[#This Row],[Tot '#]]*MouserListTable12[[#This Row],[Price (USD)]]</f>
        <v>5.95</v>
      </c>
      <c r="Z56"/>
    </row>
    <row r="57" spans="1:26" s="146" customFormat="1" hidden="1" x14ac:dyDescent="0.3">
      <c r="A57" s="103" t="s">
        <v>894</v>
      </c>
      <c r="B57" s="103" t="s">
        <v>2030</v>
      </c>
      <c r="C57" s="103" t="s">
        <v>1906</v>
      </c>
      <c r="D57" s="106" t="str">
        <f>IF(MouserListTable12[[#This Row],[Vendor]]=FilterSpecs!$A$8,MouserListTable12[[#This Row],[Mouser SKU]], MouserListTable12[[#This Row],[Supplier SKU]])</f>
        <v>474-COM-09637</v>
      </c>
      <c r="E57" s="121">
        <f>MouserListTable12[[#This Row],[Tot '#]]-MouserListTable12[[#This Row],['# Initial]]</f>
        <v>3</v>
      </c>
      <c r="F57" s="121">
        <f>IF(AND(MouserListTable12[[#This Row],[Tag]]&lt;&gt;FilterSpecs!$F$12, MouserListTable12[[#This Row],[Tag]]&lt;&gt;FilterSpecs!$F$9), MouserListTable12[[#This Row],['#/Unit]]*FilterSpecs!$B$3+MouserListTable12[[#This Row],[Extra Initial]],0)</f>
        <v>0</v>
      </c>
      <c r="G57" s="103" t="s">
        <v>125</v>
      </c>
      <c r="H57" s="103" t="s">
        <v>126</v>
      </c>
      <c r="I57" s="103" t="s">
        <v>127</v>
      </c>
      <c r="J57" s="103">
        <v>1</v>
      </c>
      <c r="K57" s="157">
        <v>4.95</v>
      </c>
      <c r="L57" s="103" t="s">
        <v>1910</v>
      </c>
      <c r="M57" s="106"/>
      <c r="N57" s="157">
        <f>MouserListTable12[[#This Row],['# Initial]]*MouserListTable12[[#This Row],[Price (USD)]]</f>
        <v>0</v>
      </c>
      <c r="O57" s="106" t="s">
        <v>124</v>
      </c>
      <c r="P57" s="103">
        <f t="shared" si="0"/>
        <v>44</v>
      </c>
      <c r="Q57" s="103" t="s">
        <v>8</v>
      </c>
      <c r="R5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474-COM-09637</v>
      </c>
      <c r="S57" s="195" t="str">
        <f>HYPERLINK("https://www.mouser.com/ProductDetail/" &amp;MouserListTable12[[#This Row],[Mouser SKU]])</f>
        <v>https://www.mouser.com/ProductDetail/474-COM-09637</v>
      </c>
      <c r="T57" s="121">
        <v>0</v>
      </c>
      <c r="U57" s="121">
        <v>3</v>
      </c>
      <c r="V57" s="121">
        <v>0</v>
      </c>
      <c r="W57" s="121">
        <f>MouserListTable12[[#This Row],['#/Unit]]*FilterSpecs!$C$3+MouserListTable12[[#This Row],[Extra]]</f>
        <v>3</v>
      </c>
      <c r="X57" s="121">
        <f>IF(MouserListTable12[[#This Row],[Tag]]=FilterSpecs!$F$7,MouserListTable12[[#This Row],['#/Unit]]*MouserListTable12[[#This Row],[Price (USD)]],0)</f>
        <v>0</v>
      </c>
      <c r="Y57" s="121">
        <f>MouserListTable12[[#This Row],[Tot '#]]*MouserListTable12[[#This Row],[Price (USD)]]</f>
        <v>14.850000000000001</v>
      </c>
      <c r="Z57"/>
    </row>
    <row r="58" spans="1:26" s="146" customFormat="1" hidden="1" x14ac:dyDescent="0.3">
      <c r="A58" s="103" t="s">
        <v>894</v>
      </c>
      <c r="B58" s="103" t="s">
        <v>2030</v>
      </c>
      <c r="C58" s="103" t="s">
        <v>1906</v>
      </c>
      <c r="D58" s="106" t="str">
        <f>IF(MouserListTable12[[#This Row],[Vendor]]=FilterSpecs!$A$8,MouserListTable12[[#This Row],[Mouser SKU]], MouserListTable12[[#This Row],[Supplier SKU]])</f>
        <v>485-1621</v>
      </c>
      <c r="E58" s="121">
        <f>MouserListTable12[[#This Row],[Tot '#]]-MouserListTable12[[#This Row],['# Initial]]</f>
        <v>0</v>
      </c>
      <c r="F58" s="121">
        <f>IF(AND(MouserListTable12[[#This Row],[Tag]]&lt;&gt;FilterSpecs!$F$12, MouserListTable12[[#This Row],[Tag]]&lt;&gt;FilterSpecs!$F$9), MouserListTable12[[#This Row],['#/Unit]]*FilterSpecs!$B$3+MouserListTable12[[#This Row],[Extra Initial]],0)</f>
        <v>0</v>
      </c>
      <c r="G58" s="103"/>
      <c r="H58" s="103"/>
      <c r="I58" s="126" t="s">
        <v>2345</v>
      </c>
      <c r="K58" s="158">
        <v>2.95</v>
      </c>
      <c r="L58" s="126" t="s">
        <v>1910</v>
      </c>
      <c r="N58" s="157">
        <f>MouserListTable12[[#This Row],['# Initial]]*MouserListTable12[[#This Row],[Price (USD)]]</f>
        <v>0</v>
      </c>
      <c r="O58" s="106" t="s">
        <v>2344</v>
      </c>
      <c r="P58" s="103">
        <f t="shared" si="0"/>
        <v>45</v>
      </c>
      <c r="Q58" s="103" t="s">
        <v>1898</v>
      </c>
      <c r="R5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485-1621</v>
      </c>
      <c r="S58" s="195" t="str">
        <f>HYPERLINK("https://www.mouser.com/ProductDetail/" &amp;MouserListTable12[[#This Row],[Mouser SKU]])</f>
        <v>https://www.mouser.com/ProductDetail/485-1621</v>
      </c>
      <c r="T58" s="121">
        <v>0</v>
      </c>
      <c r="U58" s="121">
        <v>0</v>
      </c>
      <c r="V58" s="121">
        <v>0</v>
      </c>
      <c r="W58" s="121">
        <f>MouserListTable12[[#This Row],['#/Unit]]*FilterSpecs!$C$3+MouserListTable12[[#This Row],[Extra]]</f>
        <v>0</v>
      </c>
      <c r="X58" s="121">
        <f>IF(MouserListTable12[[#This Row],[Tag]]=FilterSpecs!$F$7,MouserListTable12[[#This Row],['#/Unit]]*MouserListTable12[[#This Row],[Price (USD)]],0)</f>
        <v>0</v>
      </c>
      <c r="Y58" s="121">
        <f>MouserListTable12[[#This Row],[Tot '#]]*MouserListTable12[[#This Row],[Price (USD)]]</f>
        <v>0</v>
      </c>
      <c r="Z58"/>
    </row>
    <row r="59" spans="1:26" s="146" customFormat="1" hidden="1" x14ac:dyDescent="0.3">
      <c r="A59" s="103" t="s">
        <v>894</v>
      </c>
      <c r="B59" s="103" t="s">
        <v>2030</v>
      </c>
      <c r="C59" s="103" t="s">
        <v>1906</v>
      </c>
      <c r="D59" s="106" t="str">
        <f>IF(MouserListTable12[[#This Row],[Vendor]]=FilterSpecs!$A$8,MouserListTable12[[#This Row],[Mouser SKU]], MouserListTable12[[#This Row],[Supplier SKU]])</f>
        <v>485-1622</v>
      </c>
      <c r="E59" s="121">
        <f>MouserListTable12[[#This Row],[Tot '#]]-MouserListTable12[[#This Row],['# Initial]]</f>
        <v>0</v>
      </c>
      <c r="F59" s="121">
        <f>IF(AND(MouserListTable12[[#This Row],[Tag]]&lt;&gt;FilterSpecs!$F$12, MouserListTable12[[#This Row],[Tag]]&lt;&gt;FilterSpecs!$F$9), MouserListTable12[[#This Row],['#/Unit]]*FilterSpecs!$B$3+MouserListTable12[[#This Row],[Extra Initial]],0)</f>
        <v>0</v>
      </c>
      <c r="G59" s="103"/>
      <c r="H59" s="103"/>
      <c r="I59" s="126" t="s">
        <v>2347</v>
      </c>
      <c r="K59" s="158">
        <v>2.5</v>
      </c>
      <c r="L59" s="126" t="s">
        <v>1910</v>
      </c>
      <c r="N59" s="157">
        <f>MouserListTable12[[#This Row],['# Initial]]*MouserListTable12[[#This Row],[Price (USD)]]</f>
        <v>0</v>
      </c>
      <c r="O59" s="106" t="s">
        <v>2346</v>
      </c>
      <c r="P59" s="103">
        <f t="shared" si="0"/>
        <v>46</v>
      </c>
      <c r="Q59" s="103" t="s">
        <v>1898</v>
      </c>
      <c r="R5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485-1622</v>
      </c>
      <c r="S59" s="195" t="str">
        <f>HYPERLINK("https://www.mouser.com/ProductDetail/" &amp;MouserListTable12[[#This Row],[Mouser SKU]])</f>
        <v>https://www.mouser.com/ProductDetail/485-1622</v>
      </c>
      <c r="T59" s="121">
        <v>0</v>
      </c>
      <c r="U59" s="121">
        <v>0</v>
      </c>
      <c r="V59" s="121">
        <v>0</v>
      </c>
      <c r="W59" s="121">
        <f>MouserListTable12[[#This Row],['#/Unit]]*FilterSpecs!$C$3+MouserListTable12[[#This Row],[Extra]]</f>
        <v>0</v>
      </c>
      <c r="X59" s="121">
        <f>IF(MouserListTable12[[#This Row],[Tag]]=FilterSpecs!$F$7,MouserListTable12[[#This Row],['#/Unit]]*MouserListTable12[[#This Row],[Price (USD)]],0)</f>
        <v>0</v>
      </c>
      <c r="Y59" s="121">
        <f>MouserListTable12[[#This Row],[Tot '#]]*MouserListTable12[[#This Row],[Price (USD)]]</f>
        <v>0</v>
      </c>
      <c r="Z59"/>
    </row>
    <row r="60" spans="1:26" s="146" customFormat="1" hidden="1" x14ac:dyDescent="0.3">
      <c r="A60" s="103" t="s">
        <v>894</v>
      </c>
      <c r="B60" s="103" t="s">
        <v>1616</v>
      </c>
      <c r="C60" s="103" t="s">
        <v>1906</v>
      </c>
      <c r="D60" s="106" t="str">
        <f>IF(MouserListTable12[[#This Row],[Vendor]]=FilterSpecs!$A$8,MouserListTable12[[#This Row],[Mouser SKU]], MouserListTable12[[#This Row],[Supplier SKU]])</f>
        <v>474-DEV-11061</v>
      </c>
      <c r="E60" s="121">
        <f>MouserListTable12[[#This Row],[Tot '#]]-MouserListTable12[[#This Row],['# Initial]]</f>
        <v>5</v>
      </c>
      <c r="F60" s="121">
        <f>IF(AND(MouserListTable12[[#This Row],[Tag]]&lt;&gt;FilterSpecs!$F$12, MouserListTable12[[#This Row],[Tag]]&lt;&gt;FilterSpecs!$F$9), MouserListTable12[[#This Row],['#/Unit]]*FilterSpecs!$B$3+MouserListTable12[[#This Row],[Extra Initial]],0)</f>
        <v>0</v>
      </c>
      <c r="G60" s="103" t="s">
        <v>33</v>
      </c>
      <c r="H60" s="103" t="s">
        <v>34</v>
      </c>
      <c r="I60" s="103" t="s">
        <v>35</v>
      </c>
      <c r="J60" s="103">
        <v>1</v>
      </c>
      <c r="K60" s="157">
        <v>45.95</v>
      </c>
      <c r="L60" s="103" t="s">
        <v>2487</v>
      </c>
      <c r="M60" s="106"/>
      <c r="N60" s="157">
        <f>MouserListTable12[[#This Row],['# Initial]]*MouserListTable12[[#This Row],[Price (USD)]]</f>
        <v>0</v>
      </c>
      <c r="O60" s="106" t="s">
        <v>32</v>
      </c>
      <c r="P60" s="103">
        <f t="shared" si="0"/>
        <v>47</v>
      </c>
      <c r="Q60" s="103" t="s">
        <v>8</v>
      </c>
      <c r="R6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474-DEV-11061</v>
      </c>
      <c r="S60" s="195" t="str">
        <f>HYPERLINK("https://www.mouser.com/ProductDetail/" &amp;MouserListTable12[[#This Row],[Mouser SKU]])</f>
        <v>https://www.mouser.com/ProductDetail/474-DEV-11061</v>
      </c>
      <c r="T60" s="121">
        <v>1</v>
      </c>
      <c r="U60" s="121">
        <v>0</v>
      </c>
      <c r="V60" s="121">
        <v>0</v>
      </c>
      <c r="W60" s="121">
        <f>MouserListTable12[[#This Row],['#/Unit]]*FilterSpecs!$C$3+MouserListTable12[[#This Row],[Extra]]</f>
        <v>5</v>
      </c>
      <c r="X60" s="121">
        <f>IF(MouserListTable12[[#This Row],[Tag]]=FilterSpecs!$F$7,MouserListTable12[[#This Row],['#/Unit]]*MouserListTable12[[#This Row],[Price (USD)]],0)</f>
        <v>0</v>
      </c>
      <c r="Y60" s="121">
        <f>MouserListTable12[[#This Row],[Tot '#]]*MouserListTable12[[#This Row],[Price (USD)]]</f>
        <v>229.75</v>
      </c>
      <c r="Z60"/>
    </row>
    <row r="61" spans="1:26" s="146" customFormat="1" hidden="1" x14ac:dyDescent="0.3">
      <c r="A61" s="126" t="s">
        <v>894</v>
      </c>
      <c r="B61" s="126" t="s">
        <v>2039</v>
      </c>
      <c r="C61" s="103" t="s">
        <v>1906</v>
      </c>
      <c r="D61" s="106" t="str">
        <f>IF(MouserListTable12[[#This Row],[Vendor]]=FilterSpecs!$A$8,MouserListTable12[[#This Row],[Mouser SKU]], MouserListTable12[[#This Row],[Supplier SKU]])</f>
        <v>474-TOL-12889</v>
      </c>
      <c r="E61" s="121">
        <f>MouserListTable12[[#This Row],[Tot '#]]-MouserListTable12[[#This Row],['# Initial]]</f>
        <v>0</v>
      </c>
      <c r="F61" s="121">
        <f>IF(AND(MouserListTable12[[#This Row],[Tag]]&lt;&gt;FilterSpecs!$F$12, MouserListTable12[[#This Row],[Tag]]&lt;&gt;FilterSpecs!$F$9), MouserListTable12[[#This Row],['#/Unit]]*FilterSpecs!$B$3+MouserListTable12[[#This Row],[Extra Initial]],0)</f>
        <v>0</v>
      </c>
      <c r="G61" s="103" t="s">
        <v>792</v>
      </c>
      <c r="H61" s="103" t="s">
        <v>793</v>
      </c>
      <c r="I61" s="103" t="s">
        <v>794</v>
      </c>
      <c r="J61" s="103">
        <v>1</v>
      </c>
      <c r="K61" s="157">
        <v>5.95</v>
      </c>
      <c r="L61" s="103" t="s">
        <v>1911</v>
      </c>
      <c r="N61" s="157">
        <f>MouserListTable12[[#This Row],['# Initial]]*MouserListTable12[[#This Row],[Price (USD)]]</f>
        <v>0</v>
      </c>
      <c r="O61" s="106" t="s">
        <v>791</v>
      </c>
      <c r="P61" s="103">
        <f t="shared" si="0"/>
        <v>48</v>
      </c>
      <c r="Q61" s="103" t="s">
        <v>8</v>
      </c>
      <c r="R6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474-TOL-12889</v>
      </c>
      <c r="S61" s="195" t="str">
        <f>HYPERLINK("https://www.mouser.com/ProductDetail/" &amp;MouserListTable12[[#This Row],[Mouser SKU]])</f>
        <v>https://www.mouser.com/ProductDetail/474-TOL-12889</v>
      </c>
      <c r="T61" s="121">
        <v>0</v>
      </c>
      <c r="U61" s="121">
        <v>0</v>
      </c>
      <c r="V61" s="121">
        <v>0</v>
      </c>
      <c r="W61" s="121">
        <f>MouserListTable12[[#This Row],['#/Unit]]*FilterSpecs!$C$3+MouserListTable12[[#This Row],[Extra]]</f>
        <v>0</v>
      </c>
      <c r="X61" s="121">
        <f>IF(MouserListTable12[[#This Row],[Tag]]=FilterSpecs!$F$7,MouserListTable12[[#This Row],['#/Unit]]*MouserListTable12[[#This Row],[Price (USD)]],0)</f>
        <v>0</v>
      </c>
      <c r="Y61" s="121">
        <f>MouserListTable12[[#This Row],[Tot '#]]*MouserListTable12[[#This Row],[Price (USD)]]</f>
        <v>0</v>
      </c>
      <c r="Z61"/>
    </row>
    <row r="62" spans="1:26" s="146" customFormat="1" hidden="1" x14ac:dyDescent="0.3">
      <c r="A62" s="126" t="s">
        <v>894</v>
      </c>
      <c r="B62" s="126" t="s">
        <v>2039</v>
      </c>
      <c r="C62" s="103" t="s">
        <v>1906</v>
      </c>
      <c r="D62" s="106" t="str">
        <f>IF(MouserListTable12[[#This Row],[Vendor]]=FilterSpecs!$A$8,MouserListTable12[[#This Row],[Mouser SKU]], MouserListTable12[[#This Row],[Supplier SKU]])</f>
        <v>474-TOL-09442</v>
      </c>
      <c r="E62" s="121">
        <f>MouserListTable12[[#This Row],[Tot '#]]-MouserListTable12[[#This Row],['# Initial]]</f>
        <v>0</v>
      </c>
      <c r="F62" s="121">
        <f>IF(AND(MouserListTable12[[#This Row],[Tag]]&lt;&gt;FilterSpecs!$F$12, MouserListTable12[[#This Row],[Tag]]&lt;&gt;FilterSpecs!$F$9), MouserListTable12[[#This Row],['#/Unit]]*FilterSpecs!$B$3+MouserListTable12[[#This Row],[Extra Initial]],0)</f>
        <v>0</v>
      </c>
      <c r="G62" s="103" t="s">
        <v>1780</v>
      </c>
      <c r="H62" s="103" t="s">
        <v>1781</v>
      </c>
      <c r="I62" s="103" t="s">
        <v>1782</v>
      </c>
      <c r="J62" s="103">
        <v>1</v>
      </c>
      <c r="K62" s="157">
        <v>5.95</v>
      </c>
      <c r="L62" s="103" t="s">
        <v>1913</v>
      </c>
      <c r="N62" s="157">
        <f>MouserListTable12[[#This Row],['# Initial]]*MouserListTable12[[#This Row],[Price (USD)]]</f>
        <v>0</v>
      </c>
      <c r="O62" s="106" t="s">
        <v>1779</v>
      </c>
      <c r="P62" s="103">
        <f t="shared" si="0"/>
        <v>49</v>
      </c>
      <c r="Q62" s="103" t="s">
        <v>8</v>
      </c>
      <c r="R6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474-TOL-09442</v>
      </c>
      <c r="S62" s="195" t="str">
        <f>HYPERLINK("https://www.mouser.com/ProductDetail/" &amp;MouserListTable12[[#This Row],[Mouser SKU]])</f>
        <v>https://www.mouser.com/ProductDetail/474-TOL-09442</v>
      </c>
      <c r="T62" s="121">
        <v>0</v>
      </c>
      <c r="U62" s="121">
        <v>0</v>
      </c>
      <c r="V62" s="121">
        <v>0</v>
      </c>
      <c r="W62" s="121">
        <f>MouserListTable12[[#This Row],['#/Unit]]*FilterSpecs!$C$3+MouserListTable12[[#This Row],[Extra]]</f>
        <v>0</v>
      </c>
      <c r="X62" s="121">
        <f>IF(MouserListTable12[[#This Row],[Tag]]=FilterSpecs!$F$7,MouserListTable12[[#This Row],['#/Unit]]*MouserListTable12[[#This Row],[Price (USD)]],0)</f>
        <v>0</v>
      </c>
      <c r="Y62" s="121">
        <f>MouserListTable12[[#This Row],[Tot '#]]*MouserListTable12[[#This Row],[Price (USD)]]</f>
        <v>0</v>
      </c>
      <c r="Z62"/>
    </row>
    <row r="63" spans="1:26" s="146" customFormat="1" hidden="1" x14ac:dyDescent="0.3">
      <c r="A63" s="126" t="s">
        <v>894</v>
      </c>
      <c r="B63" s="126" t="s">
        <v>2039</v>
      </c>
      <c r="C63" s="103" t="s">
        <v>1906</v>
      </c>
      <c r="D63" s="106" t="str">
        <f>IF(MouserListTable12[[#This Row],[Vendor]]=FilterSpecs!$A$8,MouserListTable12[[#This Row],[Mouser SKU]], MouserListTable12[[#This Row],[Supplier SKU]])</f>
        <v>485-276</v>
      </c>
      <c r="E63" s="121">
        <f>MouserListTable12[[#This Row],[Tot '#]]-MouserListTable12[[#This Row],['# Initial]]</f>
        <v>0</v>
      </c>
      <c r="F63" s="121">
        <f>IF(AND(MouserListTable12[[#This Row],[Tag]]&lt;&gt;FilterSpecs!$F$12, MouserListTable12[[#This Row],[Tag]]&lt;&gt;FilterSpecs!$F$9), MouserListTable12[[#This Row],['#/Unit]]*FilterSpecs!$B$3+MouserListTable12[[#This Row],[Extra Initial]],0)</f>
        <v>0</v>
      </c>
      <c r="G63" s="103"/>
      <c r="H63" s="103"/>
      <c r="I63" s="103" t="s">
        <v>2284</v>
      </c>
      <c r="J63" s="103"/>
      <c r="K63" s="157">
        <v>7.95</v>
      </c>
      <c r="L63" s="103" t="s">
        <v>1910</v>
      </c>
      <c r="N63" s="157">
        <f>MouserListTable12[[#This Row],['# Initial]]*MouserListTable12[[#This Row],[Price (USD)]]</f>
        <v>0</v>
      </c>
      <c r="O63" s="106" t="s">
        <v>2283</v>
      </c>
      <c r="P63" s="103">
        <f t="shared" si="0"/>
        <v>50</v>
      </c>
      <c r="Q63" s="103" t="s">
        <v>1898</v>
      </c>
      <c r="R6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485-276</v>
      </c>
      <c r="S63" s="195" t="str">
        <f>HYPERLINK("https://www.mouser.com/ProductDetail/" &amp;MouserListTable12[[#This Row],[Mouser SKU]])</f>
        <v>https://www.mouser.com/ProductDetail/485-276</v>
      </c>
      <c r="T63" s="121">
        <v>0</v>
      </c>
      <c r="U63" s="121">
        <v>0</v>
      </c>
      <c r="V63" s="121">
        <v>0</v>
      </c>
      <c r="W63" s="121">
        <f>MouserListTable12[[#This Row],['#/Unit]]*FilterSpecs!$C$3+MouserListTable12[[#This Row],[Extra]]</f>
        <v>0</v>
      </c>
      <c r="X63" s="121">
        <f>IF(MouserListTable12[[#This Row],[Tag]]=FilterSpecs!$F$7,MouserListTable12[[#This Row],['#/Unit]]*MouserListTable12[[#This Row],[Price (USD)]],0)</f>
        <v>0</v>
      </c>
      <c r="Y63" s="121">
        <f>MouserListTable12[[#This Row],[Tot '#]]*MouserListTable12[[#This Row],[Price (USD)]]</f>
        <v>0</v>
      </c>
      <c r="Z63"/>
    </row>
    <row r="64" spans="1:26" s="146" customFormat="1" hidden="1" x14ac:dyDescent="0.3">
      <c r="A64" s="126" t="s">
        <v>894</v>
      </c>
      <c r="B64" s="126" t="s">
        <v>2039</v>
      </c>
      <c r="C64" s="103" t="s">
        <v>1906</v>
      </c>
      <c r="D64" s="106" t="str">
        <f>IF(MouserListTable12[[#This Row],[Vendor]]=FilterSpecs!$A$8,MouserListTable12[[#This Row],[Mouser SKU]], MouserListTable12[[#This Row],[Supplier SKU]])</f>
        <v>485-1448</v>
      </c>
      <c r="E64" s="121">
        <f>MouserListTable12[[#This Row],[Tot '#]]-MouserListTable12[[#This Row],['# Initial]]</f>
        <v>0</v>
      </c>
      <c r="F64" s="121">
        <f>IF(AND(MouserListTable12[[#This Row],[Tag]]&lt;&gt;FilterSpecs!$F$12, MouserListTable12[[#This Row],[Tag]]&lt;&gt;FilterSpecs!$F$9), MouserListTable12[[#This Row],['#/Unit]]*FilterSpecs!$B$3+MouserListTable12[[#This Row],[Extra Initial]],0)</f>
        <v>0</v>
      </c>
      <c r="G64" s="103"/>
      <c r="H64" s="103"/>
      <c r="I64" s="103" t="s">
        <v>2286</v>
      </c>
      <c r="J64" s="103"/>
      <c r="K64" s="157">
        <v>14.95</v>
      </c>
      <c r="L64" s="103" t="s">
        <v>1910</v>
      </c>
      <c r="N64" s="157">
        <f>MouserListTable12[[#This Row],['# Initial]]*MouserListTable12[[#This Row],[Price (USD)]]</f>
        <v>0</v>
      </c>
      <c r="O64" s="106" t="s">
        <v>2285</v>
      </c>
      <c r="P64" s="103">
        <f t="shared" si="0"/>
        <v>51</v>
      </c>
      <c r="Q64" s="103" t="s">
        <v>1898</v>
      </c>
      <c r="R6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485-1448</v>
      </c>
      <c r="S64" s="195" t="str">
        <f>HYPERLINK("https://www.mouser.com/ProductDetail/" &amp;MouserListTable12[[#This Row],[Mouser SKU]])</f>
        <v>https://www.mouser.com/ProductDetail/485-1448</v>
      </c>
      <c r="T64" s="121">
        <v>0</v>
      </c>
      <c r="U64" s="121">
        <v>0</v>
      </c>
      <c r="V64" s="121">
        <v>0</v>
      </c>
      <c r="W64" s="121">
        <f>MouserListTable12[[#This Row],['#/Unit]]*FilterSpecs!$C$3+MouserListTable12[[#This Row],[Extra]]</f>
        <v>0</v>
      </c>
      <c r="X64" s="121">
        <f>IF(MouserListTable12[[#This Row],[Tag]]=FilterSpecs!$F$7,MouserListTable12[[#This Row],['#/Unit]]*MouserListTable12[[#This Row],[Price (USD)]],0)</f>
        <v>0</v>
      </c>
      <c r="Y64" s="121">
        <f>MouserListTable12[[#This Row],[Tot '#]]*MouserListTable12[[#This Row],[Price (USD)]]</f>
        <v>0</v>
      </c>
      <c r="Z64"/>
    </row>
    <row r="65" spans="1:26" s="146" customFormat="1" x14ac:dyDescent="0.3">
      <c r="A65" s="103" t="s">
        <v>894</v>
      </c>
      <c r="B65" s="103" t="s">
        <v>2043</v>
      </c>
      <c r="C65" s="103" t="s">
        <v>1906</v>
      </c>
      <c r="D65" s="106" t="str">
        <f>IF(MouserListTable12[[#This Row],[Vendor]]=FilterSpecs!$A$8,MouserListTable12[[#This Row],[Mouser SKU]], MouserListTable12[[#This Row],[Supplier SKU]])</f>
        <v>474-COM-11707</v>
      </c>
      <c r="E65" s="121">
        <f>MouserListTable12[[#This Row],[Tot '#]]-MouserListTable12[[#This Row],['# Initial]]</f>
        <v>0</v>
      </c>
      <c r="F65" s="121">
        <f>IF(AND(MouserListTable12[[#This Row],[Tag]]&lt;&gt;FilterSpecs!$F$12, MouserListTable12[[#This Row],[Tag]]&lt;&gt;FilterSpecs!$F$9), MouserListTable12[[#This Row],['#/Unit]]*FilterSpecs!$B$3+MouserListTable12[[#This Row],[Extra Initial]],0)</f>
        <v>5</v>
      </c>
      <c r="G65" s="103" t="s">
        <v>388</v>
      </c>
      <c r="H65" s="103" t="s">
        <v>389</v>
      </c>
      <c r="I65" s="103" t="s">
        <v>390</v>
      </c>
      <c r="J65" s="103"/>
      <c r="K65" s="157">
        <v>1.95</v>
      </c>
      <c r="L65" s="103" t="s">
        <v>1911</v>
      </c>
      <c r="M65" s="106"/>
      <c r="N65" s="157">
        <f>MouserListTable12[[#This Row],['# Initial]]*MouserListTable12[[#This Row],[Price (USD)]]</f>
        <v>9.75</v>
      </c>
      <c r="O65" s="106" t="s">
        <v>387</v>
      </c>
      <c r="P65" s="103">
        <f t="shared" si="0"/>
        <v>52</v>
      </c>
      <c r="Q65" s="103" t="s">
        <v>8</v>
      </c>
      <c r="R6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474-COM-11707</v>
      </c>
      <c r="S65" s="195" t="str">
        <f>HYPERLINK("https://www.mouser.com/ProductDetail/" &amp;MouserListTable12[[#This Row],[Mouser SKU]])</f>
        <v>https://www.mouser.com/ProductDetail/474-COM-11707</v>
      </c>
      <c r="T65" s="121">
        <v>1</v>
      </c>
      <c r="U65" s="121">
        <v>0</v>
      </c>
      <c r="V65" s="121">
        <v>0</v>
      </c>
      <c r="W65" s="121">
        <f>MouserListTable12[[#This Row],['#/Unit]]*FilterSpecs!$C$3+MouserListTable12[[#This Row],[Extra]]</f>
        <v>5</v>
      </c>
      <c r="X65" s="121">
        <f>IF(MouserListTable12[[#This Row],[Tag]]=FilterSpecs!$F$7,MouserListTable12[[#This Row],['#/Unit]]*MouserListTable12[[#This Row],[Price (USD)]],0)</f>
        <v>1.95</v>
      </c>
      <c r="Y65" s="121">
        <f>MouserListTable12[[#This Row],[Tot '#]]*MouserListTable12[[#This Row],[Price (USD)]]</f>
        <v>9.75</v>
      </c>
      <c r="Z65"/>
    </row>
    <row r="66" spans="1:26" s="146" customFormat="1" x14ac:dyDescent="0.3">
      <c r="A66" s="103" t="s">
        <v>894</v>
      </c>
      <c r="B66" s="103" t="s">
        <v>2043</v>
      </c>
      <c r="C66" s="103" t="s">
        <v>1906</v>
      </c>
      <c r="D66" s="106" t="str">
        <f>IF(MouserListTable12[[#This Row],[Vendor]]=FilterSpecs!$A$8,MouserListTable12[[#This Row],[Mouser SKU]], MouserListTable12[[#This Row],[Supplier SKU]])</f>
        <v>474-TOL-08734</v>
      </c>
      <c r="E66" s="121">
        <f>MouserListTable12[[#This Row],[Tot '#]]-MouserListTable12[[#This Row],['# Initial]]</f>
        <v>0</v>
      </c>
      <c r="F66" s="121">
        <f>IF(AND(MouserListTable12[[#This Row],[Tag]]&lt;&gt;FilterSpecs!$F$12, MouserListTable12[[#This Row],[Tag]]&lt;&gt;FilterSpecs!$F$9), MouserListTable12[[#This Row],['#/Unit]]*FilterSpecs!$B$3+MouserListTable12[[#This Row],[Extra Initial]],0)</f>
        <v>5</v>
      </c>
      <c r="G66" s="103" t="s">
        <v>804</v>
      </c>
      <c r="H66" s="103" t="s">
        <v>805</v>
      </c>
      <c r="I66" s="103" t="s">
        <v>806</v>
      </c>
      <c r="J66" s="103">
        <v>1</v>
      </c>
      <c r="K66" s="157">
        <v>2.95</v>
      </c>
      <c r="L66" s="103" t="s">
        <v>1911</v>
      </c>
      <c r="M66" s="106"/>
      <c r="N66" s="157">
        <f>MouserListTable12[[#This Row],['# Initial]]*MouserListTable12[[#This Row],[Price (USD)]]</f>
        <v>14.75</v>
      </c>
      <c r="O66" s="106" t="s">
        <v>803</v>
      </c>
      <c r="P66" s="103">
        <f t="shared" si="0"/>
        <v>53</v>
      </c>
      <c r="Q66" s="103" t="s">
        <v>8</v>
      </c>
      <c r="R6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474-TOL-08734</v>
      </c>
      <c r="S66" s="195" t="str">
        <f>HYPERLINK("https://www.mouser.com/ProductDetail/" &amp;MouserListTable12[[#This Row],[Mouser SKU]])</f>
        <v>https://www.mouser.com/ProductDetail/474-TOL-08734</v>
      </c>
      <c r="T66" s="121">
        <v>1</v>
      </c>
      <c r="U66" s="121">
        <v>0</v>
      </c>
      <c r="V66" s="121">
        <v>0</v>
      </c>
      <c r="W66" s="121">
        <f>MouserListTable12[[#This Row],['#/Unit]]*FilterSpecs!$C$3+MouserListTable12[[#This Row],[Extra]]</f>
        <v>5</v>
      </c>
      <c r="X66" s="121">
        <f>IF(MouserListTable12[[#This Row],[Tag]]=FilterSpecs!$F$7,MouserListTable12[[#This Row],['#/Unit]]*MouserListTable12[[#This Row],[Price (USD)]],0)</f>
        <v>2.95</v>
      </c>
      <c r="Y66" s="121">
        <f>MouserListTable12[[#This Row],[Tot '#]]*MouserListTable12[[#This Row],[Price (USD)]]</f>
        <v>14.75</v>
      </c>
      <c r="Z66"/>
    </row>
    <row r="67" spans="1:26" s="146" customFormat="1" x14ac:dyDescent="0.3">
      <c r="A67" s="103" t="s">
        <v>894</v>
      </c>
      <c r="B67" s="103" t="s">
        <v>2043</v>
      </c>
      <c r="C67" s="103" t="s">
        <v>1906</v>
      </c>
      <c r="D67" s="106" t="str">
        <f>IF(MouserListTable12[[#This Row],[Vendor]]=FilterSpecs!$A$8,MouserListTable12[[#This Row],[Mouser SKU]], MouserListTable12[[#This Row],[Supplier SKU]])</f>
        <v>474-TOL-08639</v>
      </c>
      <c r="E67" s="121">
        <f>MouserListTable12[[#This Row],[Tot '#]]-MouserListTable12[[#This Row],['# Initial]]</f>
        <v>0</v>
      </c>
      <c r="F67" s="121">
        <f>IF(AND(MouserListTable12[[#This Row],[Tag]]&lt;&gt;FilterSpecs!$F$12, MouserListTable12[[#This Row],[Tag]]&lt;&gt;FilterSpecs!$F$9), MouserListTable12[[#This Row],['#/Unit]]*FilterSpecs!$B$3+MouserListTable12[[#This Row],[Extra Initial]],0)</f>
        <v>5</v>
      </c>
      <c r="G67" s="103" t="s">
        <v>462</v>
      </c>
      <c r="H67" s="103" t="s">
        <v>463</v>
      </c>
      <c r="I67" s="103" t="s">
        <v>464</v>
      </c>
      <c r="J67" s="103">
        <v>1</v>
      </c>
      <c r="K67" s="157">
        <v>2.95</v>
      </c>
      <c r="L67" s="103" t="s">
        <v>1911</v>
      </c>
      <c r="M67" s="106"/>
      <c r="N67" s="157">
        <f>MouserListTable12[[#This Row],['# Initial]]*MouserListTable12[[#This Row],[Price (USD)]]</f>
        <v>14.75</v>
      </c>
      <c r="O67" s="106" t="s">
        <v>461</v>
      </c>
      <c r="P67" s="103">
        <f t="shared" si="0"/>
        <v>54</v>
      </c>
      <c r="Q67" s="103" t="s">
        <v>8</v>
      </c>
      <c r="R6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474-TOL-08639</v>
      </c>
      <c r="S67" s="195" t="str">
        <f>HYPERLINK("https://www.mouser.com/ProductDetail/" &amp;MouserListTable12[[#This Row],[Mouser SKU]])</f>
        <v>https://www.mouser.com/ProductDetail/474-TOL-08639</v>
      </c>
      <c r="T67" s="121">
        <v>1</v>
      </c>
      <c r="U67" s="121">
        <v>0</v>
      </c>
      <c r="V67" s="121">
        <v>0</v>
      </c>
      <c r="W67" s="121">
        <f>MouserListTable12[[#This Row],['#/Unit]]*FilterSpecs!$C$3+MouserListTable12[[#This Row],[Extra]]</f>
        <v>5</v>
      </c>
      <c r="X67" s="121">
        <f>IF(MouserListTable12[[#This Row],[Tag]]=FilterSpecs!$F$7,MouserListTable12[[#This Row],['#/Unit]]*MouserListTable12[[#This Row],[Price (USD)]],0)</f>
        <v>2.95</v>
      </c>
      <c r="Y67" s="121">
        <f>MouserListTable12[[#This Row],[Tot '#]]*MouserListTable12[[#This Row],[Price (USD)]]</f>
        <v>14.75</v>
      </c>
      <c r="Z67"/>
    </row>
    <row r="68" spans="1:26" s="146" customFormat="1" x14ac:dyDescent="0.3">
      <c r="A68" s="103" t="s">
        <v>894</v>
      </c>
      <c r="B68" s="103" t="s">
        <v>2043</v>
      </c>
      <c r="C68" s="103" t="s">
        <v>1906</v>
      </c>
      <c r="D68" s="106" t="str">
        <f>IF(MouserListTable12[[#This Row],[Vendor]]=FilterSpecs!$A$8,MouserListTable12[[#This Row],[Mouser SKU]], MouserListTable12[[#This Row],[Supplier SKU]])</f>
        <v>474-COM-11705</v>
      </c>
      <c r="E68" s="121">
        <f>MouserListTable12[[#This Row],[Tot '#]]-MouserListTable12[[#This Row],['# Initial]]</f>
        <v>0</v>
      </c>
      <c r="F68" s="121">
        <f>IF(AND(MouserListTable12[[#This Row],[Tag]]&lt;&gt;FilterSpecs!$F$12, MouserListTable12[[#This Row],[Tag]]&lt;&gt;FilterSpecs!$F$9), MouserListTable12[[#This Row],['#/Unit]]*FilterSpecs!$B$3+MouserListTable12[[#This Row],[Extra Initial]],0)</f>
        <v>5</v>
      </c>
      <c r="G68" s="103" t="s">
        <v>812</v>
      </c>
      <c r="H68" s="103" t="s">
        <v>813</v>
      </c>
      <c r="I68" s="103" t="s">
        <v>814</v>
      </c>
      <c r="J68" s="103"/>
      <c r="K68" s="157">
        <v>2.5</v>
      </c>
      <c r="L68" s="106" t="s">
        <v>1911</v>
      </c>
      <c r="M68" s="106"/>
      <c r="N68" s="157">
        <f>MouserListTable12[[#This Row],['# Initial]]*MouserListTable12[[#This Row],[Price (USD)]]</f>
        <v>12.5</v>
      </c>
      <c r="O68" s="106" t="s">
        <v>811</v>
      </c>
      <c r="P68" s="103">
        <f t="shared" si="0"/>
        <v>55</v>
      </c>
      <c r="Q68" s="103" t="s">
        <v>8</v>
      </c>
      <c r="R6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474-COM-11705</v>
      </c>
      <c r="S68" s="195" t="str">
        <f>HYPERLINK("https://www.mouser.com/ProductDetail/" &amp;MouserListTable12[[#This Row],[Mouser SKU]])</f>
        <v>https://www.mouser.com/ProductDetail/474-COM-11705</v>
      </c>
      <c r="T68" s="121">
        <v>1</v>
      </c>
      <c r="U68" s="121">
        <v>0</v>
      </c>
      <c r="V68" s="121">
        <v>0</v>
      </c>
      <c r="W68" s="121">
        <f>MouserListTable12[[#This Row],['#/Unit]]*FilterSpecs!$C$3+MouserListTable12[[#This Row],[Extra]]</f>
        <v>5</v>
      </c>
      <c r="X68" s="121">
        <f>IF(MouserListTable12[[#This Row],[Tag]]=FilterSpecs!$F$7,MouserListTable12[[#This Row],['#/Unit]]*MouserListTable12[[#This Row],[Price (USD)]],0)</f>
        <v>2.5</v>
      </c>
      <c r="Y68" s="121">
        <f>MouserListTable12[[#This Row],[Tot '#]]*MouserListTable12[[#This Row],[Price (USD)]]</f>
        <v>12.5</v>
      </c>
      <c r="Z68"/>
    </row>
    <row r="69" spans="1:26" s="146" customFormat="1" hidden="1" x14ac:dyDescent="0.3">
      <c r="A69" s="103" t="s">
        <v>894</v>
      </c>
      <c r="B69" s="103" t="s">
        <v>2043</v>
      </c>
      <c r="C69" s="103" t="s">
        <v>1906</v>
      </c>
      <c r="D69" s="106" t="str">
        <f>IF(MouserListTable12[[#This Row],[Vendor]]=FilterSpecs!$A$8,MouserListTable12[[#This Row],[Mouser SKU]], MouserListTable12[[#This Row],[Supplier SKU]])</f>
        <v>485-327</v>
      </c>
      <c r="E69" s="121">
        <f>MouserListTable12[[#This Row],[Tot '#]]-MouserListTable12[[#This Row],['# Initial]]</f>
        <v>0</v>
      </c>
      <c r="F69" s="121">
        <f>IF(AND(MouserListTable12[[#This Row],[Tag]]&lt;&gt;FilterSpecs!$F$12, MouserListTable12[[#This Row],[Tag]]&lt;&gt;FilterSpecs!$F$9), MouserListTable12[[#This Row],['#/Unit]]*FilterSpecs!$B$3+MouserListTable12[[#This Row],[Extra Initial]],0)</f>
        <v>0</v>
      </c>
      <c r="G69" s="103"/>
      <c r="H69" s="103"/>
      <c r="I69" s="126" t="s">
        <v>2274</v>
      </c>
      <c r="K69" s="158">
        <v>2.95</v>
      </c>
      <c r="L69" s="126" t="s">
        <v>1910</v>
      </c>
      <c r="N69" s="157">
        <f>MouserListTable12[[#This Row],['# Initial]]*MouserListTable12[[#This Row],[Price (USD)]]</f>
        <v>0</v>
      </c>
      <c r="O69" s="106" t="s">
        <v>2273</v>
      </c>
      <c r="P69" s="103">
        <f t="shared" si="0"/>
        <v>56</v>
      </c>
      <c r="Q69" s="103" t="s">
        <v>1898</v>
      </c>
      <c r="R6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485-327</v>
      </c>
      <c r="S69" s="195" t="str">
        <f>HYPERLINK("https://www.mouser.com/ProductDetail/" &amp;MouserListTable12[[#This Row],[Mouser SKU]])</f>
        <v>https://www.mouser.com/ProductDetail/485-327</v>
      </c>
      <c r="T69" s="121">
        <v>0</v>
      </c>
      <c r="U69" s="121">
        <v>0</v>
      </c>
      <c r="V69" s="121">
        <v>0</v>
      </c>
      <c r="W69" s="121">
        <f>MouserListTable12[[#This Row],['#/Unit]]*FilterSpecs!$C$3+MouserListTable12[[#This Row],[Extra]]</f>
        <v>0</v>
      </c>
      <c r="X69" s="121">
        <f>IF(MouserListTable12[[#This Row],[Tag]]=FilterSpecs!$F$7,MouserListTable12[[#This Row],['#/Unit]]*MouserListTable12[[#This Row],[Price (USD)]],0)</f>
        <v>0</v>
      </c>
      <c r="Y69" s="121">
        <f>MouserListTable12[[#This Row],[Tot '#]]*MouserListTable12[[#This Row],[Price (USD)]]</f>
        <v>0</v>
      </c>
      <c r="Z69"/>
    </row>
    <row r="70" spans="1:26" s="146" customFormat="1" hidden="1" x14ac:dyDescent="0.3">
      <c r="A70" s="103" t="s">
        <v>894</v>
      </c>
      <c r="B70" s="103" t="s">
        <v>2043</v>
      </c>
      <c r="C70" s="103" t="s">
        <v>1906</v>
      </c>
      <c r="D70" s="106" t="str">
        <f>IF(MouserListTable12[[#This Row],[Vendor]]=FilterSpecs!$A$8,MouserListTable12[[#This Row],[Mouser SKU]], MouserListTable12[[#This Row],[Supplier SKU]])</f>
        <v>485-411</v>
      </c>
      <c r="E70" s="121">
        <f>MouserListTable12[[#This Row],[Tot '#]]-MouserListTable12[[#This Row],['# Initial]]</f>
        <v>1</v>
      </c>
      <c r="F70" s="121">
        <f>IF(AND(MouserListTable12[[#This Row],[Tag]]&lt;&gt;FilterSpecs!$F$12, MouserListTable12[[#This Row],[Tag]]&lt;&gt;FilterSpecs!$F$9), MouserListTable12[[#This Row],['#/Unit]]*FilterSpecs!$B$3+MouserListTable12[[#This Row],[Extra Initial]],0)</f>
        <v>0</v>
      </c>
      <c r="G70" s="103"/>
      <c r="H70" s="103"/>
      <c r="I70" s="103" t="s">
        <v>2276</v>
      </c>
      <c r="K70" s="157">
        <v>2.5</v>
      </c>
      <c r="L70" s="103" t="s">
        <v>1910</v>
      </c>
      <c r="M70" s="106"/>
      <c r="N70" s="157">
        <f>MouserListTable12[[#This Row],['# Initial]]*MouserListTable12[[#This Row],[Price (USD)]]</f>
        <v>0</v>
      </c>
      <c r="O70" s="106" t="s">
        <v>2275</v>
      </c>
      <c r="P70" s="103">
        <f t="shared" si="0"/>
        <v>57</v>
      </c>
      <c r="Q70" s="103" t="s">
        <v>1898</v>
      </c>
      <c r="R7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485-411</v>
      </c>
      <c r="S70" s="195" t="str">
        <f>HYPERLINK("https://www.mouser.com/ProductDetail/" &amp;MouserListTable12[[#This Row],[Mouser SKU]])</f>
        <v>https://www.mouser.com/ProductDetail/485-411</v>
      </c>
      <c r="T70" s="121">
        <v>0</v>
      </c>
      <c r="U70" s="121">
        <v>1</v>
      </c>
      <c r="V70" s="121">
        <v>0</v>
      </c>
      <c r="W70" s="121">
        <f>MouserListTable12[[#This Row],['#/Unit]]*FilterSpecs!$C$3+MouserListTable12[[#This Row],[Extra]]</f>
        <v>1</v>
      </c>
      <c r="X70" s="121">
        <f>IF(MouserListTable12[[#This Row],[Tag]]=FilterSpecs!$F$7,MouserListTable12[[#This Row],['#/Unit]]*MouserListTable12[[#This Row],[Price (USD)]],0)</f>
        <v>0</v>
      </c>
      <c r="Y70" s="121">
        <f>MouserListTable12[[#This Row],[Tot '#]]*MouserListTable12[[#This Row],[Price (USD)]]</f>
        <v>2.5</v>
      </c>
      <c r="Z70"/>
    </row>
    <row r="71" spans="1:26" s="146" customFormat="1" hidden="1" x14ac:dyDescent="0.3">
      <c r="A71" s="103" t="s">
        <v>894</v>
      </c>
      <c r="B71" s="103" t="s">
        <v>2043</v>
      </c>
      <c r="C71" s="103" t="s">
        <v>1906</v>
      </c>
      <c r="D71" s="106" t="str">
        <f>IF(MouserListTable12[[#This Row],[Vendor]]=FilterSpecs!$A$8,MouserListTable12[[#This Row],[Mouser SKU]], MouserListTable12[[#This Row],[Supplier SKU]])</f>
        <v>485-2897</v>
      </c>
      <c r="E71" s="121">
        <f>MouserListTable12[[#This Row],[Tot '#]]-MouserListTable12[[#This Row],['# Initial]]</f>
        <v>1</v>
      </c>
      <c r="F71" s="121">
        <f>IF(AND(MouserListTable12[[#This Row],[Tag]]&lt;&gt;FilterSpecs!$F$12, MouserListTable12[[#This Row],[Tag]]&lt;&gt;FilterSpecs!$F$9), MouserListTable12[[#This Row],['#/Unit]]*FilterSpecs!$B$3+MouserListTable12[[#This Row],[Extra Initial]],0)</f>
        <v>0</v>
      </c>
      <c r="G71" s="103"/>
      <c r="H71" s="103"/>
      <c r="I71" s="103" t="s">
        <v>2278</v>
      </c>
      <c r="K71" s="157">
        <v>0.95</v>
      </c>
      <c r="L71" s="103" t="s">
        <v>1910</v>
      </c>
      <c r="M71" s="106"/>
      <c r="N71" s="157">
        <f>MouserListTable12[[#This Row],['# Initial]]*MouserListTable12[[#This Row],[Price (USD)]]</f>
        <v>0</v>
      </c>
      <c r="O71" s="106" t="s">
        <v>2277</v>
      </c>
      <c r="P71" s="103">
        <f t="shared" si="0"/>
        <v>58</v>
      </c>
      <c r="Q71" s="103" t="s">
        <v>1898</v>
      </c>
      <c r="R7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485-2897</v>
      </c>
      <c r="S71" s="195" t="str">
        <f>HYPERLINK("https://www.mouser.com/ProductDetail/" &amp;MouserListTable12[[#This Row],[Mouser SKU]])</f>
        <v>https://www.mouser.com/ProductDetail/485-2897</v>
      </c>
      <c r="T71" s="121">
        <v>0</v>
      </c>
      <c r="U71" s="121">
        <v>1</v>
      </c>
      <c r="V71" s="121">
        <v>0</v>
      </c>
      <c r="W71" s="121">
        <f>MouserListTable12[[#This Row],['#/Unit]]*FilterSpecs!$C$3+MouserListTable12[[#This Row],[Extra]]</f>
        <v>1</v>
      </c>
      <c r="X71" s="121">
        <f>IF(MouserListTable12[[#This Row],[Tag]]=FilterSpecs!$F$7,MouserListTable12[[#This Row],['#/Unit]]*MouserListTable12[[#This Row],[Price (USD)]],0)</f>
        <v>0</v>
      </c>
      <c r="Y71" s="121">
        <f>MouserListTable12[[#This Row],[Tot '#]]*MouserListTable12[[#This Row],[Price (USD)]]</f>
        <v>0.95</v>
      </c>
      <c r="Z71"/>
    </row>
    <row r="72" spans="1:26" s="146" customFormat="1" hidden="1" x14ac:dyDescent="0.3">
      <c r="A72" s="103" t="s">
        <v>894</v>
      </c>
      <c r="B72" s="103" t="s">
        <v>2043</v>
      </c>
      <c r="C72" s="103" t="s">
        <v>1906</v>
      </c>
      <c r="D72" s="106" t="str">
        <f>IF(MouserListTable12[[#This Row],[Vendor]]=FilterSpecs!$A$8,MouserListTable12[[#This Row],[Mouser SKU]], MouserListTable12[[#This Row],[Supplier SKU]])</f>
        <v>485-2788</v>
      </c>
      <c r="E72" s="121">
        <f>MouserListTable12[[#This Row],[Tot '#]]-MouserListTable12[[#This Row],['# Initial]]</f>
        <v>1</v>
      </c>
      <c r="F72" s="121">
        <f>IF(AND(MouserListTable12[[#This Row],[Tag]]&lt;&gt;FilterSpecs!$F$12, MouserListTable12[[#This Row],[Tag]]&lt;&gt;FilterSpecs!$F$9), MouserListTable12[[#This Row],['#/Unit]]*FilterSpecs!$B$3+MouserListTable12[[#This Row],[Extra Initial]],0)</f>
        <v>0</v>
      </c>
      <c r="G72" s="103"/>
      <c r="H72" s="103"/>
      <c r="I72" s="103" t="s">
        <v>2280</v>
      </c>
      <c r="K72" s="157">
        <v>0.95</v>
      </c>
      <c r="L72" s="103" t="s">
        <v>1910</v>
      </c>
      <c r="M72" s="106"/>
      <c r="N72" s="157">
        <f>MouserListTable12[[#This Row],['# Initial]]*MouserListTable12[[#This Row],[Price (USD)]]</f>
        <v>0</v>
      </c>
      <c r="O72" s="106" t="s">
        <v>2279</v>
      </c>
      <c r="P72" s="103">
        <f t="shared" si="0"/>
        <v>59</v>
      </c>
      <c r="Q72" s="103" t="s">
        <v>1898</v>
      </c>
      <c r="R7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485-2788</v>
      </c>
      <c r="S72" s="195" t="str">
        <f>HYPERLINK("https://www.mouser.com/ProductDetail/" &amp;MouserListTable12[[#This Row],[Mouser SKU]])</f>
        <v>https://www.mouser.com/ProductDetail/485-2788</v>
      </c>
      <c r="T72" s="121">
        <v>0</v>
      </c>
      <c r="U72" s="121">
        <v>1</v>
      </c>
      <c r="V72" s="121">
        <v>0</v>
      </c>
      <c r="W72" s="121">
        <f>MouserListTable12[[#This Row],['#/Unit]]*FilterSpecs!$C$3+MouserListTable12[[#This Row],[Extra]]</f>
        <v>1</v>
      </c>
      <c r="X72" s="121">
        <f>IF(MouserListTable12[[#This Row],[Tag]]=FilterSpecs!$F$7,MouserListTable12[[#This Row],['#/Unit]]*MouserListTable12[[#This Row],[Price (USD)]],0)</f>
        <v>0</v>
      </c>
      <c r="Y72" s="121">
        <f>MouserListTable12[[#This Row],[Tot '#]]*MouserListTable12[[#This Row],[Price (USD)]]</f>
        <v>0.95</v>
      </c>
      <c r="Z72"/>
    </row>
    <row r="73" spans="1:26" s="146" customFormat="1" hidden="1" x14ac:dyDescent="0.3">
      <c r="A73" s="103" t="s">
        <v>894</v>
      </c>
      <c r="B73" s="103" t="s">
        <v>2045</v>
      </c>
      <c r="C73" s="103" t="s">
        <v>1906</v>
      </c>
      <c r="D73" s="106" t="str">
        <f>IF(MouserListTable12[[#This Row],[Vendor]]=FilterSpecs!$A$8,MouserListTable12[[#This Row],[Mouser SKU]], MouserListTable12[[#This Row],[Supplier SKU]])</f>
        <v>474-TOL-12890</v>
      </c>
      <c r="E73" s="121">
        <f>MouserListTable12[[#This Row],[Tot '#]]-MouserListTable12[[#This Row],['# Initial]]</f>
        <v>0</v>
      </c>
      <c r="F73" s="121">
        <f>IF(AND(MouserListTable12[[#This Row],[Tag]]&lt;&gt;FilterSpecs!$F$12, MouserListTable12[[#This Row],[Tag]]&lt;&gt;FilterSpecs!$F$9), MouserListTable12[[#This Row],['#/Unit]]*FilterSpecs!$B$3+MouserListTable12[[#This Row],[Extra Initial]],0)</f>
        <v>0</v>
      </c>
      <c r="G73" s="103" t="s">
        <v>1113</v>
      </c>
      <c r="H73" s="103" t="s">
        <v>1114</v>
      </c>
      <c r="I73" s="126" t="s">
        <v>1115</v>
      </c>
      <c r="J73" s="146">
        <v>1</v>
      </c>
      <c r="K73" s="158">
        <v>5.95</v>
      </c>
      <c r="L73" s="126" t="s">
        <v>1910</v>
      </c>
      <c r="N73" s="157">
        <f>MouserListTable12[[#This Row],['# Initial]]*MouserListTable12[[#This Row],[Price (USD)]]</f>
        <v>0</v>
      </c>
      <c r="O73" s="106" t="s">
        <v>1112</v>
      </c>
      <c r="P73" s="103">
        <f t="shared" si="0"/>
        <v>60</v>
      </c>
      <c r="Q73" s="103" t="s">
        <v>8</v>
      </c>
      <c r="R7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474-TOL-12890</v>
      </c>
      <c r="S73" s="195" t="str">
        <f>HYPERLINK("https://www.mouser.com/ProductDetail/" &amp;MouserListTable12[[#This Row],[Mouser SKU]])</f>
        <v>https://www.mouser.com/ProductDetail/474-TOL-12890</v>
      </c>
      <c r="T73" s="121">
        <v>0</v>
      </c>
      <c r="U73" s="121">
        <v>0</v>
      </c>
      <c r="V73" s="121">
        <v>0</v>
      </c>
      <c r="W73" s="121">
        <f>MouserListTable12[[#This Row],['#/Unit]]*FilterSpecs!$C$3+MouserListTable12[[#This Row],[Extra]]</f>
        <v>0</v>
      </c>
      <c r="X73" s="121">
        <f>IF(MouserListTable12[[#This Row],[Tag]]=FilterSpecs!$F$7,MouserListTable12[[#This Row],['#/Unit]]*MouserListTable12[[#This Row],[Price (USD)]],0)</f>
        <v>0</v>
      </c>
      <c r="Y73" s="121">
        <f>MouserListTable12[[#This Row],[Tot '#]]*MouserListTable12[[#This Row],[Price (USD)]]</f>
        <v>0</v>
      </c>
      <c r="Z73"/>
    </row>
    <row r="74" spans="1:26" s="146" customFormat="1" hidden="1" x14ac:dyDescent="0.3">
      <c r="A74" s="103" t="s">
        <v>894</v>
      </c>
      <c r="B74" s="103" t="s">
        <v>2045</v>
      </c>
      <c r="C74" s="103" t="s">
        <v>1906</v>
      </c>
      <c r="D74" s="106" t="str">
        <f>IF(MouserListTable12[[#This Row],[Vendor]]=FilterSpecs!$A$8,MouserListTable12[[#This Row],[Mouser SKU]], MouserListTable12[[#This Row],[Supplier SKU]])</f>
        <v>485-501</v>
      </c>
      <c r="E74" s="121">
        <f>MouserListTable12[[#This Row],[Tot '#]]-MouserListTable12[[#This Row],['# Initial]]</f>
        <v>0</v>
      </c>
      <c r="F74" s="121">
        <f>IF(AND(MouserListTable12[[#This Row],[Tag]]&lt;&gt;FilterSpecs!$F$12, MouserListTable12[[#This Row],[Tag]]&lt;&gt;FilterSpecs!$F$9), MouserListTable12[[#This Row],['#/Unit]]*FilterSpecs!$B$3+MouserListTable12[[#This Row],[Extra Initial]],0)</f>
        <v>0</v>
      </c>
      <c r="G74" s="103"/>
      <c r="H74" s="103"/>
      <c r="I74" s="126" t="s">
        <v>2315</v>
      </c>
      <c r="K74" s="158">
        <v>5.95</v>
      </c>
      <c r="L74" s="126" t="s">
        <v>1910</v>
      </c>
      <c r="N74" s="157">
        <f>MouserListTable12[[#This Row],['# Initial]]*MouserListTable12[[#This Row],[Price (USD)]]</f>
        <v>0</v>
      </c>
      <c r="O74" s="106" t="s">
        <v>2314</v>
      </c>
      <c r="P74" s="103">
        <f t="shared" si="0"/>
        <v>61</v>
      </c>
      <c r="Q74" s="103" t="s">
        <v>1898</v>
      </c>
      <c r="R7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485-501</v>
      </c>
      <c r="S74" s="195" t="str">
        <f>HYPERLINK("https://www.mouser.com/ProductDetail/" &amp;MouserListTable12[[#This Row],[Mouser SKU]])</f>
        <v>https://www.mouser.com/ProductDetail/485-501</v>
      </c>
      <c r="T74" s="121">
        <v>0</v>
      </c>
      <c r="U74" s="121">
        <v>0</v>
      </c>
      <c r="V74" s="121">
        <v>0</v>
      </c>
      <c r="W74" s="121">
        <f>MouserListTable12[[#This Row],['#/Unit]]*FilterSpecs!$C$3+MouserListTable12[[#This Row],[Extra]]</f>
        <v>0</v>
      </c>
      <c r="X74" s="121">
        <f>IF(MouserListTable12[[#This Row],[Tag]]=FilterSpecs!$F$7,MouserListTable12[[#This Row],['#/Unit]]*MouserListTable12[[#This Row],[Price (USD)]],0)</f>
        <v>0</v>
      </c>
      <c r="Y74" s="121">
        <f>MouserListTable12[[#This Row],[Tot '#]]*MouserListTable12[[#This Row],[Price (USD)]]</f>
        <v>0</v>
      </c>
      <c r="Z74"/>
    </row>
    <row r="75" spans="1:26" s="146" customFormat="1" x14ac:dyDescent="0.3">
      <c r="A75" s="103" t="s">
        <v>894</v>
      </c>
      <c r="B75" s="103" t="s">
        <v>2045</v>
      </c>
      <c r="C75" s="103" t="s">
        <v>1906</v>
      </c>
      <c r="D75" s="106" t="str">
        <f>IF(MouserListTable12[[#This Row],[Vendor]]=FilterSpecs!$A$8,MouserListTable12[[#This Row],[Mouser SKU]], MouserListTable12[[#This Row],[Supplier SKU]])</f>
        <v>485-1994</v>
      </c>
      <c r="E75" s="121">
        <f>MouserListTable12[[#This Row],[Tot '#]]-MouserListTable12[[#This Row],['# Initial]]</f>
        <v>0</v>
      </c>
      <c r="F75" s="121">
        <f>IF(AND(MouserListTable12[[#This Row],[Tag]]&lt;&gt;FilterSpecs!$F$12, MouserListTable12[[#This Row],[Tag]]&lt;&gt;FilterSpecs!$F$9), MouserListTable12[[#This Row],['#/Unit]]*FilterSpecs!$B$3+MouserListTable12[[#This Row],[Extra Initial]],0)</f>
        <v>5</v>
      </c>
      <c r="G75" s="103"/>
      <c r="H75" s="103"/>
      <c r="I75" s="103" t="s">
        <v>2317</v>
      </c>
      <c r="K75" s="157">
        <v>6.95</v>
      </c>
      <c r="L75" s="103" t="s">
        <v>1911</v>
      </c>
      <c r="M75" s="106"/>
      <c r="N75" s="157">
        <f>MouserListTable12[[#This Row],['# Initial]]*MouserListTable12[[#This Row],[Price (USD)]]</f>
        <v>34.75</v>
      </c>
      <c r="O75" s="106" t="s">
        <v>2316</v>
      </c>
      <c r="P75" s="103">
        <f t="shared" si="0"/>
        <v>62</v>
      </c>
      <c r="Q75" s="103" t="s">
        <v>1898</v>
      </c>
      <c r="R7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485-1994</v>
      </c>
      <c r="S75" s="195" t="str">
        <f>HYPERLINK("https://www.mouser.com/ProductDetail/" &amp;MouserListTable12[[#This Row],[Mouser SKU]])</f>
        <v>https://www.mouser.com/ProductDetail/485-1994</v>
      </c>
      <c r="T75" s="121">
        <v>1</v>
      </c>
      <c r="U75" s="121">
        <v>0</v>
      </c>
      <c r="V75" s="121">
        <v>0</v>
      </c>
      <c r="W75" s="121">
        <f>MouserListTable12[[#This Row],['#/Unit]]*FilterSpecs!$C$3+MouserListTable12[[#This Row],[Extra]]</f>
        <v>5</v>
      </c>
      <c r="X75" s="121">
        <f>IF(MouserListTable12[[#This Row],[Tag]]=FilterSpecs!$F$7,MouserListTable12[[#This Row],['#/Unit]]*MouserListTable12[[#This Row],[Price (USD)]],0)</f>
        <v>6.95</v>
      </c>
      <c r="Y75" s="121">
        <f>MouserListTable12[[#This Row],[Tot '#]]*MouserListTable12[[#This Row],[Price (USD)]]</f>
        <v>34.75</v>
      </c>
      <c r="Z75"/>
    </row>
    <row r="76" spans="1:26" s="144" customFormat="1" x14ac:dyDescent="0.3">
      <c r="A76" s="103" t="s">
        <v>894</v>
      </c>
      <c r="B76" s="103" t="s">
        <v>2036</v>
      </c>
      <c r="C76" s="103" t="s">
        <v>1906</v>
      </c>
      <c r="D76" s="106" t="str">
        <f>IF(MouserListTable12[[#This Row],[Vendor]]=FilterSpecs!$A$8,MouserListTable12[[#This Row],[Mouser SKU]], MouserListTable12[[#This Row],[Supplier SKU]])</f>
        <v>474-CAB-00512</v>
      </c>
      <c r="E76" s="121">
        <f>MouserListTable12[[#This Row],[Tot '#]]-MouserListTable12[[#This Row],['# Initial]]</f>
        <v>0</v>
      </c>
      <c r="F76" s="121">
        <f>IF(AND(MouserListTable12[[#This Row],[Tag]]&lt;&gt;FilterSpecs!$F$12, MouserListTable12[[#This Row],[Tag]]&lt;&gt;FilterSpecs!$F$9), MouserListTable12[[#This Row],['#/Unit]]*FilterSpecs!$B$3+MouserListTable12[[#This Row],[Extra Initial]],0)</f>
        <v>5</v>
      </c>
      <c r="G76" s="103" t="s">
        <v>2492</v>
      </c>
      <c r="H76" s="103" t="s">
        <v>2493</v>
      </c>
      <c r="I76" s="103" t="s">
        <v>2494</v>
      </c>
      <c r="J76" s="103">
        <v>1</v>
      </c>
      <c r="K76" s="157">
        <v>3.95</v>
      </c>
      <c r="L76" s="103" t="s">
        <v>1911</v>
      </c>
      <c r="M76" s="103"/>
      <c r="N76" s="157">
        <f>MouserListTable12[[#This Row],['# Initial]]*MouserListTable12[[#This Row],[Price (USD)]]</f>
        <v>19.75</v>
      </c>
      <c r="O76" s="106" t="s">
        <v>2491</v>
      </c>
      <c r="P76" s="103">
        <f t="shared" si="0"/>
        <v>63</v>
      </c>
      <c r="Q76" s="103" t="s">
        <v>8</v>
      </c>
      <c r="R7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474-CAB-00512</v>
      </c>
      <c r="S76" s="195" t="str">
        <f>HYPERLINK("https://www.mouser.com/ProductDetail/" &amp;MouserListTable12[[#This Row],[Mouser SKU]])</f>
        <v>https://www.mouser.com/ProductDetail/474-CAB-00512</v>
      </c>
      <c r="T76" s="121">
        <v>1</v>
      </c>
      <c r="U76" s="121">
        <v>0</v>
      </c>
      <c r="V76" s="121">
        <v>0</v>
      </c>
      <c r="W76" s="121">
        <f>MouserListTable12[[#This Row],['#/Unit]]*FilterSpecs!$C$3+MouserListTable12[[#This Row],[Extra]]</f>
        <v>5</v>
      </c>
      <c r="X76" s="121">
        <f>IF(MouserListTable12[[#This Row],[Tag]]=FilterSpecs!$F$7,MouserListTable12[[#This Row],['#/Unit]]*MouserListTable12[[#This Row],[Price (USD)]],0)</f>
        <v>3.95</v>
      </c>
      <c r="Y76" s="121">
        <f>MouserListTable12[[#This Row],[Tot '#]]*MouserListTable12[[#This Row],[Price (USD)]]</f>
        <v>19.75</v>
      </c>
      <c r="Z76"/>
    </row>
    <row r="77" spans="1:26" s="144" customFormat="1" x14ac:dyDescent="0.3">
      <c r="A77" s="103" t="s">
        <v>894</v>
      </c>
      <c r="B77" s="103" t="s">
        <v>2036</v>
      </c>
      <c r="C77" s="103" t="s">
        <v>1906</v>
      </c>
      <c r="D77" s="106" t="str">
        <f>IF(MouserListTable12[[#This Row],[Vendor]]=FilterSpecs!$A$8,MouserListTable12[[#This Row],[Mouser SKU]], MouserListTable12[[#This Row],[Supplier SKU]])</f>
        <v>474-CAB-11301</v>
      </c>
      <c r="E77" s="121">
        <f>MouserListTable12[[#This Row],[Tot '#]]-MouserListTable12[[#This Row],['# Initial]]</f>
        <v>0</v>
      </c>
      <c r="F77" s="121">
        <f>IF(AND(MouserListTable12[[#This Row],[Tag]]&lt;&gt;FilterSpecs!$F$12, MouserListTable12[[#This Row],[Tag]]&lt;&gt;FilterSpecs!$F$9), MouserListTable12[[#This Row],['#/Unit]]*FilterSpecs!$B$3+MouserListTable12[[#This Row],[Extra Initial]],0)</f>
        <v>5</v>
      </c>
      <c r="G77" s="103" t="s">
        <v>2496</v>
      </c>
      <c r="H77" s="103" t="s">
        <v>2497</v>
      </c>
      <c r="I77" s="103" t="s">
        <v>2498</v>
      </c>
      <c r="J77" s="103">
        <v>1</v>
      </c>
      <c r="K77" s="157">
        <v>3.95</v>
      </c>
      <c r="L77" s="103" t="s">
        <v>1911</v>
      </c>
      <c r="M77" s="103"/>
      <c r="N77" s="157">
        <f>MouserListTable12[[#This Row],['# Initial]]*MouserListTable12[[#This Row],[Price (USD)]]</f>
        <v>19.75</v>
      </c>
      <c r="O77" s="106" t="s">
        <v>2495</v>
      </c>
      <c r="P77" s="103">
        <f t="shared" si="0"/>
        <v>64</v>
      </c>
      <c r="Q77" s="103" t="s">
        <v>8</v>
      </c>
      <c r="R7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474-CAB-11301</v>
      </c>
      <c r="S77" s="195" t="str">
        <f>HYPERLINK("https://www.mouser.com/ProductDetail/" &amp;MouserListTable12[[#This Row],[Mouser SKU]])</f>
        <v>https://www.mouser.com/ProductDetail/474-CAB-11301</v>
      </c>
      <c r="T77" s="121">
        <v>1</v>
      </c>
      <c r="U77" s="121">
        <v>0</v>
      </c>
      <c r="V77" s="121">
        <v>0</v>
      </c>
      <c r="W77" s="121">
        <f>MouserListTable12[[#This Row],['#/Unit]]*FilterSpecs!$C$3+MouserListTable12[[#This Row],[Extra]]</f>
        <v>5</v>
      </c>
      <c r="X77" s="121">
        <f>IF(MouserListTable12[[#This Row],[Tag]]=FilterSpecs!$F$7,MouserListTable12[[#This Row],['#/Unit]]*MouserListTable12[[#This Row],[Price (USD)]],0)</f>
        <v>3.95</v>
      </c>
      <c r="Y77" s="121">
        <f>MouserListTable12[[#This Row],[Tot '#]]*MouserListTable12[[#This Row],[Price (USD)]]</f>
        <v>19.75</v>
      </c>
      <c r="Z77"/>
    </row>
    <row r="78" spans="1:26" s="144" customFormat="1" hidden="1" x14ac:dyDescent="0.3">
      <c r="A78" s="126" t="s">
        <v>894</v>
      </c>
      <c r="B78" s="126" t="s">
        <v>2036</v>
      </c>
      <c r="C78" s="103" t="s">
        <v>1906</v>
      </c>
      <c r="D78" s="106" t="str">
        <f>IF(MouserListTable12[[#This Row],[Vendor]]=FilterSpecs!$A$8,MouserListTable12[[#This Row],[Mouser SKU]], MouserListTable12[[#This Row],[Supplier SKU]])</f>
        <v>474-CAB-13243</v>
      </c>
      <c r="E78" s="121">
        <f>MouserListTable12[[#This Row],[Tot '#]]-MouserListTable12[[#This Row],['# Initial]]</f>
        <v>0</v>
      </c>
      <c r="F78" s="121">
        <f>IF(AND(MouserListTable12[[#This Row],[Tag]]&lt;&gt;FilterSpecs!$F$12, MouserListTable12[[#This Row],[Tag]]&lt;&gt;FilterSpecs!$F$9), MouserListTable12[[#This Row],['#/Unit]]*FilterSpecs!$B$3+MouserListTable12[[#This Row],[Extra Initial]],0)</f>
        <v>0</v>
      </c>
      <c r="G78" s="103" t="s">
        <v>2500</v>
      </c>
      <c r="H78" s="103" t="s">
        <v>2501</v>
      </c>
      <c r="I78" s="103" t="s">
        <v>2502</v>
      </c>
      <c r="J78" s="103">
        <v>1</v>
      </c>
      <c r="K78" s="157">
        <v>1.95</v>
      </c>
      <c r="L78" s="103" t="s">
        <v>1911</v>
      </c>
      <c r="M78" s="103"/>
      <c r="N78" s="157">
        <f>MouserListTable12[[#This Row],['# Initial]]*MouserListTable12[[#This Row],[Price (USD)]]</f>
        <v>0</v>
      </c>
      <c r="O78" s="106" t="s">
        <v>2499</v>
      </c>
      <c r="P78" s="103">
        <f t="shared" ref="P78:P140" si="1">IF($P77="List #",1,$P77+1)</f>
        <v>65</v>
      </c>
      <c r="Q78" s="103" t="s">
        <v>8</v>
      </c>
      <c r="R7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474-CAB-13243</v>
      </c>
      <c r="S78" s="195" t="str">
        <f>HYPERLINK("https://www.mouser.com/ProductDetail/" &amp;MouserListTable12[[#This Row],[Mouser SKU]])</f>
        <v>https://www.mouser.com/ProductDetail/474-CAB-13243</v>
      </c>
      <c r="T78" s="121">
        <v>0</v>
      </c>
      <c r="U78" s="121">
        <v>0</v>
      </c>
      <c r="V78" s="121">
        <v>0</v>
      </c>
      <c r="W78" s="121">
        <f>MouserListTable12[[#This Row],['#/Unit]]*FilterSpecs!$C$3+MouserListTable12[[#This Row],[Extra]]</f>
        <v>0</v>
      </c>
      <c r="X78" s="121">
        <f>IF(MouserListTable12[[#This Row],[Tag]]=FilterSpecs!$F$7,MouserListTable12[[#This Row],['#/Unit]]*MouserListTable12[[#This Row],[Price (USD)]],0)</f>
        <v>0</v>
      </c>
      <c r="Y78" s="121">
        <f>MouserListTable12[[#This Row],[Tot '#]]*MouserListTable12[[#This Row],[Price (USD)]]</f>
        <v>0</v>
      </c>
      <c r="Z78"/>
    </row>
    <row r="79" spans="1:26" s="144" customFormat="1" hidden="1" x14ac:dyDescent="0.3">
      <c r="A79" s="103" t="s">
        <v>894</v>
      </c>
      <c r="B79" s="103" t="s">
        <v>2036</v>
      </c>
      <c r="C79" s="103" t="s">
        <v>1906</v>
      </c>
      <c r="D79" s="106" t="str">
        <f>IF(MouserListTable12[[#This Row],[Vendor]]=FilterSpecs!$A$8,MouserListTable12[[#This Row],[Mouser SKU]], MouserListTable12[[#This Row],[Supplier SKU]])</f>
        <v>474-CAB-10177</v>
      </c>
      <c r="E79" s="121">
        <f>MouserListTable12[[#This Row],[Tot '#]]-MouserListTable12[[#This Row],['# Initial]]</f>
        <v>1</v>
      </c>
      <c r="F79" s="121">
        <f>IF(AND(MouserListTable12[[#This Row],[Tag]]&lt;&gt;FilterSpecs!$F$12, MouserListTable12[[#This Row],[Tag]]&lt;&gt;FilterSpecs!$F$9), MouserListTable12[[#This Row],['#/Unit]]*FilterSpecs!$B$3+MouserListTable12[[#This Row],[Extra Initial]],0)</f>
        <v>0</v>
      </c>
      <c r="G79" s="103" t="s">
        <v>2504</v>
      </c>
      <c r="H79" s="103" t="s">
        <v>2505</v>
      </c>
      <c r="I79" s="103" t="s">
        <v>2506</v>
      </c>
      <c r="J79" s="103">
        <v>1</v>
      </c>
      <c r="K79" s="157">
        <v>2.95</v>
      </c>
      <c r="L79" s="103" t="s">
        <v>1910</v>
      </c>
      <c r="M79" s="103"/>
      <c r="N79" s="157">
        <f>MouserListTable12[[#This Row],['# Initial]]*MouserListTable12[[#This Row],[Price (USD)]]</f>
        <v>0</v>
      </c>
      <c r="O79" s="106" t="s">
        <v>2503</v>
      </c>
      <c r="P79" s="103">
        <f t="shared" si="1"/>
        <v>66</v>
      </c>
      <c r="Q79" s="103" t="s">
        <v>8</v>
      </c>
      <c r="R7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474-CAB-10177</v>
      </c>
      <c r="S79" s="195" t="str">
        <f>HYPERLINK("https://www.mouser.com/ProductDetail/" &amp;MouserListTable12[[#This Row],[Mouser SKU]])</f>
        <v>https://www.mouser.com/ProductDetail/474-CAB-10177</v>
      </c>
      <c r="T79" s="121">
        <v>0</v>
      </c>
      <c r="U79" s="121">
        <v>1</v>
      </c>
      <c r="V79" s="121">
        <v>0</v>
      </c>
      <c r="W79" s="121">
        <f>MouserListTable12[[#This Row],['#/Unit]]*FilterSpecs!$C$3+MouserListTable12[[#This Row],[Extra]]</f>
        <v>1</v>
      </c>
      <c r="X79" s="121">
        <f>IF(MouserListTable12[[#This Row],[Tag]]=FilterSpecs!$F$7,MouserListTable12[[#This Row],['#/Unit]]*MouserListTable12[[#This Row],[Price (USD)]],0)</f>
        <v>0</v>
      </c>
      <c r="Y79" s="121">
        <f>MouserListTable12[[#This Row],[Tot '#]]*MouserListTable12[[#This Row],[Price (USD)]]</f>
        <v>2.95</v>
      </c>
      <c r="Z79"/>
    </row>
    <row r="80" spans="1:26" s="144" customFormat="1" x14ac:dyDescent="0.3">
      <c r="A80" s="103" t="s">
        <v>894</v>
      </c>
      <c r="B80" s="103" t="s">
        <v>2036</v>
      </c>
      <c r="C80" s="103" t="s">
        <v>1906</v>
      </c>
      <c r="D80" s="106" t="str">
        <f>IF(MouserListTable12[[#This Row],[Vendor]]=FilterSpecs!$A$8,MouserListTable12[[#This Row],[Mouser SKU]], MouserListTable12[[#This Row],[Supplier SKU]])</f>
        <v>474-CAB-10215</v>
      </c>
      <c r="E80" s="121">
        <f>MouserListTable12[[#This Row],[Tot '#]]-MouserListTable12[[#This Row],['# Initial]]</f>
        <v>0</v>
      </c>
      <c r="F80" s="121">
        <f>IF(AND(MouserListTable12[[#This Row],[Tag]]&lt;&gt;FilterSpecs!$F$12, MouserListTable12[[#This Row],[Tag]]&lt;&gt;FilterSpecs!$F$9), MouserListTable12[[#This Row],['#/Unit]]*FilterSpecs!$B$3+MouserListTable12[[#This Row],[Extra Initial]],0)</f>
        <v>5</v>
      </c>
      <c r="G80" s="103" t="s">
        <v>1508</v>
      </c>
      <c r="H80" s="103" t="s">
        <v>1509</v>
      </c>
      <c r="I80" s="103" t="s">
        <v>1510</v>
      </c>
      <c r="J80" s="103">
        <v>1</v>
      </c>
      <c r="K80" s="157">
        <v>4.95</v>
      </c>
      <c r="L80" s="103" t="s">
        <v>1911</v>
      </c>
      <c r="M80" s="103"/>
      <c r="N80" s="157">
        <f>MouserListTable12[[#This Row],['# Initial]]*MouserListTable12[[#This Row],[Price (USD)]]</f>
        <v>24.75</v>
      </c>
      <c r="O80" s="106" t="s">
        <v>1507</v>
      </c>
      <c r="P80" s="103">
        <f t="shared" si="1"/>
        <v>67</v>
      </c>
      <c r="Q80" s="103" t="s">
        <v>8</v>
      </c>
      <c r="R8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474-CAB-10215</v>
      </c>
      <c r="S80" s="195" t="str">
        <f>HYPERLINK("https://www.mouser.com/ProductDetail/" &amp;MouserListTable12[[#This Row],[Mouser SKU]])</f>
        <v>https://www.mouser.com/ProductDetail/474-CAB-10215</v>
      </c>
      <c r="T80" s="121">
        <v>1</v>
      </c>
      <c r="U80" s="121">
        <v>0</v>
      </c>
      <c r="V80" s="121">
        <v>0</v>
      </c>
      <c r="W80" s="121">
        <f>MouserListTable12[[#This Row],['#/Unit]]*FilterSpecs!$C$3+MouserListTable12[[#This Row],[Extra]]</f>
        <v>5</v>
      </c>
      <c r="X80" s="121">
        <f>IF(MouserListTable12[[#This Row],[Tag]]=FilterSpecs!$F$7,MouserListTable12[[#This Row],['#/Unit]]*MouserListTable12[[#This Row],[Price (USD)]],0)</f>
        <v>4.95</v>
      </c>
      <c r="Y80" s="121">
        <f>MouserListTable12[[#This Row],[Tot '#]]*MouserListTable12[[#This Row],[Price (USD)]]</f>
        <v>24.75</v>
      </c>
      <c r="Z80"/>
    </row>
    <row r="81" spans="1:26" s="144" customFormat="1" hidden="1" x14ac:dyDescent="0.3">
      <c r="A81" s="126" t="s">
        <v>894</v>
      </c>
      <c r="B81" s="126" t="s">
        <v>2036</v>
      </c>
      <c r="C81" s="103" t="s">
        <v>1906</v>
      </c>
      <c r="D81" s="106" t="str">
        <f>IF(MouserListTable12[[#This Row],[Vendor]]=FilterSpecs!$A$8,MouserListTable12[[#This Row],[Mouser SKU]], MouserListTable12[[#This Row],[Supplier SKU]])</f>
        <v>474-CAB-13244</v>
      </c>
      <c r="E81" s="121">
        <f>MouserListTable12[[#This Row],[Tot '#]]-MouserListTable12[[#This Row],['# Initial]]</f>
        <v>0</v>
      </c>
      <c r="F81" s="121">
        <f>IF(AND(MouserListTable12[[#This Row],[Tag]]&lt;&gt;FilterSpecs!$F$12, MouserListTable12[[#This Row],[Tag]]&lt;&gt;FilterSpecs!$F$9), MouserListTable12[[#This Row],['#/Unit]]*FilterSpecs!$B$3+MouserListTable12[[#This Row],[Extra Initial]],0)</f>
        <v>0</v>
      </c>
      <c r="G81" s="103" t="s">
        <v>1512</v>
      </c>
      <c r="H81" s="103" t="s">
        <v>1513</v>
      </c>
      <c r="I81" s="103" t="s">
        <v>1514</v>
      </c>
      <c r="J81" s="103">
        <v>1</v>
      </c>
      <c r="K81" s="157">
        <v>1.95</v>
      </c>
      <c r="L81" s="103" t="s">
        <v>1910</v>
      </c>
      <c r="M81" s="103"/>
      <c r="N81" s="157">
        <f>MouserListTable12[[#This Row],['# Initial]]*MouserListTable12[[#This Row],[Price (USD)]]</f>
        <v>0</v>
      </c>
      <c r="O81" s="106" t="s">
        <v>1511</v>
      </c>
      <c r="P81" s="103">
        <f t="shared" si="1"/>
        <v>68</v>
      </c>
      <c r="Q81" s="103" t="s">
        <v>8</v>
      </c>
      <c r="R8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474-CAB-13244</v>
      </c>
      <c r="S81" s="195" t="str">
        <f>HYPERLINK("https://www.mouser.com/ProductDetail/" &amp;MouserListTable12[[#This Row],[Mouser SKU]])</f>
        <v>https://www.mouser.com/ProductDetail/474-CAB-13244</v>
      </c>
      <c r="T81" s="121">
        <v>0</v>
      </c>
      <c r="U81" s="121">
        <v>0</v>
      </c>
      <c r="V81" s="121">
        <v>0</v>
      </c>
      <c r="W81" s="121">
        <f>MouserListTable12[[#This Row],['#/Unit]]*FilterSpecs!$C$3+MouserListTable12[[#This Row],[Extra]]</f>
        <v>0</v>
      </c>
      <c r="X81" s="121">
        <f>IF(MouserListTable12[[#This Row],[Tag]]=FilterSpecs!$F$7,MouserListTable12[[#This Row],['#/Unit]]*MouserListTable12[[#This Row],[Price (USD)]],0)</f>
        <v>0</v>
      </c>
      <c r="Y81" s="121">
        <f>MouserListTable12[[#This Row],[Tot '#]]*MouserListTable12[[#This Row],[Price (USD)]]</f>
        <v>0</v>
      </c>
      <c r="Z81"/>
    </row>
    <row r="82" spans="1:26" s="146" customFormat="1" hidden="1" x14ac:dyDescent="0.3">
      <c r="A82" s="103" t="s">
        <v>894</v>
      </c>
      <c r="B82" s="103" t="s">
        <v>2036</v>
      </c>
      <c r="C82" s="103" t="s">
        <v>1906</v>
      </c>
      <c r="D82" s="106" t="str">
        <f>IF(MouserListTable12[[#This Row],[Vendor]]=FilterSpecs!$A$8,MouserListTable12[[#This Row],[Mouser SKU]], MouserListTable12[[#This Row],[Supplier SKU]])</f>
        <v>474-CAB-11579</v>
      </c>
      <c r="E82" s="121">
        <f>MouserListTable12[[#This Row],[Tot '#]]-MouserListTable12[[#This Row],['# Initial]]</f>
        <v>1</v>
      </c>
      <c r="F82" s="121">
        <f>IF(AND(MouserListTable12[[#This Row],[Tag]]&lt;&gt;FilterSpecs!$F$12, MouserListTable12[[#This Row],[Tag]]&lt;&gt;FilterSpecs!$F$9), MouserListTable12[[#This Row],['#/Unit]]*FilterSpecs!$B$3+MouserListTable12[[#This Row],[Extra Initial]],0)</f>
        <v>0</v>
      </c>
      <c r="G82" s="103" t="s">
        <v>249</v>
      </c>
      <c r="H82" s="103" t="s">
        <v>250</v>
      </c>
      <c r="I82" s="103" t="s">
        <v>251</v>
      </c>
      <c r="J82" s="146">
        <v>1</v>
      </c>
      <c r="K82" s="157">
        <v>4.95</v>
      </c>
      <c r="L82" s="103" t="s">
        <v>1910</v>
      </c>
      <c r="M82" s="106"/>
      <c r="N82" s="157">
        <f>MouserListTable12[[#This Row],['# Initial]]*MouserListTable12[[#This Row],[Price (USD)]]</f>
        <v>0</v>
      </c>
      <c r="O82" s="106" t="s">
        <v>248</v>
      </c>
      <c r="P82" s="103">
        <f t="shared" si="1"/>
        <v>69</v>
      </c>
      <c r="Q82" s="103" t="s">
        <v>8</v>
      </c>
      <c r="R8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474-CAB-11579</v>
      </c>
      <c r="S82" s="195" t="str">
        <f>HYPERLINK("https://www.mouser.com/ProductDetail/" &amp;MouserListTable12[[#This Row],[Mouser SKU]])</f>
        <v>https://www.mouser.com/ProductDetail/474-CAB-11579</v>
      </c>
      <c r="T82" s="121">
        <v>0</v>
      </c>
      <c r="U82" s="121">
        <v>1</v>
      </c>
      <c r="V82" s="121">
        <v>0</v>
      </c>
      <c r="W82" s="121">
        <f>MouserListTable12[[#This Row],['#/Unit]]*FilterSpecs!$C$3+MouserListTable12[[#This Row],[Extra]]</f>
        <v>1</v>
      </c>
      <c r="X82" s="121">
        <f>IF(MouserListTable12[[#This Row],[Tag]]=FilterSpecs!$F$7,MouserListTable12[[#This Row],['#/Unit]]*MouserListTable12[[#This Row],[Price (USD)]],0)</f>
        <v>0</v>
      </c>
      <c r="Y82" s="121">
        <f>MouserListTable12[[#This Row],[Tot '#]]*MouserListTable12[[#This Row],[Price (USD)]]</f>
        <v>4.95</v>
      </c>
      <c r="Z82"/>
    </row>
    <row r="83" spans="1:26" s="146" customFormat="1" hidden="1" x14ac:dyDescent="0.3">
      <c r="A83" s="103" t="s">
        <v>894</v>
      </c>
      <c r="B83" s="103" t="s">
        <v>2064</v>
      </c>
      <c r="C83" s="103" t="s">
        <v>1906</v>
      </c>
      <c r="D83" s="106" t="str">
        <f>IF(MouserListTable12[[#This Row],[Vendor]]=FilterSpecs!$A$8,MouserListTable12[[#This Row],[Mouser SKU]], MouserListTable12[[#This Row],[Supplier SKU]])</f>
        <v>485-2727</v>
      </c>
      <c r="E83" s="121">
        <f>MouserListTable12[[#This Row],[Tot '#]]-MouserListTable12[[#This Row],['# Initial]]</f>
        <v>0</v>
      </c>
      <c r="F83" s="121">
        <f>IF(AND(MouserListTable12[[#This Row],[Tag]]&lt;&gt;FilterSpecs!$F$12, MouserListTable12[[#This Row],[Tag]]&lt;&gt;FilterSpecs!$F$9), MouserListTable12[[#This Row],['#/Unit]]*FilterSpecs!$B$3+MouserListTable12[[#This Row],[Extra Initial]],0)</f>
        <v>0</v>
      </c>
      <c r="G83" s="103"/>
      <c r="H83" s="103"/>
      <c r="I83" s="126" t="s">
        <v>2302</v>
      </c>
      <c r="K83" s="158">
        <v>1.95</v>
      </c>
      <c r="L83" s="126" t="s">
        <v>1910</v>
      </c>
      <c r="N83" s="157">
        <f>MouserListTable12[[#This Row],['# Initial]]*MouserListTable12[[#This Row],[Price (USD)]]</f>
        <v>0</v>
      </c>
      <c r="O83" s="106" t="s">
        <v>2301</v>
      </c>
      <c r="P83" s="103">
        <f t="shared" si="1"/>
        <v>70</v>
      </c>
      <c r="Q83" s="103" t="s">
        <v>1898</v>
      </c>
      <c r="R8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485-2727</v>
      </c>
      <c r="S83" s="195" t="str">
        <f>HYPERLINK("https://www.mouser.com/ProductDetail/" &amp;MouserListTable12[[#This Row],[Mouser SKU]])</f>
        <v>https://www.mouser.com/ProductDetail/485-2727</v>
      </c>
      <c r="T83" s="121">
        <v>0</v>
      </c>
      <c r="U83" s="121">
        <v>0</v>
      </c>
      <c r="V83" s="121">
        <v>0</v>
      </c>
      <c r="W83" s="121">
        <f>MouserListTable12[[#This Row],['#/Unit]]*FilterSpecs!$C$3+MouserListTable12[[#This Row],[Extra]]</f>
        <v>0</v>
      </c>
      <c r="X83" s="121">
        <f>IF(MouserListTable12[[#This Row],[Tag]]=FilterSpecs!$F$7,MouserListTable12[[#This Row],['#/Unit]]*MouserListTable12[[#This Row],[Price (USD)]],0)</f>
        <v>0</v>
      </c>
      <c r="Y83" s="121">
        <f>MouserListTable12[[#This Row],[Tot '#]]*MouserListTable12[[#This Row],[Price (USD)]]</f>
        <v>0</v>
      </c>
      <c r="Z83"/>
    </row>
    <row r="84" spans="1:26" s="146" customFormat="1" hidden="1" x14ac:dyDescent="0.3">
      <c r="A84" s="103" t="s">
        <v>894</v>
      </c>
      <c r="B84" s="103" t="s">
        <v>2064</v>
      </c>
      <c r="C84" s="103" t="s">
        <v>1906</v>
      </c>
      <c r="D84" s="106" t="str">
        <f>IF(MouserListTable12[[#This Row],[Vendor]]=FilterSpecs!$A$8,MouserListTable12[[#This Row],[Mouser SKU]], MouserListTable12[[#This Row],[Supplier SKU]])</f>
        <v>485-988</v>
      </c>
      <c r="E84" s="121">
        <f>MouserListTable12[[#This Row],[Tot '#]]-MouserListTable12[[#This Row],['# Initial]]</f>
        <v>0</v>
      </c>
      <c r="F84" s="121">
        <f>IF(AND(MouserListTable12[[#This Row],[Tag]]&lt;&gt;FilterSpecs!$F$12, MouserListTable12[[#This Row],[Tag]]&lt;&gt;FilterSpecs!$F$9), MouserListTable12[[#This Row],['#/Unit]]*FilterSpecs!$B$3+MouserListTable12[[#This Row],[Extra Initial]],0)</f>
        <v>0</v>
      </c>
      <c r="G84" s="103"/>
      <c r="H84" s="103"/>
      <c r="I84" s="126" t="s">
        <v>2304</v>
      </c>
      <c r="K84" s="158">
        <v>2.95</v>
      </c>
      <c r="L84" s="126" t="s">
        <v>1910</v>
      </c>
      <c r="N84" s="157">
        <f>MouserListTable12[[#This Row],['# Initial]]*MouserListTable12[[#This Row],[Price (USD)]]</f>
        <v>0</v>
      </c>
      <c r="O84" s="106" t="s">
        <v>2303</v>
      </c>
      <c r="P84" s="103">
        <f t="shared" si="1"/>
        <v>71</v>
      </c>
      <c r="Q84" s="103" t="s">
        <v>1898</v>
      </c>
      <c r="R8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485-988</v>
      </c>
      <c r="S84" s="195" t="str">
        <f>HYPERLINK("https://www.mouser.com/ProductDetail/" &amp;MouserListTable12[[#This Row],[Mouser SKU]])</f>
        <v>https://www.mouser.com/ProductDetail/485-988</v>
      </c>
      <c r="T84" s="121">
        <v>0</v>
      </c>
      <c r="U84" s="121">
        <v>0</v>
      </c>
      <c r="V84" s="121">
        <v>0</v>
      </c>
      <c r="W84" s="121">
        <f>MouserListTable12[[#This Row],['#/Unit]]*FilterSpecs!$C$3+MouserListTable12[[#This Row],[Extra]]</f>
        <v>0</v>
      </c>
      <c r="X84" s="121">
        <f>IF(MouserListTable12[[#This Row],[Tag]]=FilterSpecs!$F$7,MouserListTable12[[#This Row],['#/Unit]]*MouserListTable12[[#This Row],[Price (USD)]],0)</f>
        <v>0</v>
      </c>
      <c r="Y84" s="121">
        <f>MouserListTable12[[#This Row],[Tot '#]]*MouserListTable12[[#This Row],[Price (USD)]]</f>
        <v>0</v>
      </c>
      <c r="Z84"/>
    </row>
    <row r="85" spans="1:26" s="146" customFormat="1" hidden="1" x14ac:dyDescent="0.3">
      <c r="A85" s="103" t="s">
        <v>894</v>
      </c>
      <c r="B85" s="103" t="s">
        <v>2064</v>
      </c>
      <c r="C85" s="103" t="s">
        <v>1906</v>
      </c>
      <c r="D85" s="106" t="str">
        <f>IF(MouserListTable12[[#This Row],[Vendor]]=FilterSpecs!$A$8,MouserListTable12[[#This Row],[Mouser SKU]], MouserListTable12[[#This Row],[Supplier SKU]])</f>
        <v>485-2778</v>
      </c>
      <c r="E85" s="121">
        <f>MouserListTable12[[#This Row],[Tot '#]]-MouserListTable12[[#This Row],['# Initial]]</f>
        <v>2</v>
      </c>
      <c r="F85" s="121">
        <f>IF(AND(MouserListTable12[[#This Row],[Tag]]&lt;&gt;FilterSpecs!$F$12, MouserListTable12[[#This Row],[Tag]]&lt;&gt;FilterSpecs!$F$9), MouserListTable12[[#This Row],['#/Unit]]*FilterSpecs!$B$3+MouserListTable12[[#This Row],[Extra Initial]],0)</f>
        <v>0</v>
      </c>
      <c r="G85" s="103"/>
      <c r="H85" s="103"/>
      <c r="I85" s="103" t="s">
        <v>2306</v>
      </c>
      <c r="K85" s="157">
        <v>6.5</v>
      </c>
      <c r="L85" s="103" t="s">
        <v>1910</v>
      </c>
      <c r="M85" s="106"/>
      <c r="N85" s="157">
        <f>MouserListTable12[[#This Row],['# Initial]]*MouserListTable12[[#This Row],[Price (USD)]]</f>
        <v>0</v>
      </c>
      <c r="O85" s="106" t="s">
        <v>2305</v>
      </c>
      <c r="P85" s="103">
        <f t="shared" si="1"/>
        <v>72</v>
      </c>
      <c r="Q85" s="103" t="s">
        <v>1898</v>
      </c>
      <c r="R8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485-2778</v>
      </c>
      <c r="S85" s="195" t="str">
        <f>HYPERLINK("https://www.mouser.com/ProductDetail/" &amp;MouserListTable12[[#This Row],[Mouser SKU]])</f>
        <v>https://www.mouser.com/ProductDetail/485-2778</v>
      </c>
      <c r="T85" s="121">
        <v>0</v>
      </c>
      <c r="U85" s="121">
        <v>2</v>
      </c>
      <c r="V85" s="121">
        <v>0</v>
      </c>
      <c r="W85" s="121">
        <f>MouserListTable12[[#This Row],['#/Unit]]*FilterSpecs!$C$3+MouserListTable12[[#This Row],[Extra]]</f>
        <v>2</v>
      </c>
      <c r="X85" s="121">
        <f>IF(MouserListTable12[[#This Row],[Tag]]=FilterSpecs!$F$7,MouserListTable12[[#This Row],['#/Unit]]*MouserListTable12[[#This Row],[Price (USD)]],0)</f>
        <v>0</v>
      </c>
      <c r="Y85" s="121">
        <f>MouserListTable12[[#This Row],[Tot '#]]*MouserListTable12[[#This Row],[Price (USD)]]</f>
        <v>13</v>
      </c>
      <c r="Z85"/>
    </row>
    <row r="86" spans="1:26" s="146" customFormat="1" hidden="1" x14ac:dyDescent="0.3">
      <c r="A86" s="103" t="s">
        <v>894</v>
      </c>
      <c r="B86" s="103" t="s">
        <v>2064</v>
      </c>
      <c r="C86" s="103" t="s">
        <v>1906</v>
      </c>
      <c r="D86" s="106" t="str">
        <f>IF(MouserListTable12[[#This Row],[Vendor]]=FilterSpecs!$A$8,MouserListTable12[[#This Row],[Mouser SKU]], MouserListTable12[[#This Row],[Supplier SKU]])</f>
        <v>485-2777</v>
      </c>
      <c r="E86" s="121">
        <f>MouserListTable12[[#This Row],[Tot '#]]-MouserListTable12[[#This Row],['# Initial]]</f>
        <v>0</v>
      </c>
      <c r="F86" s="121">
        <f>IF(AND(MouserListTable12[[#This Row],[Tag]]&lt;&gt;FilterSpecs!$F$12, MouserListTable12[[#This Row],[Tag]]&lt;&gt;FilterSpecs!$F$9), MouserListTable12[[#This Row],['#/Unit]]*FilterSpecs!$B$3+MouserListTable12[[#This Row],[Extra Initial]],0)</f>
        <v>0</v>
      </c>
      <c r="G86" s="103"/>
      <c r="H86" s="103"/>
      <c r="I86" s="126" t="s">
        <v>2308</v>
      </c>
      <c r="K86" s="158">
        <v>6.5</v>
      </c>
      <c r="L86" s="126" t="s">
        <v>1910</v>
      </c>
      <c r="N86" s="157">
        <f>MouserListTable12[[#This Row],['# Initial]]*MouserListTable12[[#This Row],[Price (USD)]]</f>
        <v>0</v>
      </c>
      <c r="O86" s="106" t="s">
        <v>2307</v>
      </c>
      <c r="P86" s="103">
        <f t="shared" si="1"/>
        <v>73</v>
      </c>
      <c r="Q86" s="103" t="s">
        <v>1898</v>
      </c>
      <c r="R8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485-2777</v>
      </c>
      <c r="S86" s="195" t="str">
        <f>HYPERLINK("https://www.mouser.com/ProductDetail/" &amp;MouserListTable12[[#This Row],[Mouser SKU]])</f>
        <v>https://www.mouser.com/ProductDetail/485-2777</v>
      </c>
      <c r="T86" s="121">
        <v>0</v>
      </c>
      <c r="U86" s="121">
        <v>0</v>
      </c>
      <c r="V86" s="121">
        <v>0</v>
      </c>
      <c r="W86" s="121">
        <f>MouserListTable12[[#This Row],['#/Unit]]*FilterSpecs!$C$3+MouserListTable12[[#This Row],[Extra]]</f>
        <v>0</v>
      </c>
      <c r="X86" s="121">
        <f>IF(MouserListTable12[[#This Row],[Tag]]=FilterSpecs!$F$7,MouserListTable12[[#This Row],['#/Unit]]*MouserListTable12[[#This Row],[Price (USD)]],0)</f>
        <v>0</v>
      </c>
      <c r="Y86" s="121">
        <f>MouserListTable12[[#This Row],[Tot '#]]*MouserListTable12[[#This Row],[Price (USD)]]</f>
        <v>0</v>
      </c>
      <c r="Z86"/>
    </row>
    <row r="87" spans="1:26" s="146" customFormat="1" hidden="1" x14ac:dyDescent="0.3">
      <c r="A87" s="103" t="s">
        <v>894</v>
      </c>
      <c r="B87" s="103" t="s">
        <v>2064</v>
      </c>
      <c r="C87" s="103" t="s">
        <v>1906</v>
      </c>
      <c r="D87" s="106" t="str">
        <f>IF(MouserListTable12[[#This Row],[Vendor]]=FilterSpecs!$A$8,MouserListTable12[[#This Row],[Mouser SKU]], MouserListTable12[[#This Row],[Supplier SKU]])</f>
        <v>485-2697</v>
      </c>
      <c r="E87" s="121">
        <f>MouserListTable12[[#This Row],[Tot '#]]-MouserListTable12[[#This Row],['# Initial]]</f>
        <v>0</v>
      </c>
      <c r="F87" s="121">
        <f>IF(AND(MouserListTable12[[#This Row],[Tag]]&lt;&gt;FilterSpecs!$F$12, MouserListTable12[[#This Row],[Tag]]&lt;&gt;FilterSpecs!$F$9), MouserListTable12[[#This Row],['#/Unit]]*FilterSpecs!$B$3+MouserListTable12[[#This Row],[Extra Initial]],0)</f>
        <v>0</v>
      </c>
      <c r="G87" s="103"/>
      <c r="H87" s="103"/>
      <c r="I87" s="126" t="s">
        <v>2310</v>
      </c>
      <c r="K87" s="158">
        <v>2.75</v>
      </c>
      <c r="L87" s="126" t="s">
        <v>1910</v>
      </c>
      <c r="N87" s="157">
        <f>MouserListTable12[[#This Row],['# Initial]]*MouserListTable12[[#This Row],[Price (USD)]]</f>
        <v>0</v>
      </c>
      <c r="O87" s="106" t="s">
        <v>2309</v>
      </c>
      <c r="P87" s="103">
        <f t="shared" si="1"/>
        <v>74</v>
      </c>
      <c r="Q87" s="103" t="s">
        <v>1898</v>
      </c>
      <c r="R8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485-2697</v>
      </c>
      <c r="S87" s="195" t="str">
        <f>HYPERLINK("https://www.mouser.com/ProductDetail/" &amp;MouserListTable12[[#This Row],[Mouser SKU]])</f>
        <v>https://www.mouser.com/ProductDetail/485-2697</v>
      </c>
      <c r="T87" s="121">
        <v>0</v>
      </c>
      <c r="U87" s="121">
        <v>0</v>
      </c>
      <c r="V87" s="121">
        <v>0</v>
      </c>
      <c r="W87" s="121">
        <f>MouserListTable12[[#This Row],['#/Unit]]*FilterSpecs!$C$3+MouserListTable12[[#This Row],[Extra]]</f>
        <v>0</v>
      </c>
      <c r="X87" s="121">
        <f>IF(MouserListTable12[[#This Row],[Tag]]=FilterSpecs!$F$7,MouserListTable12[[#This Row],['#/Unit]]*MouserListTable12[[#This Row],[Price (USD)]],0)</f>
        <v>0</v>
      </c>
      <c r="Y87" s="121">
        <f>MouserListTable12[[#This Row],[Tot '#]]*MouserListTable12[[#This Row],[Price (USD)]]</f>
        <v>0</v>
      </c>
      <c r="Z87"/>
    </row>
    <row r="88" spans="1:26" s="146" customFormat="1" x14ac:dyDescent="0.3">
      <c r="A88" s="103" t="s">
        <v>894</v>
      </c>
      <c r="B88" s="103" t="s">
        <v>2064</v>
      </c>
      <c r="C88" s="103" t="s">
        <v>1906</v>
      </c>
      <c r="D88" s="106" t="str">
        <f>IF(MouserListTable12[[#This Row],[Vendor]]=FilterSpecs!$A$8,MouserListTable12[[#This Row],[Mouser SKU]], MouserListTable12[[#This Row],[Supplier SKU]])</f>
        <v>485-2789</v>
      </c>
      <c r="E88" s="121">
        <f>MouserListTable12[[#This Row],[Tot '#]]-MouserListTable12[[#This Row],['# Initial]]</f>
        <v>0</v>
      </c>
      <c r="F88" s="121">
        <f>IF(AND(MouserListTable12[[#This Row],[Tag]]&lt;&gt;FilterSpecs!$F$12, MouserListTable12[[#This Row],[Tag]]&lt;&gt;FilterSpecs!$F$9), MouserListTable12[[#This Row],['#/Unit]]*FilterSpecs!$B$3+MouserListTable12[[#This Row],[Extra Initial]],0)</f>
        <v>5</v>
      </c>
      <c r="G88" s="103"/>
      <c r="H88" s="103"/>
      <c r="I88" s="103" t="s">
        <v>2313</v>
      </c>
      <c r="K88" s="157">
        <v>1.95</v>
      </c>
      <c r="L88" s="103" t="s">
        <v>1911</v>
      </c>
      <c r="M88" s="106"/>
      <c r="N88" s="157">
        <f>MouserListTable12[[#This Row],['# Initial]]*MouserListTable12[[#This Row],[Price (USD)]]</f>
        <v>9.75</v>
      </c>
      <c r="O88" s="106" t="s">
        <v>2312</v>
      </c>
      <c r="P88" s="103">
        <f t="shared" si="1"/>
        <v>75</v>
      </c>
      <c r="Q88" s="103" t="s">
        <v>1898</v>
      </c>
      <c r="R8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485-2789</v>
      </c>
      <c r="S88" s="195" t="str">
        <f>HYPERLINK("https://www.mouser.com/ProductDetail/" &amp;MouserListTable12[[#This Row],[Mouser SKU]])</f>
        <v>https://www.mouser.com/ProductDetail/485-2789</v>
      </c>
      <c r="T88" s="121">
        <v>1</v>
      </c>
      <c r="U88" s="121">
        <v>0</v>
      </c>
      <c r="V88" s="121">
        <v>0</v>
      </c>
      <c r="W88" s="121">
        <f>MouserListTable12[[#This Row],['#/Unit]]*FilterSpecs!$C$3+MouserListTable12[[#This Row],[Extra]]</f>
        <v>5</v>
      </c>
      <c r="X88" s="121">
        <f>IF(MouserListTable12[[#This Row],[Tag]]=FilterSpecs!$F$7,MouserListTable12[[#This Row],['#/Unit]]*MouserListTable12[[#This Row],[Price (USD)]],0)</f>
        <v>1.95</v>
      </c>
      <c r="Y88" s="121">
        <f>MouserListTable12[[#This Row],[Tot '#]]*MouserListTable12[[#This Row],[Price (USD)]]</f>
        <v>9.75</v>
      </c>
      <c r="Z88"/>
    </row>
    <row r="89" spans="1:26" s="146" customFormat="1" x14ac:dyDescent="0.3">
      <c r="A89" s="103" t="s">
        <v>894</v>
      </c>
      <c r="B89" s="103" t="s">
        <v>2040</v>
      </c>
      <c r="C89" s="103" t="s">
        <v>1906</v>
      </c>
      <c r="D89" s="106" t="str">
        <f>IF(MouserListTable12[[#This Row],[Vendor]]=FilterSpecs!$A$8,MouserListTable12[[#This Row],[Mouser SKU]], MouserListTable12[[#This Row],[Supplier SKU]])</f>
        <v>474-DEV-13158</v>
      </c>
      <c r="E89" s="121">
        <f>MouserListTable12[[#This Row],[Tot '#]]-MouserListTable12[[#This Row],['# Initial]]</f>
        <v>0</v>
      </c>
      <c r="F89" s="121">
        <f>IF(AND(MouserListTable12[[#This Row],[Tag]]&lt;&gt;FilterSpecs!$F$12, MouserListTable12[[#This Row],[Tag]]&lt;&gt;FilterSpecs!$F$9), MouserListTable12[[#This Row],['#/Unit]]*FilterSpecs!$B$3+MouserListTable12[[#This Row],[Extra Initial]],0)</f>
        <v>5</v>
      </c>
      <c r="G89" s="103" t="s">
        <v>37</v>
      </c>
      <c r="H89" s="103" t="s">
        <v>38</v>
      </c>
      <c r="I89" s="103" t="s">
        <v>39</v>
      </c>
      <c r="J89" s="146">
        <v>1</v>
      </c>
      <c r="K89" s="157">
        <v>29.95</v>
      </c>
      <c r="L89" s="103" t="s">
        <v>1911</v>
      </c>
      <c r="M89" s="106"/>
      <c r="N89" s="157">
        <f>MouserListTable12[[#This Row],['# Initial]]*MouserListTable12[[#This Row],[Price (USD)]]</f>
        <v>149.75</v>
      </c>
      <c r="O89" s="106" t="s">
        <v>36</v>
      </c>
      <c r="P89" s="103">
        <f t="shared" si="1"/>
        <v>76</v>
      </c>
      <c r="Q89" s="103" t="s">
        <v>8</v>
      </c>
      <c r="R8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474-DEV-13158</v>
      </c>
      <c r="S89" s="195" t="str">
        <f>HYPERLINK("https://www.mouser.com/ProductDetail/" &amp;MouserListTable12[[#This Row],[Mouser SKU]])</f>
        <v>https://www.mouser.com/ProductDetail/474-DEV-13158</v>
      </c>
      <c r="T89" s="121">
        <v>1</v>
      </c>
      <c r="U89" s="121">
        <v>0</v>
      </c>
      <c r="V89" s="121">
        <v>0</v>
      </c>
      <c r="W89" s="121">
        <f>MouserListTable12[[#This Row],['#/Unit]]*FilterSpecs!$C$3+MouserListTable12[[#This Row],[Extra]]</f>
        <v>5</v>
      </c>
      <c r="X89" s="121">
        <f>IF(MouserListTable12[[#This Row],[Tag]]=FilterSpecs!$F$7,MouserListTable12[[#This Row],['#/Unit]]*MouserListTable12[[#This Row],[Price (USD)]],0)</f>
        <v>29.95</v>
      </c>
      <c r="Y89" s="121">
        <f>MouserListTable12[[#This Row],[Tot '#]]*MouserListTable12[[#This Row],[Price (USD)]]</f>
        <v>149.75</v>
      </c>
      <c r="Z89"/>
    </row>
    <row r="90" spans="1:26" s="146" customFormat="1" x14ac:dyDescent="0.3">
      <c r="A90" s="103" t="s">
        <v>894</v>
      </c>
      <c r="B90" s="103" t="s">
        <v>2040</v>
      </c>
      <c r="C90" s="103" t="s">
        <v>1906</v>
      </c>
      <c r="D90" s="106" t="str">
        <f>IF(MouserListTable12[[#This Row],[Vendor]]=FilterSpecs!$A$8,MouserListTable12[[#This Row],[Mouser SKU]], MouserListTable12[[#This Row],[Supplier SKU]])</f>
        <v>474-PRT-12711</v>
      </c>
      <c r="E90" s="121">
        <f>MouserListTable12[[#This Row],[Tot '#]]-MouserListTable12[[#This Row],['# Initial]]</f>
        <v>0</v>
      </c>
      <c r="F90" s="121">
        <f>IF(AND(MouserListTable12[[#This Row],[Tag]]&lt;&gt;FilterSpecs!$F$12, MouserListTable12[[#This Row],[Tag]]&lt;&gt;FilterSpecs!$F$9), MouserListTable12[[#This Row],['#/Unit]]*FilterSpecs!$B$3+MouserListTable12[[#This Row],[Extra Initial]],0)</f>
        <v>5</v>
      </c>
      <c r="G90" s="103" t="s">
        <v>41</v>
      </c>
      <c r="H90" s="103" t="s">
        <v>42</v>
      </c>
      <c r="I90" s="103" t="s">
        <v>43</v>
      </c>
      <c r="J90" s="146">
        <v>1</v>
      </c>
      <c r="K90" s="157">
        <v>14.95</v>
      </c>
      <c r="L90" s="103" t="s">
        <v>1911</v>
      </c>
      <c r="M90" s="106"/>
      <c r="N90" s="157">
        <f>MouserListTable12[[#This Row],['# Initial]]*MouserListTable12[[#This Row],[Price (USD)]]</f>
        <v>74.75</v>
      </c>
      <c r="O90" s="106" t="s">
        <v>40</v>
      </c>
      <c r="P90" s="103">
        <f t="shared" si="1"/>
        <v>77</v>
      </c>
      <c r="Q90" s="103" t="s">
        <v>8</v>
      </c>
      <c r="R9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474-PRT-12711</v>
      </c>
      <c r="S90" s="195" t="str">
        <f>HYPERLINK("https://www.mouser.com/ProductDetail/" &amp;MouserListTable12[[#This Row],[Mouser SKU]])</f>
        <v>https://www.mouser.com/ProductDetail/474-PRT-12711</v>
      </c>
      <c r="T90" s="121">
        <v>1</v>
      </c>
      <c r="U90" s="121">
        <v>0</v>
      </c>
      <c r="V90" s="121">
        <v>0</v>
      </c>
      <c r="W90" s="121">
        <f>MouserListTable12[[#This Row],['#/Unit]]*FilterSpecs!$C$3+MouserListTable12[[#This Row],[Extra]]</f>
        <v>5</v>
      </c>
      <c r="X90" s="121">
        <f>IF(MouserListTable12[[#This Row],[Tag]]=FilterSpecs!$F$7,MouserListTable12[[#This Row],['#/Unit]]*MouserListTable12[[#This Row],[Price (USD)]],0)</f>
        <v>14.95</v>
      </c>
      <c r="Y90" s="121">
        <f>MouserListTable12[[#This Row],[Tot '#]]*MouserListTable12[[#This Row],[Price (USD)]]</f>
        <v>74.75</v>
      </c>
      <c r="Z90"/>
    </row>
    <row r="91" spans="1:26" s="146" customFormat="1" hidden="1" x14ac:dyDescent="0.3">
      <c r="A91" s="103" t="s">
        <v>894</v>
      </c>
      <c r="B91" s="103" t="s">
        <v>2040</v>
      </c>
      <c r="C91" s="103" t="s">
        <v>1906</v>
      </c>
      <c r="D91" s="106" t="str">
        <f>IF(MouserListTable12[[#This Row],[Vendor]]=FilterSpecs!$A$8,MouserListTable12[[#This Row],[Mouser SKU]], MouserListTable12[[#This Row],[Supplier SKU]])</f>
        <v>474-PRT-13777</v>
      </c>
      <c r="E91" s="121">
        <f>MouserListTable12[[#This Row],[Tot '#]]-MouserListTable12[[#This Row],['# Initial]]</f>
        <v>1</v>
      </c>
      <c r="F91" s="121">
        <f>IF(AND(MouserListTable12[[#This Row],[Tag]]&lt;&gt;FilterSpecs!$F$12, MouserListTable12[[#This Row],[Tag]]&lt;&gt;FilterSpecs!$F$9), MouserListTable12[[#This Row],['#/Unit]]*FilterSpecs!$B$3+MouserListTable12[[#This Row],[Extra Initial]],0)</f>
        <v>0</v>
      </c>
      <c r="G91" s="103" t="s">
        <v>49</v>
      </c>
      <c r="H91" s="103" t="s">
        <v>50</v>
      </c>
      <c r="I91" s="103" t="s">
        <v>51</v>
      </c>
      <c r="J91" s="146">
        <v>1</v>
      </c>
      <c r="K91" s="157">
        <v>19.95</v>
      </c>
      <c r="L91" s="103" t="s">
        <v>1910</v>
      </c>
      <c r="M91" s="106"/>
      <c r="N91" s="157">
        <f>MouserListTable12[[#This Row],['# Initial]]*MouserListTable12[[#This Row],[Price (USD)]]</f>
        <v>0</v>
      </c>
      <c r="O91" s="106" t="s">
        <v>48</v>
      </c>
      <c r="P91" s="103">
        <f t="shared" si="1"/>
        <v>78</v>
      </c>
      <c r="Q91" s="103" t="s">
        <v>8</v>
      </c>
      <c r="R9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474-PRT-13777</v>
      </c>
      <c r="S91" s="195" t="str">
        <f>HYPERLINK("https://www.mouser.com/ProductDetail/" &amp;MouserListTable12[[#This Row],[Mouser SKU]])</f>
        <v>https://www.mouser.com/ProductDetail/474-PRT-13777</v>
      </c>
      <c r="T91" s="121">
        <v>0</v>
      </c>
      <c r="U91" s="121">
        <v>1</v>
      </c>
      <c r="V91" s="121">
        <v>0</v>
      </c>
      <c r="W91" s="121">
        <f>MouserListTable12[[#This Row],['#/Unit]]*FilterSpecs!$C$3+MouserListTable12[[#This Row],[Extra]]</f>
        <v>1</v>
      </c>
      <c r="X91" s="121">
        <f>IF(MouserListTable12[[#This Row],[Tag]]=FilterSpecs!$F$7,MouserListTable12[[#This Row],['#/Unit]]*MouserListTable12[[#This Row],[Price (USD)]],0)</f>
        <v>0</v>
      </c>
      <c r="Y91" s="121">
        <f>MouserListTable12[[#This Row],[Tot '#]]*MouserListTable12[[#This Row],[Price (USD)]]</f>
        <v>19.95</v>
      </c>
      <c r="Z91"/>
    </row>
    <row r="92" spans="1:26" s="146" customFormat="1" x14ac:dyDescent="0.3">
      <c r="A92" s="103" t="s">
        <v>894</v>
      </c>
      <c r="B92" s="103" t="s">
        <v>2040</v>
      </c>
      <c r="C92" s="103" t="s">
        <v>1906</v>
      </c>
      <c r="D92" s="106" t="str">
        <f>IF(MouserListTable12[[#This Row],[Vendor]]=FilterSpecs!$A$8,MouserListTable12[[#This Row],[Mouser SKU]], MouserListTable12[[#This Row],[Supplier SKU]])</f>
        <v>474-PRT-13856</v>
      </c>
      <c r="E92" s="121">
        <f>MouserListTable12[[#This Row],[Tot '#]]-MouserListTable12[[#This Row],['# Initial]]</f>
        <v>1</v>
      </c>
      <c r="F92" s="121">
        <f>IF(AND(MouserListTable12[[#This Row],[Tag]]&lt;&gt;FilterSpecs!$F$12, MouserListTable12[[#This Row],[Tag]]&lt;&gt;FilterSpecs!$F$9), MouserListTable12[[#This Row],['#/Unit]]*FilterSpecs!$B$3+MouserListTable12[[#This Row],[Extra Initial]],0)</f>
        <v>5</v>
      </c>
      <c r="G92" s="103" t="s">
        <v>53</v>
      </c>
      <c r="H92" s="103" t="s">
        <v>54</v>
      </c>
      <c r="I92" s="103" t="s">
        <v>55</v>
      </c>
      <c r="J92" s="146">
        <v>1</v>
      </c>
      <c r="K92" s="157">
        <v>29.95</v>
      </c>
      <c r="L92" s="103" t="s">
        <v>1911</v>
      </c>
      <c r="M92" s="106"/>
      <c r="N92" s="157">
        <f>MouserListTable12[[#This Row],['# Initial]]*MouserListTable12[[#This Row],[Price (USD)]]</f>
        <v>149.75</v>
      </c>
      <c r="O92" s="106" t="s">
        <v>52</v>
      </c>
      <c r="P92" s="103">
        <f t="shared" si="1"/>
        <v>79</v>
      </c>
      <c r="Q92" s="103" t="s">
        <v>8</v>
      </c>
      <c r="R9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474-PRT-13856</v>
      </c>
      <c r="S92" s="195" t="str">
        <f>HYPERLINK("https://www.mouser.com/ProductDetail/" &amp;MouserListTable12[[#This Row],[Mouser SKU]])</f>
        <v>https://www.mouser.com/ProductDetail/474-PRT-13856</v>
      </c>
      <c r="T92" s="121">
        <v>1</v>
      </c>
      <c r="U92" s="121">
        <v>1</v>
      </c>
      <c r="V92" s="121">
        <v>0</v>
      </c>
      <c r="W92" s="121">
        <f>MouserListTable12[[#This Row],['#/Unit]]*FilterSpecs!$C$3+MouserListTable12[[#This Row],[Extra]]</f>
        <v>6</v>
      </c>
      <c r="X92" s="121">
        <f>IF(MouserListTable12[[#This Row],[Tag]]=FilterSpecs!$F$7,MouserListTable12[[#This Row],['#/Unit]]*MouserListTable12[[#This Row],[Price (USD)]],0)</f>
        <v>29.95</v>
      </c>
      <c r="Y92" s="121">
        <f>MouserListTable12[[#This Row],[Tot '#]]*MouserListTable12[[#This Row],[Price (USD)]]</f>
        <v>179.7</v>
      </c>
      <c r="Z92"/>
    </row>
    <row r="93" spans="1:26" s="146" customFormat="1" hidden="1" x14ac:dyDescent="0.3">
      <c r="A93" s="103" t="s">
        <v>894</v>
      </c>
      <c r="B93" s="103" t="s">
        <v>2040</v>
      </c>
      <c r="C93" s="103" t="s">
        <v>1906</v>
      </c>
      <c r="D93" s="106" t="str">
        <f>IF(MouserListTable12[[#This Row],[Vendor]]=FilterSpecs!$A$8,MouserListTable12[[#This Row],[Mouser SKU]], MouserListTable12[[#This Row],[Supplier SKU]])</f>
        <v>474-PRT-13855</v>
      </c>
      <c r="E93" s="121">
        <f>MouserListTable12[[#This Row],[Tot '#]]-MouserListTable12[[#This Row],['# Initial]]</f>
        <v>2</v>
      </c>
      <c r="F93" s="121">
        <f>IF(AND(MouserListTable12[[#This Row],[Tag]]&lt;&gt;FilterSpecs!$F$12, MouserListTable12[[#This Row],[Tag]]&lt;&gt;FilterSpecs!$F$9), MouserListTable12[[#This Row],['#/Unit]]*FilterSpecs!$B$3+MouserListTable12[[#This Row],[Extra Initial]],0)</f>
        <v>0</v>
      </c>
      <c r="G93" s="103" t="s">
        <v>796</v>
      </c>
      <c r="H93" s="103" t="s">
        <v>797</v>
      </c>
      <c r="I93" s="103" t="s">
        <v>798</v>
      </c>
      <c r="J93" s="146">
        <v>1</v>
      </c>
      <c r="K93" s="157">
        <v>12.95</v>
      </c>
      <c r="L93" s="103" t="s">
        <v>1910</v>
      </c>
      <c r="M93" s="106"/>
      <c r="N93" s="157">
        <f>MouserListTable12[[#This Row],['# Initial]]*MouserListTable12[[#This Row],[Price (USD)]]</f>
        <v>0</v>
      </c>
      <c r="O93" s="106" t="s">
        <v>795</v>
      </c>
      <c r="P93" s="103">
        <f t="shared" si="1"/>
        <v>80</v>
      </c>
      <c r="Q93" s="103" t="s">
        <v>8</v>
      </c>
      <c r="R9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474-PRT-13855</v>
      </c>
      <c r="S93" s="195" t="str">
        <f>HYPERLINK("https://www.mouser.com/ProductDetail/" &amp;MouserListTable12[[#This Row],[Mouser SKU]])</f>
        <v>https://www.mouser.com/ProductDetail/474-PRT-13855</v>
      </c>
      <c r="T93" s="121">
        <v>0</v>
      </c>
      <c r="U93" s="121">
        <v>2</v>
      </c>
      <c r="V93" s="121">
        <v>0</v>
      </c>
      <c r="W93" s="121">
        <f>MouserListTable12[[#This Row],['#/Unit]]*FilterSpecs!$C$3+MouserListTable12[[#This Row],[Extra]]</f>
        <v>2</v>
      </c>
      <c r="X93" s="121">
        <f>IF(MouserListTable12[[#This Row],[Tag]]=FilterSpecs!$F$7,MouserListTable12[[#This Row],['#/Unit]]*MouserListTable12[[#This Row],[Price (USD)]],0)</f>
        <v>0</v>
      </c>
      <c r="Y93" s="121">
        <f>MouserListTable12[[#This Row],[Tot '#]]*MouserListTable12[[#This Row],[Price (USD)]]</f>
        <v>25.9</v>
      </c>
      <c r="Z93"/>
    </row>
    <row r="94" spans="1:26" s="146" customFormat="1" x14ac:dyDescent="0.3">
      <c r="A94" s="103" t="s">
        <v>894</v>
      </c>
      <c r="B94" s="103" t="s">
        <v>2034</v>
      </c>
      <c r="C94" s="103" t="s">
        <v>1906</v>
      </c>
      <c r="D94" s="106" t="str">
        <f>IF(MouserListTable12[[#This Row],[Vendor]]=FilterSpecs!$A$8,MouserListTable12[[#This Row],[Mouser SKU]], MouserListTable12[[#This Row],[Supplier SKU]])</f>
        <v>474-PRT-13032</v>
      </c>
      <c r="E94" s="121">
        <f>MouserListTable12[[#This Row],[Tot '#]]-MouserListTable12[[#This Row],['# Initial]]</f>
        <v>0</v>
      </c>
      <c r="F94" s="121">
        <f>IF(AND(MouserListTable12[[#This Row],[Tag]]&lt;&gt;FilterSpecs!$F$12, MouserListTable12[[#This Row],[Tag]]&lt;&gt;FilterSpecs!$F$9), MouserListTable12[[#This Row],['#/Unit]]*FilterSpecs!$B$3+MouserListTable12[[#This Row],[Extra Initial]],0)</f>
        <v>5</v>
      </c>
      <c r="G94" s="103" t="s">
        <v>45</v>
      </c>
      <c r="H94" s="103" t="s">
        <v>46</v>
      </c>
      <c r="I94" s="103" t="s">
        <v>47</v>
      </c>
      <c r="J94" s="146">
        <v>1</v>
      </c>
      <c r="K94" s="157">
        <v>9.9499999999999993</v>
      </c>
      <c r="L94" s="103" t="s">
        <v>1911</v>
      </c>
      <c r="M94" s="106"/>
      <c r="N94" s="157">
        <f>MouserListTable12[[#This Row],['# Initial]]*MouserListTable12[[#This Row],[Price (USD)]]</f>
        <v>49.75</v>
      </c>
      <c r="O94" s="106" t="s">
        <v>44</v>
      </c>
      <c r="P94" s="103">
        <f t="shared" si="1"/>
        <v>81</v>
      </c>
      <c r="Q94" s="103" t="s">
        <v>8</v>
      </c>
      <c r="R9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474-PRT-13032</v>
      </c>
      <c r="S94" s="195" t="str">
        <f>HYPERLINK("https://www.mouser.com/ProductDetail/" &amp;MouserListTable12[[#This Row],[Mouser SKU]])</f>
        <v>https://www.mouser.com/ProductDetail/474-PRT-13032</v>
      </c>
      <c r="T94" s="121">
        <v>1</v>
      </c>
      <c r="U94" s="121">
        <v>0</v>
      </c>
      <c r="V94" s="121">
        <v>0</v>
      </c>
      <c r="W94" s="121">
        <f>MouserListTable12[[#This Row],['#/Unit]]*FilterSpecs!$C$3+MouserListTable12[[#This Row],[Extra]]</f>
        <v>5</v>
      </c>
      <c r="X94" s="121">
        <f>IF(MouserListTable12[[#This Row],[Tag]]=FilterSpecs!$F$7,MouserListTable12[[#This Row],['#/Unit]]*MouserListTable12[[#This Row],[Price (USD)]],0)</f>
        <v>9.9499999999999993</v>
      </c>
      <c r="Y94" s="121">
        <f>MouserListTable12[[#This Row],[Tot '#]]*MouserListTable12[[#This Row],[Price (USD)]]</f>
        <v>49.75</v>
      </c>
      <c r="Z94"/>
    </row>
    <row r="95" spans="1:26" s="146" customFormat="1" hidden="1" x14ac:dyDescent="0.3">
      <c r="A95" s="103" t="s">
        <v>894</v>
      </c>
      <c r="B95" s="103" t="s">
        <v>2034</v>
      </c>
      <c r="C95" s="103" t="s">
        <v>1906</v>
      </c>
      <c r="D95" s="106" t="str">
        <f>IF(MouserListTable12[[#This Row],[Vendor]]=FilterSpecs!$A$8,MouserListTable12[[#This Row],[Mouser SKU]], MouserListTable12[[#This Row],[Supplier SKU]])</f>
        <v>474-PRT-00114</v>
      </c>
      <c r="E95" s="121">
        <f>MouserListTable12[[#This Row],[Tot '#]]-MouserListTable12[[#This Row],['# Initial]]</f>
        <v>2</v>
      </c>
      <c r="F95" s="121">
        <f>IF(AND(MouserListTable12[[#This Row],[Tag]]&lt;&gt;FilterSpecs!$F$12, MouserListTable12[[#This Row],[Tag]]&lt;&gt;FilterSpecs!$F$9), MouserListTable12[[#This Row],['#/Unit]]*FilterSpecs!$B$3+MouserListTable12[[#This Row],[Extra Initial]],0)</f>
        <v>0</v>
      </c>
      <c r="G95" s="103" t="s">
        <v>1206</v>
      </c>
      <c r="H95" s="103" t="s">
        <v>1207</v>
      </c>
      <c r="I95" s="103" t="s">
        <v>1208</v>
      </c>
      <c r="J95" s="146">
        <v>1</v>
      </c>
      <c r="K95" s="157">
        <v>9.9499999999999993</v>
      </c>
      <c r="L95" s="103" t="s">
        <v>1910</v>
      </c>
      <c r="M95" s="106"/>
      <c r="N95" s="157">
        <f>MouserListTable12[[#This Row],['# Initial]]*MouserListTable12[[#This Row],[Price (USD)]]</f>
        <v>0</v>
      </c>
      <c r="O95" s="106" t="s">
        <v>1205</v>
      </c>
      <c r="P95" s="103">
        <f t="shared" si="1"/>
        <v>82</v>
      </c>
      <c r="Q95" s="103" t="s">
        <v>8</v>
      </c>
      <c r="R9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474-PRT-00114</v>
      </c>
      <c r="S95" s="195" t="str">
        <f>HYPERLINK("https://www.mouser.com/ProductDetail/" &amp;MouserListTable12[[#This Row],[Mouser SKU]])</f>
        <v>https://www.mouser.com/ProductDetail/474-PRT-00114</v>
      </c>
      <c r="T95" s="121">
        <v>0</v>
      </c>
      <c r="U95" s="121">
        <v>2</v>
      </c>
      <c r="V95" s="121">
        <v>0</v>
      </c>
      <c r="W95" s="121">
        <f>MouserListTable12[[#This Row],['#/Unit]]*FilterSpecs!$C$3+MouserListTable12[[#This Row],[Extra]]</f>
        <v>2</v>
      </c>
      <c r="X95" s="121">
        <f>IF(MouserListTable12[[#This Row],[Tag]]=FilterSpecs!$F$7,MouserListTable12[[#This Row],['#/Unit]]*MouserListTable12[[#This Row],[Price (USD)]],0)</f>
        <v>0</v>
      </c>
      <c r="Y95" s="121">
        <f>MouserListTable12[[#This Row],[Tot '#]]*MouserListTable12[[#This Row],[Price (USD)]]</f>
        <v>19.899999999999999</v>
      </c>
      <c r="Z95"/>
    </row>
    <row r="96" spans="1:26" s="146" customFormat="1" hidden="1" x14ac:dyDescent="0.3">
      <c r="A96" s="126" t="s">
        <v>894</v>
      </c>
      <c r="B96" s="103" t="s">
        <v>2034</v>
      </c>
      <c r="C96" s="103" t="s">
        <v>1906</v>
      </c>
      <c r="D96" s="106" t="str">
        <f>IF(MouserListTable12[[#This Row],[Vendor]]=FilterSpecs!$A$8,MouserListTable12[[#This Row],[Mouser SKU]], MouserListTable12[[#This Row],[Supplier SKU]])</f>
        <v>485-184</v>
      </c>
      <c r="E96" s="121">
        <f>MouserListTable12[[#This Row],[Tot '#]]-MouserListTable12[[#This Row],['# Initial]]</f>
        <v>0</v>
      </c>
      <c r="F96" s="121">
        <f>IF(AND(MouserListTable12[[#This Row],[Tag]]&lt;&gt;FilterSpecs!$F$12, MouserListTable12[[#This Row],[Tag]]&lt;&gt;FilterSpecs!$F$9), MouserListTable12[[#This Row],['#/Unit]]*FilterSpecs!$B$3+MouserListTable12[[#This Row],[Extra Initial]],0)</f>
        <v>0</v>
      </c>
      <c r="G96" s="103"/>
      <c r="H96" s="103"/>
      <c r="I96" s="126" t="s">
        <v>2288</v>
      </c>
      <c r="K96" s="158">
        <v>14.95</v>
      </c>
      <c r="L96" s="126" t="s">
        <v>1910</v>
      </c>
      <c r="N96" s="157">
        <f>MouserListTable12[[#This Row],['# Initial]]*MouserListTable12[[#This Row],[Price (USD)]]</f>
        <v>0</v>
      </c>
      <c r="O96" s="106" t="s">
        <v>2287</v>
      </c>
      <c r="P96" s="103">
        <f t="shared" si="1"/>
        <v>83</v>
      </c>
      <c r="Q96" s="103" t="s">
        <v>1898</v>
      </c>
      <c r="R9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485-184</v>
      </c>
      <c r="S96" s="195" t="str">
        <f>HYPERLINK("https://www.mouser.com/ProductDetail/" &amp;MouserListTable12[[#This Row],[Mouser SKU]])</f>
        <v>https://www.mouser.com/ProductDetail/485-184</v>
      </c>
      <c r="T96" s="121">
        <v>0</v>
      </c>
      <c r="U96" s="121">
        <v>0</v>
      </c>
      <c r="V96" s="121">
        <v>0</v>
      </c>
      <c r="W96" s="121">
        <f>MouserListTable12[[#This Row],['#/Unit]]*FilterSpecs!$C$3+MouserListTable12[[#This Row],[Extra]]</f>
        <v>0</v>
      </c>
      <c r="X96" s="121">
        <f>IF(MouserListTable12[[#This Row],[Tag]]=FilterSpecs!$F$7,MouserListTable12[[#This Row],['#/Unit]]*MouserListTable12[[#This Row],[Price (USD)]],0)</f>
        <v>0</v>
      </c>
      <c r="Y96" s="121">
        <f>MouserListTable12[[#This Row],[Tot '#]]*MouserListTable12[[#This Row],[Price (USD)]]</f>
        <v>0</v>
      </c>
      <c r="Z96"/>
    </row>
    <row r="97" spans="1:26" s="146" customFormat="1" x14ac:dyDescent="0.3">
      <c r="A97" s="103" t="s">
        <v>894</v>
      </c>
      <c r="B97" s="103" t="s">
        <v>2034</v>
      </c>
      <c r="C97" s="103" t="s">
        <v>1906</v>
      </c>
      <c r="D97" s="106" t="str">
        <f>IF(MouserListTable12[[#This Row],[Vendor]]=FilterSpecs!$A$8,MouserListTable12[[#This Row],[Mouser SKU]], MouserListTable12[[#This Row],[Supplier SKU]])</f>
        <v>474-PRT-10811</v>
      </c>
      <c r="E97" s="121">
        <f>MouserListTable12[[#This Row],[Tot '#]]-MouserListTable12[[#This Row],['# Initial]]</f>
        <v>1</v>
      </c>
      <c r="F97" s="121">
        <f>IF(AND(MouserListTable12[[#This Row],[Tag]]&lt;&gt;FilterSpecs!$F$12, MouserListTable12[[#This Row],[Tag]]&lt;&gt;FilterSpecs!$F$9), MouserListTable12[[#This Row],['#/Unit]]*FilterSpecs!$B$3+MouserListTable12[[#This Row],[Extra Initial]],0)</f>
        <v>5</v>
      </c>
      <c r="G97" s="103" t="s">
        <v>572</v>
      </c>
      <c r="H97" s="103" t="s">
        <v>573</v>
      </c>
      <c r="I97" s="103" t="s">
        <v>574</v>
      </c>
      <c r="K97" s="157">
        <v>0.95</v>
      </c>
      <c r="L97" s="103" t="s">
        <v>1911</v>
      </c>
      <c r="M97" s="106"/>
      <c r="N97" s="157">
        <f>MouserListTable12[[#This Row],['# Initial]]*MouserListTable12[[#This Row],[Price (USD)]]</f>
        <v>4.75</v>
      </c>
      <c r="O97" s="106" t="s">
        <v>571</v>
      </c>
      <c r="P97" s="103">
        <f t="shared" si="1"/>
        <v>84</v>
      </c>
      <c r="Q97" s="103" t="s">
        <v>8</v>
      </c>
      <c r="R9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474-PRT-10811</v>
      </c>
      <c r="S97" s="195" t="str">
        <f>HYPERLINK("https://www.mouser.com/ProductDetail/" &amp;MouserListTable12[[#This Row],[Mouser SKU]])</f>
        <v>https://www.mouser.com/ProductDetail/474-PRT-10811</v>
      </c>
      <c r="T97" s="121">
        <v>1</v>
      </c>
      <c r="U97" s="121">
        <v>1</v>
      </c>
      <c r="V97" s="121">
        <v>0</v>
      </c>
      <c r="W97" s="121">
        <f>MouserListTable12[[#This Row],['#/Unit]]*FilterSpecs!$C$3+MouserListTable12[[#This Row],[Extra]]</f>
        <v>6</v>
      </c>
      <c r="X97" s="121">
        <f>IF(MouserListTable12[[#This Row],[Tag]]=FilterSpecs!$F$7,MouserListTable12[[#This Row],['#/Unit]]*MouserListTable12[[#This Row],[Price (USD)]],0)</f>
        <v>0.95</v>
      </c>
      <c r="Y97" s="121">
        <f>MouserListTable12[[#This Row],[Tot '#]]*MouserListTable12[[#This Row],[Price (USD)]]</f>
        <v>5.6999999999999993</v>
      </c>
      <c r="Z97"/>
    </row>
    <row r="98" spans="1:26" s="146" customFormat="1" hidden="1" x14ac:dyDescent="0.3">
      <c r="A98" s="126" t="s">
        <v>894</v>
      </c>
      <c r="B98" s="103" t="s">
        <v>2034</v>
      </c>
      <c r="C98" s="103" t="s">
        <v>1906</v>
      </c>
      <c r="D98" s="106" t="str">
        <f>IF(MouserListTable12[[#This Row],[Vendor]]=FilterSpecs!$A$8,MouserListTable12[[#This Row],[Mouser SKU]], MouserListTable12[[#This Row],[Supplier SKU]])</f>
        <v>485-373</v>
      </c>
      <c r="E98" s="121">
        <f>MouserListTable12[[#This Row],[Tot '#]]-MouserListTable12[[#This Row],['# Initial]]</f>
        <v>0</v>
      </c>
      <c r="F98" s="121">
        <f>IF(AND(MouserListTable12[[#This Row],[Tag]]&lt;&gt;FilterSpecs!$F$12, MouserListTable12[[#This Row],[Tag]]&lt;&gt;FilterSpecs!$F$9), MouserListTable12[[#This Row],['#/Unit]]*FilterSpecs!$B$3+MouserListTable12[[#This Row],[Extra Initial]],0)</f>
        <v>0</v>
      </c>
      <c r="G98" s="103"/>
      <c r="H98" s="103"/>
      <c r="I98" s="126" t="s">
        <v>2222</v>
      </c>
      <c r="K98" s="158">
        <v>0.95</v>
      </c>
      <c r="L98" s="126" t="s">
        <v>1910</v>
      </c>
      <c r="N98" s="157">
        <f>MouserListTable12[[#This Row],['# Initial]]*MouserListTable12[[#This Row],[Price (USD)]]</f>
        <v>0</v>
      </c>
      <c r="O98" s="106" t="s">
        <v>2221</v>
      </c>
      <c r="P98" s="103">
        <f t="shared" si="1"/>
        <v>85</v>
      </c>
      <c r="Q98" s="103" t="s">
        <v>1898</v>
      </c>
      <c r="R9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485-373</v>
      </c>
      <c r="S98" s="195" t="str">
        <f>HYPERLINK("https://www.mouser.com/ProductDetail/" &amp;MouserListTable12[[#This Row],[Mouser SKU]])</f>
        <v>https://www.mouser.com/ProductDetail/485-373</v>
      </c>
      <c r="T98" s="121">
        <v>0</v>
      </c>
      <c r="U98" s="121">
        <v>0</v>
      </c>
      <c r="V98" s="121">
        <v>0</v>
      </c>
      <c r="W98" s="121">
        <f>MouserListTable12[[#This Row],['#/Unit]]*FilterSpecs!$C$3+MouserListTable12[[#This Row],[Extra]]</f>
        <v>0</v>
      </c>
      <c r="X98" s="121">
        <f>IF(MouserListTable12[[#This Row],[Tag]]=FilterSpecs!$F$7,MouserListTable12[[#This Row],['#/Unit]]*MouserListTable12[[#This Row],[Price (USD)]],0)</f>
        <v>0</v>
      </c>
      <c r="Y98" s="121">
        <f>MouserListTable12[[#This Row],[Tot '#]]*MouserListTable12[[#This Row],[Price (USD)]]</f>
        <v>0</v>
      </c>
      <c r="Z98"/>
    </row>
    <row r="99" spans="1:26" s="146" customFormat="1" x14ac:dyDescent="0.3">
      <c r="A99" s="103" t="s">
        <v>894</v>
      </c>
      <c r="B99" s="106" t="s">
        <v>2035</v>
      </c>
      <c r="C99" s="103" t="s">
        <v>1906</v>
      </c>
      <c r="D99" s="106" t="str">
        <f>IF(MouserListTable12[[#This Row],[Vendor]]=FilterSpecs!$A$8,MouserListTable12[[#This Row],[Mouser SKU]], MouserListTable12[[#This Row],[Supplier SKU]])</f>
        <v>474-PRT-11214</v>
      </c>
      <c r="E99" s="121">
        <f>MouserListTable12[[#This Row],[Tot '#]]-MouserListTable12[[#This Row],['# Initial]]</f>
        <v>0</v>
      </c>
      <c r="F99" s="121">
        <f>IF(AND(MouserListTable12[[#This Row],[Tag]]&lt;&gt;FilterSpecs!$F$12, MouserListTable12[[#This Row],[Tag]]&lt;&gt;FilterSpecs!$F$9), MouserListTable12[[#This Row],['#/Unit]]*FilterSpecs!$B$3+MouserListTable12[[#This Row],[Extra Initial]],0)</f>
        <v>5</v>
      </c>
      <c r="G99" s="103" t="s">
        <v>808</v>
      </c>
      <c r="H99" s="103" t="s">
        <v>809</v>
      </c>
      <c r="I99" s="103" t="s">
        <v>810</v>
      </c>
      <c r="J99" s="103">
        <v>1</v>
      </c>
      <c r="K99" s="157">
        <v>6.95</v>
      </c>
      <c r="L99" s="103" t="s">
        <v>1911</v>
      </c>
      <c r="M99" s="106"/>
      <c r="N99" s="157">
        <f>MouserListTable12[[#This Row],['# Initial]]*MouserListTable12[[#This Row],[Price (USD)]]</f>
        <v>34.75</v>
      </c>
      <c r="O99" s="106" t="s">
        <v>807</v>
      </c>
      <c r="P99" s="103">
        <f t="shared" si="1"/>
        <v>86</v>
      </c>
      <c r="Q99" s="103" t="s">
        <v>8</v>
      </c>
      <c r="R9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474-PRT-11214</v>
      </c>
      <c r="S99" s="195" t="str">
        <f>HYPERLINK("https://www.mouser.com/ProductDetail/" &amp;MouserListTable12[[#This Row],[Mouser SKU]])</f>
        <v>https://www.mouser.com/ProductDetail/474-PRT-11214</v>
      </c>
      <c r="T99" s="121">
        <v>1</v>
      </c>
      <c r="U99" s="121">
        <v>0</v>
      </c>
      <c r="V99" s="121">
        <v>0</v>
      </c>
      <c r="W99" s="121">
        <f>MouserListTable12[[#This Row],['#/Unit]]*FilterSpecs!$C$3+MouserListTable12[[#This Row],[Extra]]</f>
        <v>5</v>
      </c>
      <c r="X99" s="121">
        <f>IF(MouserListTable12[[#This Row],[Tag]]=FilterSpecs!$F$7,MouserListTable12[[#This Row],['#/Unit]]*MouserListTable12[[#This Row],[Price (USD)]],0)</f>
        <v>6.95</v>
      </c>
      <c r="Y99" s="121">
        <f>MouserListTable12[[#This Row],[Tot '#]]*MouserListTable12[[#This Row],[Price (USD)]]</f>
        <v>34.75</v>
      </c>
      <c r="Z99"/>
    </row>
    <row r="100" spans="1:26" s="146" customFormat="1" hidden="1" x14ac:dyDescent="0.3">
      <c r="A100" s="126" t="s">
        <v>894</v>
      </c>
      <c r="B100" s="126" t="s">
        <v>2035</v>
      </c>
      <c r="C100" s="103" t="s">
        <v>1906</v>
      </c>
      <c r="D100" s="106" t="str">
        <f>IF(MouserListTable12[[#This Row],[Vendor]]=FilterSpecs!$A$8,MouserListTable12[[#This Row],[Mouser SKU]], MouserListTable12[[#This Row],[Supplier SKU]])</f>
        <v>485-1125</v>
      </c>
      <c r="E100" s="121">
        <f>MouserListTable12[[#This Row],[Tot '#]]-MouserListTable12[[#This Row],['# Initial]]</f>
        <v>0</v>
      </c>
      <c r="F100" s="121">
        <f>IF(AND(MouserListTable12[[#This Row],[Tag]]&lt;&gt;FilterSpecs!$F$12, MouserListTable12[[#This Row],[Tag]]&lt;&gt;FilterSpecs!$F$9), MouserListTable12[[#This Row],['#/Unit]]*FilterSpecs!$B$3+MouserListTable12[[#This Row],[Extra Initial]],0)</f>
        <v>0</v>
      </c>
      <c r="G100" s="103"/>
      <c r="H100" s="103"/>
      <c r="I100" s="103" t="s">
        <v>2282</v>
      </c>
      <c r="J100" s="103"/>
      <c r="K100" s="157">
        <v>2.5</v>
      </c>
      <c r="L100" s="103" t="s">
        <v>1910</v>
      </c>
      <c r="N100" s="157">
        <f>MouserListTable12[[#This Row],['# Initial]]*MouserListTable12[[#This Row],[Price (USD)]]</f>
        <v>0</v>
      </c>
      <c r="O100" s="106" t="s">
        <v>2281</v>
      </c>
      <c r="P100" s="103">
        <f t="shared" si="1"/>
        <v>87</v>
      </c>
      <c r="Q100" s="103" t="s">
        <v>1898</v>
      </c>
      <c r="R10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485-1125</v>
      </c>
      <c r="S100" s="195" t="str">
        <f>HYPERLINK("https://www.mouser.com/ProductDetail/" &amp;MouserListTable12[[#This Row],[Mouser SKU]])</f>
        <v>https://www.mouser.com/ProductDetail/485-1125</v>
      </c>
      <c r="T100" s="121">
        <v>0</v>
      </c>
      <c r="U100" s="121">
        <v>0</v>
      </c>
      <c r="V100" s="121">
        <v>0</v>
      </c>
      <c r="W100" s="121">
        <f>MouserListTable12[[#This Row],['#/Unit]]*FilterSpecs!$C$3+MouserListTable12[[#This Row],[Extra]]</f>
        <v>0</v>
      </c>
      <c r="X100" s="121">
        <f>IF(MouserListTable12[[#This Row],[Tag]]=FilterSpecs!$F$7,MouserListTable12[[#This Row],['#/Unit]]*MouserListTable12[[#This Row],[Price (USD)]],0)</f>
        <v>0</v>
      </c>
      <c r="Y100" s="121">
        <f>MouserListTable12[[#This Row],[Tot '#]]*MouserListTable12[[#This Row],[Price (USD)]]</f>
        <v>0</v>
      </c>
      <c r="Z100"/>
    </row>
    <row r="101" spans="1:26" s="146" customFormat="1" x14ac:dyDescent="0.3">
      <c r="A101" s="103" t="s">
        <v>894</v>
      </c>
      <c r="B101" s="103" t="s">
        <v>2037</v>
      </c>
      <c r="C101" s="103" t="s">
        <v>1906</v>
      </c>
      <c r="D101" s="106" t="str">
        <f>IF(MouserListTable12[[#This Row],[Vendor]]=FilterSpecs!$A$8,MouserListTable12[[#This Row],[Mouser SKU]], MouserListTable12[[#This Row],[Supplier SKU]])</f>
        <v>485-743</v>
      </c>
      <c r="E101" s="121">
        <f>MouserListTable12[[#This Row],[Tot '#]]-MouserListTable12[[#This Row],['# Initial]]</f>
        <v>1</v>
      </c>
      <c r="F101" s="121">
        <f>IF(AND(MouserListTable12[[#This Row],[Tag]]&lt;&gt;FilterSpecs!$F$12, MouserListTable12[[#This Row],[Tag]]&lt;&gt;FilterSpecs!$F$9), MouserListTable12[[#This Row],['#/Unit]]*FilterSpecs!$B$3+MouserListTable12[[#This Row],[Extra Initial]],0)</f>
        <v>5</v>
      </c>
      <c r="G101" s="103"/>
      <c r="H101" s="103"/>
      <c r="I101" s="103" t="s">
        <v>2088</v>
      </c>
      <c r="J101" s="103"/>
      <c r="K101" s="157">
        <v>2.5</v>
      </c>
      <c r="L101" s="103" t="s">
        <v>1911</v>
      </c>
      <c r="M101" s="106"/>
      <c r="N101" s="157">
        <f>MouserListTable12[[#This Row],['# Initial]]*MouserListTable12[[#This Row],[Price (USD)]]</f>
        <v>12.5</v>
      </c>
      <c r="O101" s="106" t="s">
        <v>2089</v>
      </c>
      <c r="P101" s="103">
        <f t="shared" si="1"/>
        <v>88</v>
      </c>
      <c r="Q101" s="103" t="s">
        <v>1898</v>
      </c>
      <c r="R10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485-743</v>
      </c>
      <c r="S101" s="195" t="str">
        <f>HYPERLINK("https://www.mouser.com/ProductDetail/" &amp;MouserListTable12[[#This Row],[Mouser SKU]])</f>
        <v>https://www.mouser.com/ProductDetail/485-743</v>
      </c>
      <c r="T101" s="121">
        <v>1</v>
      </c>
      <c r="U101" s="121">
        <v>1</v>
      </c>
      <c r="V101" s="121">
        <v>0</v>
      </c>
      <c r="W101" s="121">
        <f>MouserListTable12[[#This Row],['#/Unit]]*FilterSpecs!$C$3+MouserListTable12[[#This Row],[Extra]]</f>
        <v>6</v>
      </c>
      <c r="X101" s="121">
        <f>IF(MouserListTable12[[#This Row],[Tag]]=FilterSpecs!$F$7,MouserListTable12[[#This Row],['#/Unit]]*MouserListTable12[[#This Row],[Price (USD)]],0)</f>
        <v>2.5</v>
      </c>
      <c r="Y101" s="121">
        <f>MouserListTable12[[#This Row],[Tot '#]]*MouserListTable12[[#This Row],[Price (USD)]]</f>
        <v>15</v>
      </c>
      <c r="Z101"/>
    </row>
    <row r="102" spans="1:26" s="146" customFormat="1" hidden="1" x14ac:dyDescent="0.3">
      <c r="A102" s="126" t="s">
        <v>894</v>
      </c>
      <c r="B102" s="126" t="s">
        <v>2037</v>
      </c>
      <c r="C102" s="103" t="s">
        <v>1906</v>
      </c>
      <c r="D102" s="106" t="str">
        <f>IF(MouserListTable12[[#This Row],[Vendor]]=FilterSpecs!$A$8,MouserListTable12[[#This Row],[Mouser SKU]], MouserListTable12[[#This Row],[Supplier SKU]])</f>
        <v>474-PRT-10288</v>
      </c>
      <c r="E102" s="121">
        <f>MouserListTable12[[#This Row],[Tot '#]]-MouserListTable12[[#This Row],['# Initial]]</f>
        <v>0</v>
      </c>
      <c r="F102" s="121">
        <f>IF(AND(MouserListTable12[[#This Row],[Tag]]&lt;&gt;FilterSpecs!$F$12, MouserListTable12[[#This Row],[Tag]]&lt;&gt;FilterSpecs!$F$9), MouserListTable12[[#This Row],['#/Unit]]*FilterSpecs!$B$3+MouserListTable12[[#This Row],[Extra Initial]],0)</f>
        <v>0</v>
      </c>
      <c r="G102" s="103" t="s">
        <v>1028</v>
      </c>
      <c r="H102" s="103" t="s">
        <v>1029</v>
      </c>
      <c r="I102" s="103" t="s">
        <v>1030</v>
      </c>
      <c r="J102" s="103"/>
      <c r="K102" s="157">
        <v>2.95</v>
      </c>
      <c r="L102" s="103" t="s">
        <v>1912</v>
      </c>
      <c r="M102" s="103"/>
      <c r="N102" s="157">
        <f>MouserListTable12[[#This Row],['# Initial]]*MouserListTable12[[#This Row],[Price (USD)]]</f>
        <v>0</v>
      </c>
      <c r="O102" s="106" t="s">
        <v>1027</v>
      </c>
      <c r="P102" s="103">
        <f t="shared" si="1"/>
        <v>89</v>
      </c>
      <c r="Q102" s="103" t="s">
        <v>8</v>
      </c>
      <c r="R10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474-PRT-10288</v>
      </c>
      <c r="S102" s="195" t="str">
        <f>HYPERLINK("https://www.mouser.com/ProductDetail/" &amp;MouserListTable12[[#This Row],[Mouser SKU]])</f>
        <v>https://www.mouser.com/ProductDetail/474-PRT-10288</v>
      </c>
      <c r="T102" s="121">
        <v>0</v>
      </c>
      <c r="U102" s="121">
        <v>0</v>
      </c>
      <c r="V102" s="121">
        <v>0</v>
      </c>
      <c r="W102" s="121">
        <f>MouserListTable12[[#This Row],['#/Unit]]*FilterSpecs!$C$3+MouserListTable12[[#This Row],[Extra]]</f>
        <v>0</v>
      </c>
      <c r="X102" s="121">
        <f>IF(MouserListTable12[[#This Row],[Tag]]=FilterSpecs!$F$7,MouserListTable12[[#This Row],['#/Unit]]*MouserListTable12[[#This Row],[Price (USD)]],0)</f>
        <v>0</v>
      </c>
      <c r="Y102" s="121">
        <f>MouserListTable12[[#This Row],[Tot '#]]*MouserListTable12[[#This Row],[Price (USD)]]</f>
        <v>0</v>
      </c>
      <c r="Z102"/>
    </row>
    <row r="103" spans="1:26" s="146" customFormat="1" hidden="1" x14ac:dyDescent="0.3">
      <c r="A103" s="126" t="s">
        <v>894</v>
      </c>
      <c r="B103" s="126" t="s">
        <v>2037</v>
      </c>
      <c r="C103" s="103" t="s">
        <v>1906</v>
      </c>
      <c r="D103" s="106" t="str">
        <f>IF(MouserListTable12[[#This Row],[Vendor]]=FilterSpecs!$A$8,MouserListTable12[[#This Row],[Mouser SKU]], MouserListTable12[[#This Row],[Supplier SKU]])</f>
        <v>474-PRT-10287</v>
      </c>
      <c r="E103" s="121">
        <f>MouserListTable12[[#This Row],[Tot '#]]-MouserListTable12[[#This Row],['# Initial]]</f>
        <v>0</v>
      </c>
      <c r="F103" s="121">
        <f>IF(AND(MouserListTable12[[#This Row],[Tag]]&lt;&gt;FilterSpecs!$F$12, MouserListTable12[[#This Row],[Tag]]&lt;&gt;FilterSpecs!$F$9), MouserListTable12[[#This Row],['#/Unit]]*FilterSpecs!$B$3+MouserListTable12[[#This Row],[Extra Initial]],0)</f>
        <v>0</v>
      </c>
      <c r="G103" s="103" t="s">
        <v>816</v>
      </c>
      <c r="H103" s="103" t="s">
        <v>817</v>
      </c>
      <c r="I103" s="103" t="s">
        <v>818</v>
      </c>
      <c r="J103" s="103"/>
      <c r="K103" s="157">
        <v>2.95</v>
      </c>
      <c r="L103" s="103" t="s">
        <v>1912</v>
      </c>
      <c r="M103" s="103"/>
      <c r="N103" s="157">
        <f>MouserListTable12[[#This Row],['# Initial]]*MouserListTable12[[#This Row],[Price (USD)]]</f>
        <v>0</v>
      </c>
      <c r="O103" s="106" t="s">
        <v>815</v>
      </c>
      <c r="P103" s="103">
        <f t="shared" si="1"/>
        <v>90</v>
      </c>
      <c r="Q103" s="103" t="s">
        <v>8</v>
      </c>
      <c r="R10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474-PRT-10287</v>
      </c>
      <c r="S103" s="195" t="str">
        <f>HYPERLINK("https://www.mouser.com/ProductDetail/" &amp;MouserListTable12[[#This Row],[Mouser SKU]])</f>
        <v>https://www.mouser.com/ProductDetail/474-PRT-10287</v>
      </c>
      <c r="T103" s="121">
        <v>0</v>
      </c>
      <c r="U103" s="121">
        <v>0</v>
      </c>
      <c r="V103" s="121">
        <v>0</v>
      </c>
      <c r="W103" s="121">
        <f>MouserListTable12[[#This Row],['#/Unit]]*FilterSpecs!$C$3+MouserListTable12[[#This Row],[Extra]]</f>
        <v>0</v>
      </c>
      <c r="X103" s="121">
        <f>IF(MouserListTable12[[#This Row],[Tag]]=FilterSpecs!$F$7,MouserListTable12[[#This Row],['#/Unit]]*MouserListTable12[[#This Row],[Price (USD)]],0)</f>
        <v>0</v>
      </c>
      <c r="Y103" s="121">
        <f>MouserListTable12[[#This Row],[Tot '#]]*MouserListTable12[[#This Row],[Price (USD)]]</f>
        <v>0</v>
      </c>
      <c r="Z103"/>
    </row>
    <row r="104" spans="1:26" s="146" customFormat="1" hidden="1" x14ac:dyDescent="0.3">
      <c r="A104" s="126" t="s">
        <v>894</v>
      </c>
      <c r="B104" s="126" t="s">
        <v>2037</v>
      </c>
      <c r="C104" s="103" t="s">
        <v>1906</v>
      </c>
      <c r="D104" s="106" t="str">
        <f>IF(MouserListTable12[[#This Row],[Vendor]]=FilterSpecs!$A$8,MouserListTable12[[#This Row],[Mouser SKU]], MouserListTable12[[#This Row],[Supplier SKU]])</f>
        <v>485-368</v>
      </c>
      <c r="E104" s="121">
        <f>MouserListTable12[[#This Row],[Tot '#]]-MouserListTable12[[#This Row],['# Initial]]</f>
        <v>0</v>
      </c>
      <c r="F104" s="121">
        <f>IF(AND(MouserListTable12[[#This Row],[Tag]]&lt;&gt;FilterSpecs!$F$12, MouserListTable12[[#This Row],[Tag]]&lt;&gt;FilterSpecs!$F$9), MouserListTable12[[#This Row],['#/Unit]]*FilterSpecs!$B$3+MouserListTable12[[#This Row],[Extra Initial]],0)</f>
        <v>0</v>
      </c>
      <c r="G104" s="103"/>
      <c r="H104" s="103"/>
      <c r="I104" s="103" t="s">
        <v>2224</v>
      </c>
      <c r="J104" s="103"/>
      <c r="K104" s="157">
        <v>2</v>
      </c>
      <c r="L104" s="103" t="s">
        <v>1910</v>
      </c>
      <c r="M104" s="103"/>
      <c r="N104" s="157">
        <f>MouserListTable12[[#This Row],['# Initial]]*MouserListTable12[[#This Row],[Price (USD)]]</f>
        <v>0</v>
      </c>
      <c r="O104" s="106" t="s">
        <v>2223</v>
      </c>
      <c r="P104" s="103">
        <f t="shared" si="1"/>
        <v>91</v>
      </c>
      <c r="Q104" s="103" t="s">
        <v>1898</v>
      </c>
      <c r="R10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485-368</v>
      </c>
      <c r="S104" s="195" t="str">
        <f>HYPERLINK("https://www.mouser.com/ProductDetail/" &amp;MouserListTable12[[#This Row],[Mouser SKU]])</f>
        <v>https://www.mouser.com/ProductDetail/485-368</v>
      </c>
      <c r="T104" s="121">
        <v>0</v>
      </c>
      <c r="U104" s="121">
        <v>0</v>
      </c>
      <c r="V104" s="121">
        <v>0</v>
      </c>
      <c r="W104" s="121">
        <f>MouserListTable12[[#This Row],['#/Unit]]*FilterSpecs!$C$3+MouserListTable12[[#This Row],[Extra]]</f>
        <v>0</v>
      </c>
      <c r="X104" s="121">
        <f>IF(MouserListTable12[[#This Row],[Tag]]=FilterSpecs!$F$7,MouserListTable12[[#This Row],['#/Unit]]*MouserListTable12[[#This Row],[Price (USD)]],0)</f>
        <v>0</v>
      </c>
      <c r="Y104" s="121">
        <f>MouserListTable12[[#This Row],[Tot '#]]*MouserListTable12[[#This Row],[Price (USD)]]</f>
        <v>0</v>
      </c>
      <c r="Z104"/>
    </row>
    <row r="105" spans="1:26" s="146" customFormat="1" hidden="1" x14ac:dyDescent="0.3">
      <c r="A105" s="126" t="s">
        <v>894</v>
      </c>
      <c r="B105" s="126" t="s">
        <v>2037</v>
      </c>
      <c r="C105" s="103" t="s">
        <v>1906</v>
      </c>
      <c r="D105" s="106" t="str">
        <f>IF(MouserListTable12[[#This Row],[Vendor]]=FilterSpecs!$A$8,MouserListTable12[[#This Row],[Mouser SKU]], MouserListTable12[[#This Row],[Supplier SKU]])</f>
        <v>485-369</v>
      </c>
      <c r="E105" s="121">
        <f>MouserListTable12[[#This Row],[Tot '#]]-MouserListTable12[[#This Row],['# Initial]]</f>
        <v>0</v>
      </c>
      <c r="F105" s="121">
        <f>IF(AND(MouserListTable12[[#This Row],[Tag]]&lt;&gt;FilterSpecs!$F$12, MouserListTable12[[#This Row],[Tag]]&lt;&gt;FilterSpecs!$F$9), MouserListTable12[[#This Row],['#/Unit]]*FilterSpecs!$B$3+MouserListTable12[[#This Row],[Extra Initial]],0)</f>
        <v>0</v>
      </c>
      <c r="G105" s="103"/>
      <c r="H105" s="103"/>
      <c r="I105" s="103" t="s">
        <v>2226</v>
      </c>
      <c r="J105" s="103"/>
      <c r="K105" s="157">
        <v>2</v>
      </c>
      <c r="L105" s="103" t="s">
        <v>1910</v>
      </c>
      <c r="M105" s="103"/>
      <c r="N105" s="157">
        <f>MouserListTable12[[#This Row],['# Initial]]*MouserListTable12[[#This Row],[Price (USD)]]</f>
        <v>0</v>
      </c>
      <c r="O105" s="106" t="s">
        <v>2225</v>
      </c>
      <c r="P105" s="103">
        <f t="shared" si="1"/>
        <v>92</v>
      </c>
      <c r="Q105" s="103" t="s">
        <v>1898</v>
      </c>
      <c r="R10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485-369</v>
      </c>
      <c r="S105" s="195" t="str">
        <f>HYPERLINK("https://www.mouser.com/ProductDetail/" &amp;MouserListTable12[[#This Row],[Mouser SKU]])</f>
        <v>https://www.mouser.com/ProductDetail/485-369</v>
      </c>
      <c r="T105" s="121">
        <v>0</v>
      </c>
      <c r="U105" s="121">
        <v>0</v>
      </c>
      <c r="V105" s="121">
        <v>0</v>
      </c>
      <c r="W105" s="121">
        <f>MouserListTable12[[#This Row],['#/Unit]]*FilterSpecs!$C$3+MouserListTable12[[#This Row],[Extra]]</f>
        <v>0</v>
      </c>
      <c r="X105" s="121">
        <f>IF(MouserListTable12[[#This Row],[Tag]]=FilterSpecs!$F$7,MouserListTable12[[#This Row],['#/Unit]]*MouserListTable12[[#This Row],[Price (USD)]],0)</f>
        <v>0</v>
      </c>
      <c r="Y105" s="121">
        <f>MouserListTable12[[#This Row],[Tot '#]]*MouserListTable12[[#This Row],[Price (USD)]]</f>
        <v>0</v>
      </c>
      <c r="Z105"/>
    </row>
    <row r="106" spans="1:26" s="146" customFormat="1" hidden="1" x14ac:dyDescent="0.3">
      <c r="A106" s="103" t="s">
        <v>894</v>
      </c>
      <c r="B106" s="103" t="s">
        <v>2037</v>
      </c>
      <c r="C106" s="103" t="s">
        <v>1906</v>
      </c>
      <c r="D106" s="106" t="str">
        <f>IF(MouserListTable12[[#This Row],[Vendor]]=FilterSpecs!$A$8,MouserListTable12[[#This Row],[Mouser SKU]], MouserListTable12[[#This Row],[Supplier SKU]])</f>
        <v>474-PRT-13126</v>
      </c>
      <c r="E106" s="121">
        <f>MouserListTable12[[#This Row],[Tot '#]]-MouserListTable12[[#This Row],['# Initial]]</f>
        <v>2</v>
      </c>
      <c r="F106" s="121">
        <f>IF(AND(MouserListTable12[[#This Row],[Tag]]&lt;&gt;FilterSpecs!$F$12, MouserListTable12[[#This Row],[Tag]]&lt;&gt;FilterSpecs!$F$9), MouserListTable12[[#This Row],['#/Unit]]*FilterSpecs!$B$3+MouserListTable12[[#This Row],[Extra Initial]],0)</f>
        <v>0</v>
      </c>
      <c r="G106" s="103" t="s">
        <v>966</v>
      </c>
      <c r="H106" s="103" t="s">
        <v>967</v>
      </c>
      <c r="I106" s="103" t="s">
        <v>968</v>
      </c>
      <c r="J106" s="103">
        <v>1</v>
      </c>
      <c r="K106" s="157">
        <v>0.95</v>
      </c>
      <c r="L106" s="103" t="s">
        <v>1911</v>
      </c>
      <c r="M106" s="103"/>
      <c r="N106" s="157">
        <f>MouserListTable12[[#This Row],['# Initial]]*MouserListTable12[[#This Row],[Price (USD)]]</f>
        <v>0</v>
      </c>
      <c r="O106" s="106" t="s">
        <v>965</v>
      </c>
      <c r="P106" s="103">
        <f t="shared" si="1"/>
        <v>93</v>
      </c>
      <c r="Q106" s="103" t="s">
        <v>8</v>
      </c>
      <c r="R10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474-PRT-13126</v>
      </c>
      <c r="S106" s="195" t="str">
        <f>HYPERLINK("https://www.mouser.com/ProductDetail/" &amp;MouserListTable12[[#This Row],[Mouser SKU]])</f>
        <v>https://www.mouser.com/ProductDetail/474-PRT-13126</v>
      </c>
      <c r="T106" s="121">
        <v>0</v>
      </c>
      <c r="U106" s="121">
        <v>2</v>
      </c>
      <c r="V106" s="121">
        <v>0</v>
      </c>
      <c r="W106" s="121">
        <f>MouserListTable12[[#This Row],['#/Unit]]*FilterSpecs!$C$3+MouserListTable12[[#This Row],[Extra]]</f>
        <v>2</v>
      </c>
      <c r="X106" s="121">
        <f>IF(MouserListTable12[[#This Row],[Tag]]=FilterSpecs!$F$7,MouserListTable12[[#This Row],['#/Unit]]*MouserListTable12[[#This Row],[Price (USD)]],0)</f>
        <v>0</v>
      </c>
      <c r="Y106" s="121">
        <f>MouserListTable12[[#This Row],[Tot '#]]*MouserListTable12[[#This Row],[Price (USD)]]</f>
        <v>1.9</v>
      </c>
      <c r="Z106"/>
    </row>
    <row r="107" spans="1:26" s="146" customFormat="1" x14ac:dyDescent="0.3">
      <c r="A107" s="103" t="s">
        <v>894</v>
      </c>
      <c r="B107" s="103" t="s">
        <v>2037</v>
      </c>
      <c r="C107" s="103" t="s">
        <v>1906</v>
      </c>
      <c r="D107" s="106" t="str">
        <f>IF(MouserListTable12[[#This Row],[Vendor]]=FilterSpecs!$A$8,MouserListTable12[[#This Row],[Mouser SKU]], MouserListTable12[[#This Row],[Supplier SKU]])</f>
        <v>474-PRT-11476</v>
      </c>
      <c r="E107" s="121">
        <f>MouserListTable12[[#This Row],[Tot '#]]-MouserListTable12[[#This Row],['# Initial]]</f>
        <v>1</v>
      </c>
      <c r="F107" s="121">
        <f>IF(AND(MouserListTable12[[#This Row],[Tag]]&lt;&gt;FilterSpecs!$F$12, MouserListTable12[[#This Row],[Tag]]&lt;&gt;FilterSpecs!$F$9), MouserListTable12[[#This Row],['#/Unit]]*FilterSpecs!$B$3+MouserListTable12[[#This Row],[Extra Initial]],0)</f>
        <v>5</v>
      </c>
      <c r="G107" s="103" t="s">
        <v>1024</v>
      </c>
      <c r="H107" s="103" t="s">
        <v>1025</v>
      </c>
      <c r="I107" s="103" t="s">
        <v>1026</v>
      </c>
      <c r="J107" s="146">
        <v>1</v>
      </c>
      <c r="K107" s="157">
        <v>0.95</v>
      </c>
      <c r="L107" s="103" t="s">
        <v>1911</v>
      </c>
      <c r="M107" s="106"/>
      <c r="N107" s="157">
        <f>MouserListTable12[[#This Row],['# Initial]]*MouserListTable12[[#This Row],[Price (USD)]]</f>
        <v>4.75</v>
      </c>
      <c r="O107" s="106" t="s">
        <v>1023</v>
      </c>
      <c r="P107" s="103">
        <f t="shared" si="1"/>
        <v>94</v>
      </c>
      <c r="Q107" s="103" t="s">
        <v>8</v>
      </c>
      <c r="R10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474-PRT-11476</v>
      </c>
      <c r="S107" s="195" t="str">
        <f>HYPERLINK("https://www.mouser.com/ProductDetail/" &amp;MouserListTable12[[#This Row],[Mouser SKU]])</f>
        <v>https://www.mouser.com/ProductDetail/474-PRT-11476</v>
      </c>
      <c r="T107" s="121">
        <v>1</v>
      </c>
      <c r="U107" s="121">
        <v>1</v>
      </c>
      <c r="V107" s="121">
        <v>0</v>
      </c>
      <c r="W107" s="121">
        <f>MouserListTable12[[#This Row],['#/Unit]]*FilterSpecs!$C$3+MouserListTable12[[#This Row],[Extra]]</f>
        <v>6</v>
      </c>
      <c r="X107" s="121">
        <f>IF(MouserListTable12[[#This Row],[Tag]]=FilterSpecs!$F$7,MouserListTable12[[#This Row],['#/Unit]]*MouserListTable12[[#This Row],[Price (USD)]],0)</f>
        <v>0.95</v>
      </c>
      <c r="Y107" s="121">
        <f>MouserListTable12[[#This Row],[Tot '#]]*MouserListTable12[[#This Row],[Price (USD)]]</f>
        <v>5.6999999999999993</v>
      </c>
      <c r="Z107"/>
    </row>
    <row r="108" spans="1:26" s="146" customFormat="1" hidden="1" x14ac:dyDescent="0.3">
      <c r="A108" s="103" t="s">
        <v>894</v>
      </c>
      <c r="B108" s="103" t="s">
        <v>2037</v>
      </c>
      <c r="C108" s="103" t="s">
        <v>1906</v>
      </c>
      <c r="D108" s="106" t="str">
        <f>IF(MouserListTable12[[#This Row],[Vendor]]=FilterSpecs!$A$8,MouserListTable12[[#This Row],[Mouser SKU]], MouserListTable12[[#This Row],[Supplier SKU]])</f>
        <v>474-PRT-11474</v>
      </c>
      <c r="E108" s="121">
        <f>MouserListTable12[[#This Row],[Tot '#]]-MouserListTable12[[#This Row],['# Initial]]</f>
        <v>4</v>
      </c>
      <c r="F108" s="121">
        <f>IF(AND(MouserListTable12[[#This Row],[Tag]]&lt;&gt;FilterSpecs!$F$12, MouserListTable12[[#This Row],[Tag]]&lt;&gt;FilterSpecs!$F$9), MouserListTable12[[#This Row],['#/Unit]]*FilterSpecs!$B$3+MouserListTable12[[#This Row],[Extra Initial]],0)</f>
        <v>0</v>
      </c>
      <c r="G108" s="103" t="s">
        <v>2423</v>
      </c>
      <c r="H108" s="103" t="s">
        <v>2424</v>
      </c>
      <c r="I108" s="103" t="s">
        <v>2425</v>
      </c>
      <c r="J108" s="146">
        <v>1</v>
      </c>
      <c r="K108" s="157">
        <v>0.3</v>
      </c>
      <c r="L108" s="103" t="s">
        <v>1910</v>
      </c>
      <c r="M108" s="106"/>
      <c r="N108" s="157">
        <f>MouserListTable12[[#This Row],['# Initial]]*MouserListTable12[[#This Row],[Price (USD)]]</f>
        <v>0</v>
      </c>
      <c r="O108" s="106" t="s">
        <v>2422</v>
      </c>
      <c r="P108" s="103">
        <f t="shared" si="1"/>
        <v>95</v>
      </c>
      <c r="Q108" s="103" t="s">
        <v>8</v>
      </c>
      <c r="R10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474-PRT-11474</v>
      </c>
      <c r="S108" s="195" t="str">
        <f>HYPERLINK("https://www.mouser.com/ProductDetail/" &amp;MouserListTable12[[#This Row],[Mouser SKU]])</f>
        <v>https://www.mouser.com/ProductDetail/474-PRT-11474</v>
      </c>
      <c r="T108" s="121">
        <v>0</v>
      </c>
      <c r="U108" s="121">
        <v>4</v>
      </c>
      <c r="V108" s="121">
        <v>0</v>
      </c>
      <c r="W108" s="121">
        <f>MouserListTable12[[#This Row],['#/Unit]]*FilterSpecs!$C$3+MouserListTable12[[#This Row],[Extra]]</f>
        <v>4</v>
      </c>
      <c r="X108" s="121">
        <f>IF(MouserListTable12[[#This Row],[Tag]]=FilterSpecs!$F$7,MouserListTable12[[#This Row],['#/Unit]]*MouserListTable12[[#This Row],[Price (USD)]],0)</f>
        <v>0</v>
      </c>
      <c r="Y108" s="121">
        <f>MouserListTable12[[#This Row],[Tot '#]]*MouserListTable12[[#This Row],[Price (USD)]]</f>
        <v>1.2</v>
      </c>
      <c r="Z108"/>
    </row>
    <row r="109" spans="1:26" s="146" customFormat="1" hidden="1" x14ac:dyDescent="0.3">
      <c r="A109" s="103" t="s">
        <v>894</v>
      </c>
      <c r="B109" s="103" t="s">
        <v>2037</v>
      </c>
      <c r="C109" s="103" t="s">
        <v>1906</v>
      </c>
      <c r="D109" s="106" t="str">
        <f>IF(MouserListTable12[[#This Row],[Vendor]]=FilterSpecs!$A$8,MouserListTable12[[#This Row],[Mouser SKU]], MouserListTable12[[#This Row],[Supplier SKU]])</f>
        <v>485-1829</v>
      </c>
      <c r="E109" s="121">
        <f>MouserListTable12[[#This Row],[Tot '#]]-MouserListTable12[[#This Row],['# Initial]]</f>
        <v>0</v>
      </c>
      <c r="F109" s="121">
        <f>IF(AND(MouserListTable12[[#This Row],[Tag]]&lt;&gt;FilterSpecs!$F$12, MouserListTable12[[#This Row],[Tag]]&lt;&gt;FilterSpecs!$F$9), MouserListTable12[[#This Row],['#/Unit]]*FilterSpecs!$B$3+MouserListTable12[[#This Row],[Extra Initial]],0)</f>
        <v>0</v>
      </c>
      <c r="G109" s="103"/>
      <c r="H109" s="103"/>
      <c r="I109" s="126" t="s">
        <v>2290</v>
      </c>
      <c r="K109" s="158">
        <v>0.95</v>
      </c>
      <c r="L109" s="126" t="s">
        <v>1910</v>
      </c>
      <c r="N109" s="157">
        <f>MouserListTable12[[#This Row],['# Initial]]*MouserListTable12[[#This Row],[Price (USD)]]</f>
        <v>0</v>
      </c>
      <c r="O109" s="106" t="s">
        <v>2289</v>
      </c>
      <c r="P109" s="103">
        <f t="shared" si="1"/>
        <v>96</v>
      </c>
      <c r="Q109" s="103" t="s">
        <v>1898</v>
      </c>
      <c r="R10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485-1829</v>
      </c>
      <c r="S109" s="195" t="str">
        <f>HYPERLINK("https://www.mouser.com/ProductDetail/" &amp;MouserListTable12[[#This Row],[Mouser SKU]])</f>
        <v>https://www.mouser.com/ProductDetail/485-1829</v>
      </c>
      <c r="T109" s="121">
        <v>0</v>
      </c>
      <c r="U109" s="121">
        <v>0</v>
      </c>
      <c r="V109" s="121">
        <v>0</v>
      </c>
      <c r="W109" s="121">
        <f>MouserListTable12[[#This Row],['#/Unit]]*FilterSpecs!$C$3+MouserListTable12[[#This Row],[Extra]]</f>
        <v>0</v>
      </c>
      <c r="X109" s="121">
        <f>IF(MouserListTable12[[#This Row],[Tag]]=FilterSpecs!$F$7,MouserListTable12[[#This Row],['#/Unit]]*MouserListTable12[[#This Row],[Price (USD)]],0)</f>
        <v>0</v>
      </c>
      <c r="Y109" s="121">
        <f>MouserListTable12[[#This Row],[Tot '#]]*MouserListTable12[[#This Row],[Price (USD)]]</f>
        <v>0</v>
      </c>
      <c r="Z109"/>
    </row>
    <row r="110" spans="1:26" s="146" customFormat="1" hidden="1" x14ac:dyDescent="0.3">
      <c r="A110" s="126" t="s">
        <v>894</v>
      </c>
      <c r="B110" s="126" t="s">
        <v>2037</v>
      </c>
      <c r="C110" s="103" t="s">
        <v>1906</v>
      </c>
      <c r="D110" s="106" t="str">
        <f>IF(MouserListTable12[[#This Row],[Vendor]]=FilterSpecs!$A$8,MouserListTable12[[#This Row],[Mouser SKU]], MouserListTable12[[#This Row],[Supplier SKU]])</f>
        <v>485-1388</v>
      </c>
      <c r="E110" s="121">
        <f>MouserListTable12[[#This Row],[Tot '#]]-MouserListTable12[[#This Row],['# Initial]]</f>
        <v>0</v>
      </c>
      <c r="F110" s="121">
        <f>IF(AND(MouserListTable12[[#This Row],[Tag]]&lt;&gt;FilterSpecs!$F$12, MouserListTable12[[#This Row],[Tag]]&lt;&gt;FilterSpecs!$F$9), MouserListTable12[[#This Row],['#/Unit]]*FilterSpecs!$B$3+MouserListTable12[[#This Row],[Extra Initial]],0)</f>
        <v>0</v>
      </c>
      <c r="G110" s="103"/>
      <c r="H110" s="103"/>
      <c r="I110" s="103" t="s">
        <v>2292</v>
      </c>
      <c r="J110" s="103"/>
      <c r="K110" s="157">
        <v>0.95</v>
      </c>
      <c r="L110" s="146" t="s">
        <v>1910</v>
      </c>
      <c r="M110" s="103"/>
      <c r="N110" s="157">
        <f>MouserListTable12[[#This Row],['# Initial]]*MouserListTable12[[#This Row],[Price (USD)]]</f>
        <v>0</v>
      </c>
      <c r="O110" s="106" t="s">
        <v>2291</v>
      </c>
      <c r="P110" s="103">
        <f t="shared" si="1"/>
        <v>97</v>
      </c>
      <c r="Q110" s="103" t="s">
        <v>1898</v>
      </c>
      <c r="R11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485-1388</v>
      </c>
      <c r="S110" s="195" t="str">
        <f>HYPERLINK("https://www.mouser.com/ProductDetail/" &amp;MouserListTable12[[#This Row],[Mouser SKU]])</f>
        <v>https://www.mouser.com/ProductDetail/485-1388</v>
      </c>
      <c r="T110" s="121">
        <v>0</v>
      </c>
      <c r="U110" s="121">
        <v>0</v>
      </c>
      <c r="V110" s="121">
        <v>0</v>
      </c>
      <c r="W110" s="121">
        <f>MouserListTable12[[#This Row],['#/Unit]]*FilterSpecs!$C$3+MouserListTable12[[#This Row],[Extra]]</f>
        <v>0</v>
      </c>
      <c r="X110" s="121">
        <f>IF(MouserListTable12[[#This Row],[Tag]]=FilterSpecs!$F$7,MouserListTable12[[#This Row],['#/Unit]]*MouserListTable12[[#This Row],[Price (USD)]],0)</f>
        <v>0</v>
      </c>
      <c r="Y110" s="121">
        <f>MouserListTable12[[#This Row],[Tot '#]]*MouserListTable12[[#This Row],[Price (USD)]]</f>
        <v>0</v>
      </c>
      <c r="Z110"/>
    </row>
    <row r="111" spans="1:26" s="146" customFormat="1" hidden="1" x14ac:dyDescent="0.3">
      <c r="A111" s="126" t="s">
        <v>894</v>
      </c>
      <c r="B111" s="126" t="s">
        <v>2037</v>
      </c>
      <c r="C111" s="103" t="s">
        <v>1906</v>
      </c>
      <c r="D111" s="106" t="str">
        <f>IF(MouserListTable12[[#This Row],[Vendor]]=FilterSpecs!$A$8,MouserListTable12[[#This Row],[Mouser SKU]], MouserListTable12[[#This Row],[Supplier SKU]])</f>
        <v>485-1390</v>
      </c>
      <c r="E111" s="121">
        <f>MouserListTable12[[#This Row],[Tot '#]]-MouserListTable12[[#This Row],['# Initial]]</f>
        <v>0</v>
      </c>
      <c r="F111" s="121">
        <f>IF(AND(MouserListTable12[[#This Row],[Tag]]&lt;&gt;FilterSpecs!$F$12, MouserListTable12[[#This Row],[Tag]]&lt;&gt;FilterSpecs!$F$9), MouserListTable12[[#This Row],['#/Unit]]*FilterSpecs!$B$3+MouserListTable12[[#This Row],[Extra Initial]],0)</f>
        <v>0</v>
      </c>
      <c r="G111" s="103"/>
      <c r="H111" s="103"/>
      <c r="I111" s="103" t="s">
        <v>2294</v>
      </c>
      <c r="J111" s="103"/>
      <c r="K111" s="157">
        <v>0.95</v>
      </c>
      <c r="L111" s="146" t="s">
        <v>1910</v>
      </c>
      <c r="M111" s="103"/>
      <c r="N111" s="157">
        <f>MouserListTable12[[#This Row],['# Initial]]*MouserListTable12[[#This Row],[Price (USD)]]</f>
        <v>0</v>
      </c>
      <c r="O111" s="106" t="s">
        <v>2293</v>
      </c>
      <c r="P111" s="103">
        <f t="shared" si="1"/>
        <v>98</v>
      </c>
      <c r="Q111" s="103" t="s">
        <v>1898</v>
      </c>
      <c r="R11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485-1390</v>
      </c>
      <c r="S111" s="195" t="str">
        <f>HYPERLINK("https://www.mouser.com/ProductDetail/" &amp;MouserListTable12[[#This Row],[Mouser SKU]])</f>
        <v>https://www.mouser.com/ProductDetail/485-1390</v>
      </c>
      <c r="T111" s="121">
        <v>0</v>
      </c>
      <c r="U111" s="121">
        <v>0</v>
      </c>
      <c r="V111" s="121">
        <v>0</v>
      </c>
      <c r="W111" s="121">
        <f>MouserListTable12[[#This Row],['#/Unit]]*FilterSpecs!$C$3+MouserListTable12[[#This Row],[Extra]]</f>
        <v>0</v>
      </c>
      <c r="X111" s="121">
        <f>IF(MouserListTable12[[#This Row],[Tag]]=FilterSpecs!$F$7,MouserListTable12[[#This Row],['#/Unit]]*MouserListTable12[[#This Row],[Price (USD)]],0)</f>
        <v>0</v>
      </c>
      <c r="Y111" s="121">
        <f>MouserListTable12[[#This Row],[Tot '#]]*MouserListTable12[[#This Row],[Price (USD)]]</f>
        <v>0</v>
      </c>
      <c r="Z111"/>
    </row>
    <row r="112" spans="1:26" s="146" customFormat="1" hidden="1" x14ac:dyDescent="0.3">
      <c r="A112" s="126" t="s">
        <v>894</v>
      </c>
      <c r="B112" s="126" t="s">
        <v>2037</v>
      </c>
      <c r="C112" s="103" t="s">
        <v>1906</v>
      </c>
      <c r="D112" s="106" t="str">
        <f>IF(MouserListTable12[[#This Row],[Vendor]]=FilterSpecs!$A$8,MouserListTable12[[#This Row],[Mouser SKU]], MouserListTable12[[#This Row],[Supplier SKU]])</f>
        <v>485-1389</v>
      </c>
      <c r="E112" s="121">
        <f>MouserListTable12[[#This Row],[Tot '#]]-MouserListTable12[[#This Row],['# Initial]]</f>
        <v>0</v>
      </c>
      <c r="F112" s="121">
        <f>IF(AND(MouserListTable12[[#This Row],[Tag]]&lt;&gt;FilterSpecs!$F$12, MouserListTable12[[#This Row],[Tag]]&lt;&gt;FilterSpecs!$F$9), MouserListTable12[[#This Row],['#/Unit]]*FilterSpecs!$B$3+MouserListTable12[[#This Row],[Extra Initial]],0)</f>
        <v>0</v>
      </c>
      <c r="G112" s="103"/>
      <c r="H112" s="103"/>
      <c r="I112" s="103" t="s">
        <v>2296</v>
      </c>
      <c r="J112" s="103"/>
      <c r="K112" s="157">
        <v>0.95</v>
      </c>
      <c r="L112" s="146" t="s">
        <v>1910</v>
      </c>
      <c r="M112" s="103"/>
      <c r="N112" s="157">
        <f>MouserListTable12[[#This Row],['# Initial]]*MouserListTable12[[#This Row],[Price (USD)]]</f>
        <v>0</v>
      </c>
      <c r="O112" s="106" t="s">
        <v>2295</v>
      </c>
      <c r="P112" s="103">
        <f t="shared" si="1"/>
        <v>99</v>
      </c>
      <c r="Q112" s="103" t="s">
        <v>1898</v>
      </c>
      <c r="R11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485-1389</v>
      </c>
      <c r="S112" s="195" t="str">
        <f>HYPERLINK("https://www.mouser.com/ProductDetail/" &amp;MouserListTable12[[#This Row],[Mouser SKU]])</f>
        <v>https://www.mouser.com/ProductDetail/485-1389</v>
      </c>
      <c r="T112" s="121">
        <v>0</v>
      </c>
      <c r="U112" s="121">
        <v>0</v>
      </c>
      <c r="V112" s="121">
        <v>0</v>
      </c>
      <c r="W112" s="121">
        <f>MouserListTable12[[#This Row],['#/Unit]]*FilterSpecs!$C$3+MouserListTable12[[#This Row],[Extra]]</f>
        <v>0</v>
      </c>
      <c r="X112" s="121">
        <f>IF(MouserListTable12[[#This Row],[Tag]]=FilterSpecs!$F$7,MouserListTable12[[#This Row],['#/Unit]]*MouserListTable12[[#This Row],[Price (USD)]],0)</f>
        <v>0</v>
      </c>
      <c r="Y112" s="121">
        <f>MouserListTable12[[#This Row],[Tot '#]]*MouserListTable12[[#This Row],[Price (USD)]]</f>
        <v>0</v>
      </c>
      <c r="Z112"/>
    </row>
    <row r="113" spans="1:26" s="146" customFormat="1" hidden="1" x14ac:dyDescent="0.3">
      <c r="A113" s="126" t="s">
        <v>894</v>
      </c>
      <c r="B113" s="126" t="s">
        <v>2037</v>
      </c>
      <c r="C113" s="103" t="s">
        <v>1906</v>
      </c>
      <c r="D113" s="106" t="str">
        <f>IF(MouserListTable12[[#This Row],[Vendor]]=FilterSpecs!$A$8,MouserListTable12[[#This Row],[Mouser SKU]], MouserListTable12[[#This Row],[Supplier SKU]])</f>
        <v>485-1827</v>
      </c>
      <c r="E113" s="121">
        <f>MouserListTable12[[#This Row],[Tot '#]]-MouserListTable12[[#This Row],['# Initial]]</f>
        <v>0</v>
      </c>
      <c r="F113" s="121">
        <f>IF(AND(MouserListTable12[[#This Row],[Tag]]&lt;&gt;FilterSpecs!$F$12, MouserListTable12[[#This Row],[Tag]]&lt;&gt;FilterSpecs!$F$9), MouserListTable12[[#This Row],['#/Unit]]*FilterSpecs!$B$3+MouserListTable12[[#This Row],[Extra Initial]],0)</f>
        <v>0</v>
      </c>
      <c r="G113" s="103"/>
      <c r="H113" s="103"/>
      <c r="I113" s="103" t="s">
        <v>2298</v>
      </c>
      <c r="J113" s="103"/>
      <c r="K113" s="157">
        <v>0.95</v>
      </c>
      <c r="L113" s="146" t="s">
        <v>1910</v>
      </c>
      <c r="M113" s="103"/>
      <c r="N113" s="157">
        <f>MouserListTable12[[#This Row],['# Initial]]*MouserListTable12[[#This Row],[Price (USD)]]</f>
        <v>0</v>
      </c>
      <c r="O113" s="106" t="s">
        <v>2297</v>
      </c>
      <c r="P113" s="103">
        <f t="shared" si="1"/>
        <v>100</v>
      </c>
      <c r="Q113" s="103" t="s">
        <v>1898</v>
      </c>
      <c r="R11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485-1827</v>
      </c>
      <c r="S113" s="195" t="str">
        <f>HYPERLINK("https://www.mouser.com/ProductDetail/" &amp;MouserListTable12[[#This Row],[Mouser SKU]])</f>
        <v>https://www.mouser.com/ProductDetail/485-1827</v>
      </c>
      <c r="T113" s="121">
        <v>0</v>
      </c>
      <c r="U113" s="121">
        <v>0</v>
      </c>
      <c r="V113" s="121">
        <v>0</v>
      </c>
      <c r="W113" s="121">
        <f>MouserListTable12[[#This Row],['#/Unit]]*FilterSpecs!$C$3+MouserListTable12[[#This Row],[Extra]]</f>
        <v>0</v>
      </c>
      <c r="X113" s="121">
        <f>IF(MouserListTable12[[#This Row],[Tag]]=FilterSpecs!$F$7,MouserListTable12[[#This Row],['#/Unit]]*MouserListTable12[[#This Row],[Price (USD)]],0)</f>
        <v>0</v>
      </c>
      <c r="Y113" s="121">
        <f>MouserListTable12[[#This Row],[Tot '#]]*MouserListTable12[[#This Row],[Price (USD)]]</f>
        <v>0</v>
      </c>
      <c r="Z113"/>
    </row>
    <row r="114" spans="1:26" s="146" customFormat="1" hidden="1" x14ac:dyDescent="0.3">
      <c r="A114" s="126" t="s">
        <v>894</v>
      </c>
      <c r="B114" s="126" t="s">
        <v>2037</v>
      </c>
      <c r="C114" s="103" t="s">
        <v>1906</v>
      </c>
      <c r="D114" s="106" t="str">
        <f>IF(MouserListTable12[[#This Row],[Vendor]]=FilterSpecs!$A$8,MouserListTable12[[#This Row],[Mouser SKU]], MouserListTable12[[#This Row],[Supplier SKU]])</f>
        <v>485-1826</v>
      </c>
      <c r="E114" s="121">
        <f>MouserListTable12[[#This Row],[Tot '#]]-MouserListTable12[[#This Row],['# Initial]]</f>
        <v>0</v>
      </c>
      <c r="F114" s="121">
        <f>IF(AND(MouserListTable12[[#This Row],[Tag]]&lt;&gt;FilterSpecs!$F$12, MouserListTable12[[#This Row],[Tag]]&lt;&gt;FilterSpecs!$F$9), MouserListTable12[[#This Row],['#/Unit]]*FilterSpecs!$B$3+MouserListTable12[[#This Row],[Extra Initial]],0)</f>
        <v>0</v>
      </c>
      <c r="G114" s="103"/>
      <c r="H114" s="103"/>
      <c r="I114" s="103" t="s">
        <v>2300</v>
      </c>
      <c r="J114" s="103"/>
      <c r="K114" s="157">
        <v>0.95</v>
      </c>
      <c r="L114" s="146" t="s">
        <v>1910</v>
      </c>
      <c r="M114" s="103"/>
      <c r="N114" s="157">
        <f>MouserListTable12[[#This Row],['# Initial]]*MouserListTable12[[#This Row],[Price (USD)]]</f>
        <v>0</v>
      </c>
      <c r="O114" s="106" t="s">
        <v>2299</v>
      </c>
      <c r="P114" s="103">
        <f t="shared" si="1"/>
        <v>101</v>
      </c>
      <c r="Q114" s="103" t="s">
        <v>1898</v>
      </c>
      <c r="R11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485-1826</v>
      </c>
      <c r="S114" s="195" t="str">
        <f>HYPERLINK("https://www.mouser.com/ProductDetail/" &amp;MouserListTable12[[#This Row],[Mouser SKU]])</f>
        <v>https://www.mouser.com/ProductDetail/485-1826</v>
      </c>
      <c r="T114" s="121">
        <v>0</v>
      </c>
      <c r="U114" s="121">
        <v>0</v>
      </c>
      <c r="V114" s="121">
        <v>0</v>
      </c>
      <c r="W114" s="121">
        <f>MouserListTable12[[#This Row],['#/Unit]]*FilterSpecs!$C$3+MouserListTable12[[#This Row],[Extra]]</f>
        <v>0</v>
      </c>
      <c r="X114" s="121">
        <f>IF(MouserListTable12[[#This Row],[Tag]]=FilterSpecs!$F$7,MouserListTable12[[#This Row],['#/Unit]]*MouserListTable12[[#This Row],[Price (USD)]],0)</f>
        <v>0</v>
      </c>
      <c r="Y114" s="121">
        <f>MouserListTable12[[#This Row],[Tot '#]]*MouserListTable12[[#This Row],[Price (USD)]]</f>
        <v>0</v>
      </c>
      <c r="Z114"/>
    </row>
    <row r="115" spans="1:26" s="146" customFormat="1" hidden="1" x14ac:dyDescent="0.3">
      <c r="A115" s="103" t="s">
        <v>894</v>
      </c>
      <c r="B115" s="103" t="s">
        <v>14</v>
      </c>
      <c r="C115" s="103" t="s">
        <v>1906</v>
      </c>
      <c r="D115" s="106" t="str">
        <f>IF(MouserListTable12[[#This Row],[Vendor]]=FilterSpecs!$A$8,MouserListTable12[[#This Row],[Mouser SKU]], MouserListTable12[[#This Row],[Supplier SKU]])</f>
        <v>474-SEN-00246</v>
      </c>
      <c r="E115" s="121">
        <f>MouserListTable12[[#This Row],[Tot '#]]-MouserListTable12[[#This Row],['# Initial]]</f>
        <v>0</v>
      </c>
      <c r="F115" s="121">
        <f>IF(AND(MouserListTable12[[#This Row],[Tag]]&lt;&gt;FilterSpecs!$F$12, MouserListTable12[[#This Row],[Tag]]&lt;&gt;FilterSpecs!$F$9), MouserListTable12[[#This Row],['#/Unit]]*FilterSpecs!$B$3+MouserListTable12[[#This Row],[Extra Initial]],0)</f>
        <v>0</v>
      </c>
      <c r="G115" s="103" t="s">
        <v>73</v>
      </c>
      <c r="H115" s="103" t="s">
        <v>74</v>
      </c>
      <c r="I115" s="103" t="s">
        <v>75</v>
      </c>
      <c r="J115" s="103">
        <v>1</v>
      </c>
      <c r="K115" s="157">
        <v>0.95</v>
      </c>
      <c r="L115" s="103" t="s">
        <v>1911</v>
      </c>
      <c r="M115" s="106"/>
      <c r="N115" s="157">
        <f>MouserListTable12[[#This Row],['# Initial]]*MouserListTable12[[#This Row],[Price (USD)]]</f>
        <v>0</v>
      </c>
      <c r="O115" s="106" t="s">
        <v>72</v>
      </c>
      <c r="P115" s="103">
        <f t="shared" si="1"/>
        <v>102</v>
      </c>
      <c r="Q115" s="103" t="s">
        <v>8</v>
      </c>
      <c r="R11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474-SEN-00246</v>
      </c>
      <c r="S115" s="195" t="str">
        <f>HYPERLINK("https://www.mouser.com/ProductDetail/" &amp;MouserListTable12[[#This Row],[Mouser SKU]])</f>
        <v>https://www.mouser.com/ProductDetail/474-SEN-00246</v>
      </c>
      <c r="T115" s="121">
        <v>0</v>
      </c>
      <c r="U115" s="121">
        <v>0</v>
      </c>
      <c r="V115" s="121">
        <v>0</v>
      </c>
      <c r="W115" s="121">
        <f>MouserListTable12[[#This Row],['#/Unit]]*FilterSpecs!$C$3+MouserListTable12[[#This Row],[Extra]]</f>
        <v>0</v>
      </c>
      <c r="X115" s="121">
        <f>IF(MouserListTable12[[#This Row],[Tag]]=FilterSpecs!$F$7,MouserListTable12[[#This Row],['#/Unit]]*MouserListTable12[[#This Row],[Price (USD)]],0)</f>
        <v>0</v>
      </c>
      <c r="Y115" s="121">
        <f>MouserListTable12[[#This Row],[Tot '#]]*MouserListTable12[[#This Row],[Price (USD)]]</f>
        <v>0</v>
      </c>
      <c r="Z115"/>
    </row>
    <row r="116" spans="1:26" s="146" customFormat="1" x14ac:dyDescent="0.3">
      <c r="A116" s="103" t="s">
        <v>894</v>
      </c>
      <c r="B116" s="103" t="s">
        <v>14</v>
      </c>
      <c r="C116" s="103" t="s">
        <v>1906</v>
      </c>
      <c r="D116" s="106" t="str">
        <f>IF(MouserListTable12[[#This Row],[Vendor]]=FilterSpecs!$A$8,MouserListTable12[[#This Row],[Mouser SKU]], MouserListTable12[[#This Row],[Supplier SKU]])</f>
        <v>474-SEN-00241</v>
      </c>
      <c r="E116" s="121">
        <f>MouserListTable12[[#This Row],[Tot '#]]-MouserListTable12[[#This Row],['# Initial]]</f>
        <v>0</v>
      </c>
      <c r="F116" s="121">
        <f>IF(AND(MouserListTable12[[#This Row],[Tag]]&lt;&gt;FilterSpecs!$F$12, MouserListTable12[[#This Row],[Tag]]&lt;&gt;FilterSpecs!$F$9), MouserListTable12[[#This Row],['#/Unit]]*FilterSpecs!$B$3+MouserListTable12[[#This Row],[Extra Initial]],0)</f>
        <v>20</v>
      </c>
      <c r="G116" s="103" t="s">
        <v>77</v>
      </c>
      <c r="H116" s="103" t="s">
        <v>78</v>
      </c>
      <c r="I116" s="103" t="s">
        <v>79</v>
      </c>
      <c r="J116" s="103">
        <v>1</v>
      </c>
      <c r="K116" s="157">
        <v>1.95</v>
      </c>
      <c r="L116" s="103" t="s">
        <v>1911</v>
      </c>
      <c r="M116" s="106"/>
      <c r="N116" s="157">
        <f>MouserListTable12[[#This Row],['# Initial]]*MouserListTable12[[#This Row],[Price (USD)]]</f>
        <v>39</v>
      </c>
      <c r="O116" s="106" t="s">
        <v>76</v>
      </c>
      <c r="P116" s="103">
        <f t="shared" si="1"/>
        <v>103</v>
      </c>
      <c r="Q116" s="103" t="s">
        <v>8</v>
      </c>
      <c r="R11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474-SEN-00241</v>
      </c>
      <c r="S116" s="195" t="str">
        <f>HYPERLINK("https://www.mouser.com/ProductDetail/" &amp;MouserListTable12[[#This Row],[Mouser SKU]])</f>
        <v>https://www.mouser.com/ProductDetail/474-SEN-00241</v>
      </c>
      <c r="T116" s="121">
        <v>4</v>
      </c>
      <c r="U116" s="121">
        <v>0</v>
      </c>
      <c r="V116" s="121">
        <v>0</v>
      </c>
      <c r="W116" s="121">
        <f>MouserListTable12[[#This Row],['#/Unit]]*FilterSpecs!$C$3+MouserListTable12[[#This Row],[Extra]]</f>
        <v>20</v>
      </c>
      <c r="X116" s="121">
        <f>IF(MouserListTable12[[#This Row],[Tag]]=FilterSpecs!$F$7,MouserListTable12[[#This Row],['#/Unit]]*MouserListTable12[[#This Row],[Price (USD)]],0)</f>
        <v>7.8</v>
      </c>
      <c r="Y116" s="121">
        <f>MouserListTable12[[#This Row],[Tot '#]]*MouserListTable12[[#This Row],[Price (USD)]]</f>
        <v>39</v>
      </c>
      <c r="Z116"/>
    </row>
    <row r="117" spans="1:26" s="146" customFormat="1" x14ac:dyDescent="0.3">
      <c r="A117" s="103" t="s">
        <v>894</v>
      </c>
      <c r="B117" s="103" t="s">
        <v>14</v>
      </c>
      <c r="C117" s="103" t="s">
        <v>1906</v>
      </c>
      <c r="D117" s="106" t="str">
        <f>IF(MouserListTable12[[#This Row],[Vendor]]=FilterSpecs!$A$8,MouserListTable12[[#This Row],[Mouser SKU]], MouserListTable12[[#This Row],[Supplier SKU]])</f>
        <v>474-SEN-13968</v>
      </c>
      <c r="E117" s="121">
        <f>MouserListTable12[[#This Row],[Tot '#]]-MouserListTable12[[#This Row],['# Initial]]</f>
        <v>0</v>
      </c>
      <c r="F117" s="121">
        <f>IF(AND(MouserListTable12[[#This Row],[Tag]]&lt;&gt;FilterSpecs!$F$12, MouserListTable12[[#This Row],[Tag]]&lt;&gt;FilterSpecs!$F$9), MouserListTable12[[#This Row],['#/Unit]]*FilterSpecs!$B$3+MouserListTable12[[#This Row],[Extra Initial]],0)</f>
        <v>5</v>
      </c>
      <c r="G117" s="103" t="s">
        <v>81</v>
      </c>
      <c r="H117" s="103" t="s">
        <v>82</v>
      </c>
      <c r="I117" s="103" t="s">
        <v>83</v>
      </c>
      <c r="J117" s="103"/>
      <c r="K117" s="157">
        <v>14.95</v>
      </c>
      <c r="L117" s="116" t="s">
        <v>1911</v>
      </c>
      <c r="M117" s="106"/>
      <c r="N117" s="157">
        <f>MouserListTable12[[#This Row],['# Initial]]*MouserListTable12[[#This Row],[Price (USD)]]</f>
        <v>74.75</v>
      </c>
      <c r="O117" s="106" t="s">
        <v>80</v>
      </c>
      <c r="P117" s="103">
        <f t="shared" si="1"/>
        <v>104</v>
      </c>
      <c r="Q117" s="103" t="s">
        <v>8</v>
      </c>
      <c r="R11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474-SEN-13968</v>
      </c>
      <c r="S117" s="195" t="str">
        <f>HYPERLINK("https://www.mouser.com/ProductDetail/" &amp;MouserListTable12[[#This Row],[Mouser SKU]])</f>
        <v>https://www.mouser.com/ProductDetail/474-SEN-13968</v>
      </c>
      <c r="T117" s="121">
        <v>1</v>
      </c>
      <c r="U117" s="121">
        <v>0</v>
      </c>
      <c r="V117" s="121">
        <v>0</v>
      </c>
      <c r="W117" s="121">
        <f>MouserListTable12[[#This Row],['#/Unit]]*FilterSpecs!$C$3+MouserListTable12[[#This Row],[Extra]]</f>
        <v>5</v>
      </c>
      <c r="X117" s="121">
        <f>IF(MouserListTable12[[#This Row],[Tag]]=FilterSpecs!$F$7,MouserListTable12[[#This Row],['#/Unit]]*MouserListTable12[[#This Row],[Price (USD)]],0)</f>
        <v>14.95</v>
      </c>
      <c r="Y117" s="121">
        <f>MouserListTable12[[#This Row],[Tot '#]]*MouserListTable12[[#This Row],[Price (USD)]]</f>
        <v>74.75</v>
      </c>
      <c r="Z117"/>
    </row>
    <row r="118" spans="1:26" s="146" customFormat="1" x14ac:dyDescent="0.3">
      <c r="A118" s="103" t="s">
        <v>894</v>
      </c>
      <c r="B118" s="103" t="s">
        <v>14</v>
      </c>
      <c r="C118" s="103" t="s">
        <v>1906</v>
      </c>
      <c r="D118" s="106" t="str">
        <f>IF(MouserListTable12[[#This Row],[Vendor]]=FilterSpecs!$A$8,MouserListTable12[[#This Row],[Mouser SKU]], MouserListTable12[[#This Row],[Supplier SKU]])</f>
        <v>474-SEN-13959</v>
      </c>
      <c r="E118" s="121">
        <f>MouserListTable12[[#This Row],[Tot '#]]-MouserListTable12[[#This Row],['# Initial]]</f>
        <v>0</v>
      </c>
      <c r="F118" s="121">
        <f>IF(AND(MouserListTable12[[#This Row],[Tag]]&lt;&gt;FilterSpecs!$F$12, MouserListTable12[[#This Row],[Tag]]&lt;&gt;FilterSpecs!$F$9), MouserListTable12[[#This Row],['#/Unit]]*FilterSpecs!$B$3+MouserListTable12[[#This Row],[Extra Initial]],0)</f>
        <v>5</v>
      </c>
      <c r="G118" s="103" t="s">
        <v>85</v>
      </c>
      <c r="H118" s="103" t="s">
        <v>86</v>
      </c>
      <c r="I118" s="103" t="s">
        <v>87</v>
      </c>
      <c r="J118" s="103">
        <v>1</v>
      </c>
      <c r="K118" s="157">
        <v>3.95</v>
      </c>
      <c r="L118" s="103" t="s">
        <v>1911</v>
      </c>
      <c r="M118" s="106"/>
      <c r="N118" s="157">
        <f>MouserListTable12[[#This Row],['# Initial]]*MouserListTable12[[#This Row],[Price (USD)]]</f>
        <v>19.75</v>
      </c>
      <c r="O118" s="106" t="s">
        <v>84</v>
      </c>
      <c r="P118" s="103">
        <f t="shared" si="1"/>
        <v>105</v>
      </c>
      <c r="Q118" s="103" t="s">
        <v>8</v>
      </c>
      <c r="R11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474-SEN-13959</v>
      </c>
      <c r="S118" s="195" t="str">
        <f>HYPERLINK("https://www.mouser.com/ProductDetail/" &amp;MouserListTable12[[#This Row],[Mouser SKU]])</f>
        <v>https://www.mouser.com/ProductDetail/474-SEN-13959</v>
      </c>
      <c r="T118" s="121">
        <v>1</v>
      </c>
      <c r="U118" s="121">
        <v>0</v>
      </c>
      <c r="V118" s="121">
        <v>0</v>
      </c>
      <c r="W118" s="121">
        <f>MouserListTable12[[#This Row],['#/Unit]]*FilterSpecs!$C$3+MouserListTable12[[#This Row],[Extra]]</f>
        <v>5</v>
      </c>
      <c r="X118" s="121">
        <f>IF(MouserListTable12[[#This Row],[Tag]]=FilterSpecs!$F$7,MouserListTable12[[#This Row],['#/Unit]]*MouserListTable12[[#This Row],[Price (USD)]],0)</f>
        <v>3.95</v>
      </c>
      <c r="Y118" s="121">
        <f>MouserListTable12[[#This Row],[Tot '#]]*MouserListTable12[[#This Row],[Price (USD)]]</f>
        <v>19.75</v>
      </c>
      <c r="Z118"/>
    </row>
    <row r="119" spans="1:26" s="146" customFormat="1" hidden="1" x14ac:dyDescent="0.3">
      <c r="A119" s="126" t="s">
        <v>894</v>
      </c>
      <c r="B119" s="126" t="s">
        <v>14</v>
      </c>
      <c r="C119" s="103" t="s">
        <v>1906</v>
      </c>
      <c r="D119" s="106" t="str">
        <f>IF(MouserListTable12[[#This Row],[Vendor]]=FilterSpecs!$A$8,MouserListTable12[[#This Row],[Mouser SKU]], MouserListTable12[[#This Row],[Supplier SKU]])</f>
        <v>474-SEN-12785</v>
      </c>
      <c r="E119" s="121">
        <f>MouserListTable12[[#This Row],[Tot '#]]-MouserListTable12[[#This Row],['# Initial]]</f>
        <v>0</v>
      </c>
      <c r="F119" s="121">
        <f>IF(AND(MouserListTable12[[#This Row],[Tag]]&lt;&gt;FilterSpecs!$F$12, MouserListTable12[[#This Row],[Tag]]&lt;&gt;FilterSpecs!$F$9), MouserListTable12[[#This Row],['#/Unit]]*FilterSpecs!$B$3+MouserListTable12[[#This Row],[Extra Initial]],0)</f>
        <v>0</v>
      </c>
      <c r="G119" s="103" t="s">
        <v>89</v>
      </c>
      <c r="H119" s="103" t="s">
        <v>90</v>
      </c>
      <c r="I119" s="103" t="s">
        <v>91</v>
      </c>
      <c r="J119" s="103">
        <v>1</v>
      </c>
      <c r="K119" s="157">
        <v>24.95</v>
      </c>
      <c r="L119" s="103" t="s">
        <v>1911</v>
      </c>
      <c r="N119" s="157">
        <f>MouserListTable12[[#This Row],['# Initial]]*MouserListTable12[[#This Row],[Price (USD)]]</f>
        <v>0</v>
      </c>
      <c r="O119" s="106" t="s">
        <v>88</v>
      </c>
      <c r="P119" s="103">
        <f t="shared" si="1"/>
        <v>106</v>
      </c>
      <c r="Q119" s="103" t="s">
        <v>8</v>
      </c>
      <c r="R11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474-SEN-12785</v>
      </c>
      <c r="S119" s="195" t="str">
        <f>HYPERLINK("https://www.mouser.com/ProductDetail/" &amp;MouserListTable12[[#This Row],[Mouser SKU]])</f>
        <v>https://www.mouser.com/ProductDetail/474-SEN-12785</v>
      </c>
      <c r="T119" s="121">
        <v>0</v>
      </c>
      <c r="U119" s="121">
        <v>0</v>
      </c>
      <c r="V119" s="121">
        <v>0</v>
      </c>
      <c r="W119" s="121">
        <f>MouserListTable12[[#This Row],['#/Unit]]*FilterSpecs!$C$3+MouserListTable12[[#This Row],[Extra]]</f>
        <v>0</v>
      </c>
      <c r="X119" s="121">
        <f>IF(MouserListTable12[[#This Row],[Tag]]=FilterSpecs!$F$7,MouserListTable12[[#This Row],['#/Unit]]*MouserListTable12[[#This Row],[Price (USD)]],0)</f>
        <v>0</v>
      </c>
      <c r="Y119" s="121">
        <f>MouserListTable12[[#This Row],[Tot '#]]*MouserListTable12[[#This Row],[Price (USD)]]</f>
        <v>0</v>
      </c>
      <c r="Z119"/>
    </row>
    <row r="120" spans="1:26" s="146" customFormat="1" hidden="1" x14ac:dyDescent="0.3">
      <c r="A120" s="103" t="s">
        <v>894</v>
      </c>
      <c r="B120" s="103" t="s">
        <v>14</v>
      </c>
      <c r="C120" s="103" t="s">
        <v>1906</v>
      </c>
      <c r="D120" s="106" t="str">
        <f>IF(MouserListTable12[[#This Row],[Vendor]]=FilterSpecs!$A$8,MouserListTable12[[#This Row],[Mouser SKU]], MouserListTable12[[#This Row],[Supplier SKU]])</f>
        <v>474-SEN-13162</v>
      </c>
      <c r="E120" s="121">
        <f>MouserListTable12[[#This Row],[Tot '#]]-MouserListTable12[[#This Row],['# Initial]]</f>
        <v>0</v>
      </c>
      <c r="F120" s="121">
        <f>IF(AND(MouserListTable12[[#This Row],[Tag]]&lt;&gt;FilterSpecs!$F$12, MouserListTable12[[#This Row],[Tag]]&lt;&gt;FilterSpecs!$F$9), MouserListTable12[[#This Row],['#/Unit]]*FilterSpecs!$B$3+MouserListTable12[[#This Row],[Extra Initial]],0)</f>
        <v>0</v>
      </c>
      <c r="G120" s="103" t="s">
        <v>93</v>
      </c>
      <c r="H120" s="103" t="s">
        <v>94</v>
      </c>
      <c r="I120" s="103" t="s">
        <v>95</v>
      </c>
      <c r="J120" s="103"/>
      <c r="K120" s="157">
        <v>24.95</v>
      </c>
      <c r="L120" s="103" t="s">
        <v>1911</v>
      </c>
      <c r="M120" s="106"/>
      <c r="N120" s="157">
        <f>MouserListTable12[[#This Row],['# Initial]]*MouserListTable12[[#This Row],[Price (USD)]]</f>
        <v>0</v>
      </c>
      <c r="O120" s="106" t="s">
        <v>92</v>
      </c>
      <c r="P120" s="103">
        <f t="shared" si="1"/>
        <v>107</v>
      </c>
      <c r="Q120" s="103" t="s">
        <v>8</v>
      </c>
      <c r="R12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474-SEN-13162</v>
      </c>
      <c r="S120" s="195" t="str">
        <f>HYPERLINK("https://www.mouser.com/ProductDetail/" &amp;MouserListTable12[[#This Row],[Mouser SKU]])</f>
        <v>https://www.mouser.com/ProductDetail/474-SEN-13162</v>
      </c>
      <c r="T120" s="121">
        <v>0</v>
      </c>
      <c r="U120" s="121">
        <v>0</v>
      </c>
      <c r="V120" s="121">
        <v>0</v>
      </c>
      <c r="W120" s="121">
        <f>MouserListTable12[[#This Row],['#/Unit]]*FilterSpecs!$C$3+MouserListTable12[[#This Row],[Extra]]</f>
        <v>0</v>
      </c>
      <c r="X120" s="121">
        <f>IF(MouserListTable12[[#This Row],[Tag]]=FilterSpecs!$F$7,MouserListTable12[[#This Row],['#/Unit]]*MouserListTable12[[#This Row],[Price (USD)]],0)</f>
        <v>0</v>
      </c>
      <c r="Y120" s="121">
        <f>MouserListTable12[[#This Row],[Tot '#]]*MouserListTable12[[#This Row],[Price (USD)]]</f>
        <v>0</v>
      </c>
      <c r="Z120"/>
    </row>
    <row r="121" spans="1:26" s="146" customFormat="1" hidden="1" x14ac:dyDescent="0.3">
      <c r="A121" s="126" t="s">
        <v>894</v>
      </c>
      <c r="B121" s="126" t="s">
        <v>14</v>
      </c>
      <c r="C121" s="103" t="s">
        <v>1906</v>
      </c>
      <c r="D121" s="106" t="str">
        <f>IF(MouserListTable12[[#This Row],[Vendor]]=FilterSpecs!$A$8,MouserListTable12[[#This Row],[Mouser SKU]], MouserListTable12[[#This Row],[Supplier SKU]])</f>
        <v>474-SEN-12787</v>
      </c>
      <c r="E121" s="121">
        <f>MouserListTable12[[#This Row],[Tot '#]]-MouserListTable12[[#This Row],['# Initial]]</f>
        <v>0</v>
      </c>
      <c r="F121" s="121">
        <f>IF(AND(MouserListTable12[[#This Row],[Tag]]&lt;&gt;FilterSpecs!$F$12, MouserListTable12[[#This Row],[Tag]]&lt;&gt;FilterSpecs!$F$9), MouserListTable12[[#This Row],['#/Unit]]*FilterSpecs!$B$3+MouserListTable12[[#This Row],[Extra Initial]],0)</f>
        <v>0</v>
      </c>
      <c r="G121" s="103" t="s">
        <v>97</v>
      </c>
      <c r="H121" s="103" t="s">
        <v>98</v>
      </c>
      <c r="I121" s="103" t="s">
        <v>99</v>
      </c>
      <c r="J121" s="103">
        <v>1</v>
      </c>
      <c r="K121" s="157">
        <v>14.95</v>
      </c>
      <c r="L121" s="103" t="s">
        <v>1911</v>
      </c>
      <c r="N121" s="157">
        <f>MouserListTable12[[#This Row],['# Initial]]*MouserListTable12[[#This Row],[Price (USD)]]</f>
        <v>0</v>
      </c>
      <c r="O121" s="106" t="s">
        <v>96</v>
      </c>
      <c r="P121" s="103">
        <f t="shared" si="1"/>
        <v>108</v>
      </c>
      <c r="Q121" s="103" t="s">
        <v>8</v>
      </c>
      <c r="R12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474-SEN-12787</v>
      </c>
      <c r="S121" s="195" t="str">
        <f>HYPERLINK("https://www.mouser.com/ProductDetail/" &amp;MouserListTable12[[#This Row],[Mouser SKU]])</f>
        <v>https://www.mouser.com/ProductDetail/474-SEN-12787</v>
      </c>
      <c r="T121" s="121">
        <v>0</v>
      </c>
      <c r="U121" s="121">
        <v>0</v>
      </c>
      <c r="V121" s="121">
        <v>0</v>
      </c>
      <c r="W121" s="121">
        <f>MouserListTable12[[#This Row],['#/Unit]]*FilterSpecs!$C$3+MouserListTable12[[#This Row],[Extra]]</f>
        <v>0</v>
      </c>
      <c r="X121" s="121">
        <f>IF(MouserListTable12[[#This Row],[Tag]]=FilterSpecs!$F$7,MouserListTable12[[#This Row],['#/Unit]]*MouserListTable12[[#This Row],[Price (USD)]],0)</f>
        <v>0</v>
      </c>
      <c r="Y121" s="121">
        <f>MouserListTable12[[#This Row],[Tot '#]]*MouserListTable12[[#This Row],[Price (USD)]]</f>
        <v>0</v>
      </c>
      <c r="Z121"/>
    </row>
    <row r="122" spans="1:26" s="146" customFormat="1" hidden="1" x14ac:dyDescent="0.3">
      <c r="A122" s="103" t="s">
        <v>894</v>
      </c>
      <c r="B122" s="103" t="s">
        <v>14</v>
      </c>
      <c r="C122" s="103" t="s">
        <v>1906</v>
      </c>
      <c r="D122" s="106" t="str">
        <f>IF(MouserListTable12[[#This Row],[Vendor]]=FilterSpecs!$A$8,MouserListTable12[[#This Row],[Mouser SKU]], MouserListTable12[[#This Row],[Supplier SKU]])</f>
        <v>474-SPX-14343</v>
      </c>
      <c r="E122" s="121">
        <f>MouserListTable12[[#This Row],[Tot '#]]-MouserListTable12[[#This Row],['# Initial]]</f>
        <v>3</v>
      </c>
      <c r="F122" s="121">
        <f>IF(AND(MouserListTable12[[#This Row],[Tag]]&lt;&gt;FilterSpecs!$F$12, MouserListTable12[[#This Row],[Tag]]&lt;&gt;FilterSpecs!$F$9), MouserListTable12[[#This Row],['#/Unit]]*FilterSpecs!$B$3+MouserListTable12[[#This Row],[Extra Initial]],0)</f>
        <v>0</v>
      </c>
      <c r="G122" s="103" t="s">
        <v>101</v>
      </c>
      <c r="H122" s="103" t="s">
        <v>102</v>
      </c>
      <c r="I122" s="103" t="s">
        <v>103</v>
      </c>
      <c r="J122" s="103">
        <v>1</v>
      </c>
      <c r="K122" s="157">
        <v>19.95</v>
      </c>
      <c r="L122" s="103" t="s">
        <v>2487</v>
      </c>
      <c r="M122" s="106"/>
      <c r="N122" s="157">
        <f>MouserListTable12[[#This Row],['# Initial]]*MouserListTable12[[#This Row],[Price (USD)]]</f>
        <v>0</v>
      </c>
      <c r="O122" s="106" t="s">
        <v>100</v>
      </c>
      <c r="P122" s="103">
        <f t="shared" si="1"/>
        <v>109</v>
      </c>
      <c r="Q122" s="103" t="s">
        <v>8</v>
      </c>
      <c r="R12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474-SPX-14343</v>
      </c>
      <c r="S122" s="195" t="str">
        <f>HYPERLINK("https://www.mouser.com/ProductDetail/" &amp;MouserListTable12[[#This Row],[Mouser SKU]])</f>
        <v>https://www.mouser.com/ProductDetail/474-SPX-14343</v>
      </c>
      <c r="T122" s="121">
        <v>0</v>
      </c>
      <c r="U122" s="121">
        <v>3</v>
      </c>
      <c r="V122" s="121">
        <v>0</v>
      </c>
      <c r="W122" s="121">
        <f>MouserListTable12[[#This Row],['#/Unit]]*FilterSpecs!$C$3+MouserListTable12[[#This Row],[Extra]]</f>
        <v>3</v>
      </c>
      <c r="X122" s="121">
        <f>IF(MouserListTable12[[#This Row],[Tag]]=FilterSpecs!$F$7,MouserListTable12[[#This Row],['#/Unit]]*MouserListTable12[[#This Row],[Price (USD)]],0)</f>
        <v>0</v>
      </c>
      <c r="Y122" s="121">
        <f>MouserListTable12[[#This Row],[Tot '#]]*MouserListTable12[[#This Row],[Price (USD)]]</f>
        <v>59.849999999999994</v>
      </c>
      <c r="Z122"/>
    </row>
    <row r="123" spans="1:26" s="144" customFormat="1" hidden="1" x14ac:dyDescent="0.3">
      <c r="A123" s="126" t="s">
        <v>894</v>
      </c>
      <c r="B123" s="126" t="s">
        <v>14</v>
      </c>
      <c r="C123" s="103" t="s">
        <v>1906</v>
      </c>
      <c r="D123" s="106" t="str">
        <f>IF(MouserListTable12[[#This Row],[Vendor]]=FilterSpecs!$A$8,MouserListTable12[[#This Row],[Mouser SKU]], MouserListTable12[[#This Row],[Supplier SKU]])</f>
        <v>474-SEN-00242</v>
      </c>
      <c r="E123" s="121">
        <f>MouserListTable12[[#This Row],[Tot '#]]-MouserListTable12[[#This Row],['# Initial]]</f>
        <v>0</v>
      </c>
      <c r="F123" s="121">
        <f>IF(AND(MouserListTable12[[#This Row],[Tag]]&lt;&gt;FilterSpecs!$F$12, MouserListTable12[[#This Row],[Tag]]&lt;&gt;FilterSpecs!$F$9), MouserListTable12[[#This Row],['#/Unit]]*FilterSpecs!$B$3+MouserListTable12[[#This Row],[Extra Initial]],0)</f>
        <v>0</v>
      </c>
      <c r="G123" s="103" t="s">
        <v>105</v>
      </c>
      <c r="H123" s="103" t="s">
        <v>106</v>
      </c>
      <c r="I123" s="103" t="s">
        <v>107</v>
      </c>
      <c r="J123" s="103">
        <v>1</v>
      </c>
      <c r="K123" s="157">
        <v>13.95</v>
      </c>
      <c r="L123" s="103" t="s">
        <v>1911</v>
      </c>
      <c r="M123" s="146"/>
      <c r="N123" s="157">
        <f>MouserListTable12[[#This Row],['# Initial]]*MouserListTable12[[#This Row],[Price (USD)]]</f>
        <v>0</v>
      </c>
      <c r="O123" s="106" t="s">
        <v>104</v>
      </c>
      <c r="P123" s="103">
        <f t="shared" si="1"/>
        <v>110</v>
      </c>
      <c r="Q123" s="103" t="s">
        <v>8</v>
      </c>
      <c r="R12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474-SEN-00242</v>
      </c>
      <c r="S123" s="195" t="str">
        <f>HYPERLINK("https://www.mouser.com/ProductDetail/" &amp;MouserListTable12[[#This Row],[Mouser SKU]])</f>
        <v>https://www.mouser.com/ProductDetail/474-SEN-00242</v>
      </c>
      <c r="T123" s="121">
        <v>0</v>
      </c>
      <c r="U123" s="121">
        <v>0</v>
      </c>
      <c r="V123" s="121">
        <v>0</v>
      </c>
      <c r="W123" s="121">
        <f>MouserListTable12[[#This Row],['#/Unit]]*FilterSpecs!$C$3+MouserListTable12[[#This Row],[Extra]]</f>
        <v>0</v>
      </c>
      <c r="X123" s="121">
        <f>IF(MouserListTable12[[#This Row],[Tag]]=FilterSpecs!$F$7,MouserListTable12[[#This Row],['#/Unit]]*MouserListTable12[[#This Row],[Price (USD)]],0)</f>
        <v>0</v>
      </c>
      <c r="Y123" s="121">
        <f>MouserListTable12[[#This Row],[Tot '#]]*MouserListTable12[[#This Row],[Price (USD)]]</f>
        <v>0</v>
      </c>
      <c r="Z123"/>
    </row>
    <row r="124" spans="1:26" s="144" customFormat="1" hidden="1" x14ac:dyDescent="0.3">
      <c r="A124" s="126" t="s">
        <v>894</v>
      </c>
      <c r="B124" s="126" t="s">
        <v>14</v>
      </c>
      <c r="C124" s="103" t="s">
        <v>1906</v>
      </c>
      <c r="D124" s="106" t="str">
        <f>IF(MouserListTable12[[#This Row],[Vendor]]=FilterSpecs!$A$8,MouserListTable12[[#This Row],[Mouser SKU]], MouserListTable12[[#This Row],[Supplier SKU]])</f>
        <v>474-SEN-08733</v>
      </c>
      <c r="E124" s="121">
        <f>MouserListTable12[[#This Row],[Tot '#]]-MouserListTable12[[#This Row],['# Initial]]</f>
        <v>0</v>
      </c>
      <c r="F124" s="121">
        <f>IF(AND(MouserListTable12[[#This Row],[Tag]]&lt;&gt;FilterSpecs!$F$12, MouserListTable12[[#This Row],[Tag]]&lt;&gt;FilterSpecs!$F$9), MouserListTable12[[#This Row],['#/Unit]]*FilterSpecs!$B$3+MouserListTable12[[#This Row],[Extra Initial]],0)</f>
        <v>0</v>
      </c>
      <c r="G124" s="103" t="s">
        <v>1093</v>
      </c>
      <c r="H124" s="103" t="s">
        <v>1094</v>
      </c>
      <c r="I124" s="103" t="s">
        <v>1095</v>
      </c>
      <c r="J124" s="103">
        <v>1</v>
      </c>
      <c r="K124" s="157">
        <v>1.5</v>
      </c>
      <c r="L124" s="103" t="s">
        <v>1911</v>
      </c>
      <c r="M124" s="146"/>
      <c r="N124" s="157">
        <f>MouserListTable12[[#This Row],['# Initial]]*MouserListTable12[[#This Row],[Price (USD)]]</f>
        <v>0</v>
      </c>
      <c r="O124" s="106" t="s">
        <v>1092</v>
      </c>
      <c r="P124" s="103">
        <f t="shared" si="1"/>
        <v>111</v>
      </c>
      <c r="Q124" s="103" t="s">
        <v>8</v>
      </c>
      <c r="R12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474-SEN-08733</v>
      </c>
      <c r="S124" s="195" t="str">
        <f>HYPERLINK("https://www.mouser.com/ProductDetail/" &amp;MouserListTable12[[#This Row],[Mouser SKU]])</f>
        <v>https://www.mouser.com/ProductDetail/474-SEN-08733</v>
      </c>
      <c r="T124" s="121">
        <v>0</v>
      </c>
      <c r="U124" s="121">
        <v>0</v>
      </c>
      <c r="V124" s="121">
        <v>0</v>
      </c>
      <c r="W124" s="121">
        <f>MouserListTable12[[#This Row],['#/Unit]]*FilterSpecs!$C$3+MouserListTable12[[#This Row],[Extra]]</f>
        <v>0</v>
      </c>
      <c r="X124" s="121">
        <f>IF(MouserListTable12[[#This Row],[Tag]]=FilterSpecs!$F$7,MouserListTable12[[#This Row],['#/Unit]]*MouserListTable12[[#This Row],[Price (USD)]],0)</f>
        <v>0</v>
      </c>
      <c r="Y124" s="121">
        <f>MouserListTable12[[#This Row],[Tot '#]]*MouserListTable12[[#This Row],[Price (USD)]]</f>
        <v>0</v>
      </c>
      <c r="Z124"/>
    </row>
    <row r="125" spans="1:26" s="144" customFormat="1" hidden="1" x14ac:dyDescent="0.3">
      <c r="A125" s="103" t="s">
        <v>894</v>
      </c>
      <c r="B125" s="103" t="s">
        <v>14</v>
      </c>
      <c r="C125" s="103" t="s">
        <v>1906</v>
      </c>
      <c r="D125" s="106" t="str">
        <f>IF(MouserListTable12[[#This Row],[Vendor]]=FilterSpecs!$A$8,MouserListTable12[[#This Row],[Mouser SKU]], MouserListTable12[[#This Row],[Supplier SKU]])</f>
        <v>485-3538</v>
      </c>
      <c r="E125" s="121">
        <f>MouserListTable12[[#This Row],[Tot '#]]-MouserListTable12[[#This Row],['# Initial]]</f>
        <v>0</v>
      </c>
      <c r="F125" s="121">
        <f>IF(AND(MouserListTable12[[#This Row],[Tag]]&lt;&gt;FilterSpecs!$F$12, MouserListTable12[[#This Row],[Tag]]&lt;&gt;FilterSpecs!$F$9), MouserListTable12[[#This Row],['#/Unit]]*FilterSpecs!$B$3+MouserListTable12[[#This Row],[Extra Initial]],0)</f>
        <v>0</v>
      </c>
      <c r="G125" s="103"/>
      <c r="H125" s="103"/>
      <c r="I125" s="126" t="s">
        <v>2319</v>
      </c>
      <c r="J125" s="146"/>
      <c r="K125" s="158">
        <v>39.950000000000003</v>
      </c>
      <c r="L125" s="126" t="s">
        <v>1910</v>
      </c>
      <c r="M125" s="146"/>
      <c r="N125" s="157">
        <f>MouserListTable12[[#This Row],['# Initial]]*MouserListTable12[[#This Row],[Price (USD)]]</f>
        <v>0</v>
      </c>
      <c r="O125" s="106" t="s">
        <v>2318</v>
      </c>
      <c r="P125" s="103">
        <f t="shared" si="1"/>
        <v>112</v>
      </c>
      <c r="Q125" s="103" t="s">
        <v>1898</v>
      </c>
      <c r="R12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485-3538</v>
      </c>
      <c r="S125" s="195" t="str">
        <f>HYPERLINK("https://www.mouser.com/ProductDetail/" &amp;MouserListTable12[[#This Row],[Mouser SKU]])</f>
        <v>https://www.mouser.com/ProductDetail/485-3538</v>
      </c>
      <c r="T125" s="121">
        <v>0</v>
      </c>
      <c r="U125" s="121">
        <v>0</v>
      </c>
      <c r="V125" s="121">
        <v>0</v>
      </c>
      <c r="W125" s="121">
        <f>MouserListTable12[[#This Row],['#/Unit]]*FilterSpecs!$C$3+MouserListTable12[[#This Row],[Extra]]</f>
        <v>0</v>
      </c>
      <c r="X125" s="121">
        <f>IF(MouserListTable12[[#This Row],[Tag]]=FilterSpecs!$F$7,MouserListTable12[[#This Row],['#/Unit]]*MouserListTable12[[#This Row],[Price (USD)]],0)</f>
        <v>0</v>
      </c>
      <c r="Y125" s="121">
        <f>MouserListTable12[[#This Row],[Tot '#]]*MouserListTable12[[#This Row],[Price (USD)]]</f>
        <v>0</v>
      </c>
      <c r="Z125"/>
    </row>
    <row r="126" spans="1:26" s="144" customFormat="1" x14ac:dyDescent="0.3">
      <c r="A126" s="103" t="s">
        <v>894</v>
      </c>
      <c r="B126" s="103" t="s">
        <v>14</v>
      </c>
      <c r="C126" s="103" t="s">
        <v>1906</v>
      </c>
      <c r="D126" s="106" t="str">
        <f>IF(MouserListTable12[[#This Row],[Vendor]]=FilterSpecs!$A$8,MouserListTable12[[#This Row],[Mouser SKU]], MouserListTable12[[#This Row],[Supplier SKU]])</f>
        <v>485-3317</v>
      </c>
      <c r="E126" s="121">
        <f>MouserListTable12[[#This Row],[Tot '#]]-MouserListTable12[[#This Row],['# Initial]]</f>
        <v>0</v>
      </c>
      <c r="F126" s="121">
        <f>IF(AND(MouserListTable12[[#This Row],[Tag]]&lt;&gt;FilterSpecs!$F$12, MouserListTable12[[#This Row],[Tag]]&lt;&gt;FilterSpecs!$F$9), MouserListTable12[[#This Row],['#/Unit]]*FilterSpecs!$B$3+MouserListTable12[[#This Row],[Extra Initial]],0)</f>
        <v>10</v>
      </c>
      <c r="G126" s="103"/>
      <c r="H126" s="103"/>
      <c r="I126" s="103" t="s">
        <v>2321</v>
      </c>
      <c r="J126" s="146"/>
      <c r="K126" s="157">
        <v>14.95</v>
      </c>
      <c r="L126" s="103" t="s">
        <v>1911</v>
      </c>
      <c r="M126" s="106"/>
      <c r="N126" s="157">
        <f>MouserListTable12[[#This Row],['# Initial]]*MouserListTable12[[#This Row],[Price (USD)]]</f>
        <v>149.5</v>
      </c>
      <c r="O126" s="106" t="s">
        <v>2320</v>
      </c>
      <c r="P126" s="103">
        <f t="shared" si="1"/>
        <v>113</v>
      </c>
      <c r="Q126" s="103" t="s">
        <v>1898</v>
      </c>
      <c r="R12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485-3317</v>
      </c>
      <c r="S126" s="195" t="str">
        <f>HYPERLINK("https://www.mouser.com/ProductDetail/" &amp;MouserListTable12[[#This Row],[Mouser SKU]])</f>
        <v>https://www.mouser.com/ProductDetail/485-3317</v>
      </c>
      <c r="T126" s="121">
        <v>2</v>
      </c>
      <c r="U126" s="121">
        <v>0</v>
      </c>
      <c r="V126" s="121">
        <v>0</v>
      </c>
      <c r="W126" s="121">
        <f>MouserListTable12[[#This Row],['#/Unit]]*FilterSpecs!$C$3+MouserListTable12[[#This Row],[Extra]]</f>
        <v>10</v>
      </c>
      <c r="X126" s="121">
        <f>IF(MouserListTable12[[#This Row],[Tag]]=FilterSpecs!$F$7,MouserListTable12[[#This Row],['#/Unit]]*MouserListTable12[[#This Row],[Price (USD)]],0)</f>
        <v>29.9</v>
      </c>
      <c r="Y126" s="121">
        <f>MouserListTable12[[#This Row],[Tot '#]]*MouserListTable12[[#This Row],[Price (USD)]]</f>
        <v>149.5</v>
      </c>
      <c r="Z126"/>
    </row>
    <row r="127" spans="1:26" s="144" customFormat="1" hidden="1" x14ac:dyDescent="0.3">
      <c r="A127" s="103" t="s">
        <v>894</v>
      </c>
      <c r="B127" s="103" t="s">
        <v>14</v>
      </c>
      <c r="C127" s="103" t="s">
        <v>1906</v>
      </c>
      <c r="D127" s="106" t="str">
        <f>IF(MouserListTable12[[#This Row],[Vendor]]=FilterSpecs!$A$8,MouserListTable12[[#This Row],[Mouser SKU]], MouserListTable12[[#This Row],[Supplier SKU]])</f>
        <v>485-3316</v>
      </c>
      <c r="E127" s="121">
        <f>MouserListTable12[[#This Row],[Tot '#]]-MouserListTable12[[#This Row],['# Initial]]</f>
        <v>0</v>
      </c>
      <c r="F127" s="121">
        <f>IF(AND(MouserListTable12[[#This Row],[Tag]]&lt;&gt;FilterSpecs!$F$12, MouserListTable12[[#This Row],[Tag]]&lt;&gt;FilterSpecs!$F$9), MouserListTable12[[#This Row],['#/Unit]]*FilterSpecs!$B$3+MouserListTable12[[#This Row],[Extra Initial]],0)</f>
        <v>0</v>
      </c>
      <c r="G127" s="103"/>
      <c r="H127" s="103"/>
      <c r="I127" s="126" t="s">
        <v>2323</v>
      </c>
      <c r="J127" s="146"/>
      <c r="K127" s="158">
        <v>13.95</v>
      </c>
      <c r="L127" s="126" t="s">
        <v>1910</v>
      </c>
      <c r="M127" s="146"/>
      <c r="N127" s="157">
        <f>MouserListTable12[[#This Row],['# Initial]]*MouserListTable12[[#This Row],[Price (USD)]]</f>
        <v>0</v>
      </c>
      <c r="O127" s="106" t="s">
        <v>2322</v>
      </c>
      <c r="P127" s="103">
        <f t="shared" si="1"/>
        <v>114</v>
      </c>
      <c r="Q127" s="103" t="s">
        <v>1898</v>
      </c>
      <c r="R12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485-3316</v>
      </c>
      <c r="S127" s="195" t="str">
        <f>HYPERLINK("https://www.mouser.com/ProductDetail/" &amp;MouserListTable12[[#This Row],[Mouser SKU]])</f>
        <v>https://www.mouser.com/ProductDetail/485-3316</v>
      </c>
      <c r="T127" s="121">
        <v>0</v>
      </c>
      <c r="U127" s="121">
        <v>0</v>
      </c>
      <c r="V127" s="121">
        <v>0</v>
      </c>
      <c r="W127" s="121">
        <f>MouserListTable12[[#This Row],['#/Unit]]*FilterSpecs!$C$3+MouserListTable12[[#This Row],[Extra]]</f>
        <v>0</v>
      </c>
      <c r="X127" s="121">
        <f>IF(MouserListTable12[[#This Row],[Tag]]=FilterSpecs!$F$7,MouserListTable12[[#This Row],['#/Unit]]*MouserListTable12[[#This Row],[Price (USD)]],0)</f>
        <v>0</v>
      </c>
      <c r="Y127" s="121">
        <f>MouserListTable12[[#This Row],[Tot '#]]*MouserListTable12[[#This Row],[Price (USD)]]</f>
        <v>0</v>
      </c>
      <c r="Z127"/>
    </row>
    <row r="128" spans="1:26" s="144" customFormat="1" hidden="1" x14ac:dyDescent="0.3">
      <c r="A128" s="103" t="s">
        <v>894</v>
      </c>
      <c r="B128" s="103" t="s">
        <v>14</v>
      </c>
      <c r="C128" s="103" t="s">
        <v>1906</v>
      </c>
      <c r="D128" s="106" t="str">
        <f>IF(MouserListTable12[[#This Row],[Vendor]]=FilterSpecs!$A$8,MouserListTable12[[#This Row],[Mouser SKU]], MouserListTable12[[#This Row],[Supplier SKU]])</f>
        <v>485-1568</v>
      </c>
      <c r="E128" s="121">
        <f>MouserListTable12[[#This Row],[Tot '#]]-MouserListTable12[[#This Row],['# Initial]]</f>
        <v>0</v>
      </c>
      <c r="F128" s="121">
        <f>IF(AND(MouserListTable12[[#This Row],[Tag]]&lt;&gt;FilterSpecs!$F$12, MouserListTable12[[#This Row],[Tag]]&lt;&gt;FilterSpecs!$F$9), MouserListTable12[[#This Row],['#/Unit]]*FilterSpecs!$B$3+MouserListTable12[[#This Row],[Extra Initial]],0)</f>
        <v>0</v>
      </c>
      <c r="G128" s="103"/>
      <c r="H128" s="103"/>
      <c r="I128" s="126" t="s">
        <v>2325</v>
      </c>
      <c r="J128" s="146"/>
      <c r="K128" s="158">
        <v>24.95</v>
      </c>
      <c r="L128" s="126" t="s">
        <v>1910</v>
      </c>
      <c r="M128" s="146"/>
      <c r="N128" s="157">
        <f>MouserListTable12[[#This Row],['# Initial]]*MouserListTable12[[#This Row],[Price (USD)]]</f>
        <v>0</v>
      </c>
      <c r="O128" s="106" t="s">
        <v>2324</v>
      </c>
      <c r="P128" s="103">
        <f t="shared" si="1"/>
        <v>115</v>
      </c>
      <c r="Q128" s="103" t="s">
        <v>1898</v>
      </c>
      <c r="R12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485-1568</v>
      </c>
      <c r="S128" s="195" t="str">
        <f>HYPERLINK("https://www.mouser.com/ProductDetail/" &amp;MouserListTable12[[#This Row],[Mouser SKU]])</f>
        <v>https://www.mouser.com/ProductDetail/485-1568</v>
      </c>
      <c r="T128" s="121">
        <v>0</v>
      </c>
      <c r="U128" s="121">
        <v>0</v>
      </c>
      <c r="V128" s="121">
        <v>0</v>
      </c>
      <c r="W128" s="121">
        <f>MouserListTable12[[#This Row],['#/Unit]]*FilterSpecs!$C$3+MouserListTable12[[#This Row],[Extra]]</f>
        <v>0</v>
      </c>
      <c r="X128" s="121">
        <f>IF(MouserListTable12[[#This Row],[Tag]]=FilterSpecs!$F$7,MouserListTable12[[#This Row],['#/Unit]]*MouserListTable12[[#This Row],[Price (USD)]],0)</f>
        <v>0</v>
      </c>
      <c r="Y128" s="121">
        <f>MouserListTable12[[#This Row],[Tot '#]]*MouserListTable12[[#This Row],[Price (USD)]]</f>
        <v>0</v>
      </c>
      <c r="Z128"/>
    </row>
    <row r="129" spans="1:26" s="144" customFormat="1" hidden="1" x14ac:dyDescent="0.3">
      <c r="A129" s="103" t="s">
        <v>894</v>
      </c>
      <c r="B129" s="103" t="s">
        <v>14</v>
      </c>
      <c r="C129" s="103" t="s">
        <v>1906</v>
      </c>
      <c r="D129" s="106" t="str">
        <f>IF(MouserListTable12[[#This Row],[Vendor]]=FilterSpecs!$A$8,MouserListTable12[[#This Row],[Mouser SKU]], MouserListTable12[[#This Row],[Supplier SKU]])</f>
        <v>485-164</v>
      </c>
      <c r="E129" s="121">
        <f>MouserListTable12[[#This Row],[Tot '#]]-MouserListTable12[[#This Row],['# Initial]]</f>
        <v>0</v>
      </c>
      <c r="F129" s="121">
        <f>IF(AND(MouserListTable12[[#This Row],[Tag]]&lt;&gt;FilterSpecs!$F$12, MouserListTable12[[#This Row],[Tag]]&lt;&gt;FilterSpecs!$F$9), MouserListTable12[[#This Row],['#/Unit]]*FilterSpecs!$B$3+MouserListTable12[[#This Row],[Extra Initial]],0)</f>
        <v>0</v>
      </c>
      <c r="G129" s="103"/>
      <c r="H129" s="103"/>
      <c r="I129" s="126" t="s">
        <v>2327</v>
      </c>
      <c r="J129" s="146"/>
      <c r="K129" s="158">
        <v>14.95</v>
      </c>
      <c r="L129" s="126" t="s">
        <v>1910</v>
      </c>
      <c r="M129" s="146"/>
      <c r="N129" s="157">
        <f>MouserListTable12[[#This Row],['# Initial]]*MouserListTable12[[#This Row],[Price (USD)]]</f>
        <v>0</v>
      </c>
      <c r="O129" s="106" t="s">
        <v>2326</v>
      </c>
      <c r="P129" s="103">
        <f t="shared" si="1"/>
        <v>116</v>
      </c>
      <c r="Q129" s="103" t="s">
        <v>1898</v>
      </c>
      <c r="R12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485-164</v>
      </c>
      <c r="S129" s="195" t="str">
        <f>HYPERLINK("https://www.mouser.com/ProductDetail/" &amp;MouserListTable12[[#This Row],[Mouser SKU]])</f>
        <v>https://www.mouser.com/ProductDetail/485-164</v>
      </c>
      <c r="T129" s="121">
        <v>0</v>
      </c>
      <c r="U129" s="121">
        <v>0</v>
      </c>
      <c r="V129" s="121">
        <v>0</v>
      </c>
      <c r="W129" s="121">
        <f>MouserListTable12[[#This Row],['#/Unit]]*FilterSpecs!$C$3+MouserListTable12[[#This Row],[Extra]]</f>
        <v>0</v>
      </c>
      <c r="X129" s="121">
        <f>IF(MouserListTable12[[#This Row],[Tag]]=FilterSpecs!$F$7,MouserListTable12[[#This Row],['#/Unit]]*MouserListTable12[[#This Row],[Price (USD)]],0)</f>
        <v>0</v>
      </c>
      <c r="Y129" s="121">
        <f>MouserListTable12[[#This Row],[Tot '#]]*MouserListTable12[[#This Row],[Price (USD)]]</f>
        <v>0</v>
      </c>
      <c r="Z129"/>
    </row>
    <row r="130" spans="1:26" s="144" customFormat="1" hidden="1" x14ac:dyDescent="0.3">
      <c r="A130" s="103" t="s">
        <v>894</v>
      </c>
      <c r="B130" s="103" t="s">
        <v>14</v>
      </c>
      <c r="C130" s="103" t="s">
        <v>1906</v>
      </c>
      <c r="D130" s="106" t="str">
        <f>IF(MouserListTable12[[#This Row],[Vendor]]=FilterSpecs!$A$8,MouserListTable12[[#This Row],[Mouser SKU]], MouserListTable12[[#This Row],[Supplier SKU]])</f>
        <v>485-1031</v>
      </c>
      <c r="E130" s="121">
        <f>MouserListTable12[[#This Row],[Tot '#]]-MouserListTable12[[#This Row],['# Initial]]</f>
        <v>0</v>
      </c>
      <c r="F130" s="121">
        <f>IF(AND(MouserListTable12[[#This Row],[Tag]]&lt;&gt;FilterSpecs!$F$12, MouserListTable12[[#This Row],[Tag]]&lt;&gt;FilterSpecs!$F$9), MouserListTable12[[#This Row],['#/Unit]]*FilterSpecs!$B$3+MouserListTable12[[#This Row],[Extra Initial]],0)</f>
        <v>0</v>
      </c>
      <c r="G130" s="103"/>
      <c r="H130" s="103"/>
      <c r="I130" s="126" t="s">
        <v>2329</v>
      </c>
      <c r="J130" s="146"/>
      <c r="K130" s="158">
        <v>15.95</v>
      </c>
      <c r="L130" s="126" t="s">
        <v>1910</v>
      </c>
      <c r="M130" s="146"/>
      <c r="N130" s="157">
        <f>MouserListTable12[[#This Row],['# Initial]]*MouserListTable12[[#This Row],[Price (USD)]]</f>
        <v>0</v>
      </c>
      <c r="O130" s="106" t="s">
        <v>2328</v>
      </c>
      <c r="P130" s="103">
        <f t="shared" si="1"/>
        <v>117</v>
      </c>
      <c r="Q130" s="103" t="s">
        <v>1898</v>
      </c>
      <c r="R13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485-1031</v>
      </c>
      <c r="S130" s="195" t="str">
        <f>HYPERLINK("https://www.mouser.com/ProductDetail/" &amp;MouserListTable12[[#This Row],[Mouser SKU]])</f>
        <v>https://www.mouser.com/ProductDetail/485-1031</v>
      </c>
      <c r="T130" s="121">
        <v>0</v>
      </c>
      <c r="U130" s="121">
        <v>0</v>
      </c>
      <c r="V130" s="121">
        <v>0</v>
      </c>
      <c r="W130" s="121">
        <f>MouserListTable12[[#This Row],['#/Unit]]*FilterSpecs!$C$3+MouserListTable12[[#This Row],[Extra]]</f>
        <v>0</v>
      </c>
      <c r="X130" s="121">
        <f>IF(MouserListTable12[[#This Row],[Tag]]=FilterSpecs!$F$7,MouserListTable12[[#This Row],['#/Unit]]*MouserListTable12[[#This Row],[Price (USD)]],0)</f>
        <v>0</v>
      </c>
      <c r="Y130" s="121">
        <f>MouserListTable12[[#This Row],[Tot '#]]*MouserListTable12[[#This Row],[Price (USD)]]</f>
        <v>0</v>
      </c>
      <c r="Z130"/>
    </row>
    <row r="131" spans="1:26" s="144" customFormat="1" x14ac:dyDescent="0.3">
      <c r="A131" s="103" t="s">
        <v>894</v>
      </c>
      <c r="B131" s="103" t="s">
        <v>14</v>
      </c>
      <c r="C131" s="103" t="s">
        <v>1906</v>
      </c>
      <c r="D131" s="106" t="str">
        <f>IF(MouserListTable12[[#This Row],[Vendor]]=FilterSpecs!$A$8,MouserListTable12[[#This Row],[Mouser SKU]], MouserListTable12[[#This Row],[Supplier SKU]])</f>
        <v>511-53L0-SATEL-I1</v>
      </c>
      <c r="E131" s="121">
        <f>MouserListTable12[[#This Row],[Tot '#]]-MouserListTable12[[#This Row],['# Initial]]</f>
        <v>0</v>
      </c>
      <c r="F131" s="121">
        <f>IF(AND(MouserListTable12[[#This Row],[Tag]]&lt;&gt;FilterSpecs!$F$12, MouserListTable12[[#This Row],[Tag]]&lt;&gt;FilterSpecs!$F$9), MouserListTable12[[#This Row],['#/Unit]]*FilterSpecs!$B$3+MouserListTable12[[#This Row],[Extra Initial]],0)</f>
        <v>5</v>
      </c>
      <c r="G131" s="103"/>
      <c r="H131" s="103"/>
      <c r="I131" s="103" t="s">
        <v>2553</v>
      </c>
      <c r="J131" s="103"/>
      <c r="K131" s="157">
        <v>18.5</v>
      </c>
      <c r="L131" s="121" t="s">
        <v>1911</v>
      </c>
      <c r="M131" s="103"/>
      <c r="N131" s="157">
        <f>MouserListTable12[[#This Row],['# Initial]]*MouserListTable12[[#This Row],[Price (USD)]]</f>
        <v>92.5</v>
      </c>
      <c r="O131" s="106" t="s">
        <v>2551</v>
      </c>
      <c r="P131" s="103">
        <f t="shared" si="1"/>
        <v>118</v>
      </c>
      <c r="Q131" s="103" t="s">
        <v>2554</v>
      </c>
      <c r="R13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511-53L0-SATEL-I1</v>
      </c>
      <c r="S131" s="195" t="str">
        <f>HYPERLINK("https://www.mouser.com/ProductDetail/" &amp;MouserListTable12[[#This Row],[Mouser SKU]])</f>
        <v>https://www.mouser.com/ProductDetail/511-53L0-SATEL-I1</v>
      </c>
      <c r="T131" s="121">
        <v>1</v>
      </c>
      <c r="U131" s="121">
        <v>0</v>
      </c>
      <c r="V131" s="121">
        <v>0</v>
      </c>
      <c r="W131" s="121">
        <f>MouserListTable12[[#This Row],['#/Unit]]*FilterSpecs!$C$3+MouserListTable12[[#This Row],[Extra]]</f>
        <v>5</v>
      </c>
      <c r="X131" s="121">
        <f>IF(MouserListTable12[[#This Row],[Tag]]=FilterSpecs!$F$7,MouserListTable12[[#This Row],['#/Unit]]*MouserListTable12[[#This Row],[Price (USD)]],0)</f>
        <v>18.5</v>
      </c>
      <c r="Y131" s="121">
        <f>MouserListTable12[[#This Row],[Tot '#]]*MouserListTable12[[#This Row],[Price (USD)]]</f>
        <v>92.5</v>
      </c>
      <c r="Z131"/>
    </row>
    <row r="132" spans="1:26" s="146" customFormat="1" x14ac:dyDescent="0.3">
      <c r="A132" s="103" t="s">
        <v>894</v>
      </c>
      <c r="B132" s="103" t="s">
        <v>15</v>
      </c>
      <c r="C132" s="103" t="s">
        <v>1906</v>
      </c>
      <c r="D132" s="106" t="str">
        <f>IF(MouserListTable12[[#This Row],[Vendor]]=FilterSpecs!$A$8,MouserListTable12[[#This Row],[Mouser SKU]], MouserListTable12[[#This Row],[Supplier SKU]])</f>
        <v>474-SEN-09196</v>
      </c>
      <c r="E132" s="121">
        <f>MouserListTable12[[#This Row],[Tot '#]]-MouserListTable12[[#This Row],['# Initial]]</f>
        <v>0</v>
      </c>
      <c r="F132" s="121">
        <f>IF(AND(MouserListTable12[[#This Row],[Tag]]&lt;&gt;FilterSpecs!$F$12, MouserListTable12[[#This Row],[Tag]]&lt;&gt;FilterSpecs!$F$9), MouserListTable12[[#This Row],['#/Unit]]*FilterSpecs!$B$3+MouserListTable12[[#This Row],[Extra Initial]],0)</f>
        <v>5</v>
      </c>
      <c r="G132" s="103" t="s">
        <v>109</v>
      </c>
      <c r="H132" s="103" t="s">
        <v>110</v>
      </c>
      <c r="I132" s="103" t="s">
        <v>111</v>
      </c>
      <c r="J132" s="146">
        <v>1</v>
      </c>
      <c r="K132" s="157">
        <v>2.95</v>
      </c>
      <c r="L132" s="103" t="s">
        <v>1911</v>
      </c>
      <c r="M132" s="106"/>
      <c r="N132" s="157">
        <f>MouserListTable12[[#This Row],['# Initial]]*MouserListTable12[[#This Row],[Price (USD)]]</f>
        <v>14.75</v>
      </c>
      <c r="O132" s="106" t="s">
        <v>108</v>
      </c>
      <c r="P132" s="103">
        <f t="shared" si="1"/>
        <v>119</v>
      </c>
      <c r="Q132" s="103" t="s">
        <v>8</v>
      </c>
      <c r="R13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474-SEN-09196</v>
      </c>
      <c r="S132" s="195" t="str">
        <f>HYPERLINK("https://www.mouser.com/ProductDetail/" &amp;MouserListTable12[[#This Row],[Mouser SKU]])</f>
        <v>https://www.mouser.com/ProductDetail/474-SEN-09196</v>
      </c>
      <c r="T132" s="121">
        <v>1</v>
      </c>
      <c r="U132" s="121">
        <v>0</v>
      </c>
      <c r="V132" s="121">
        <v>0</v>
      </c>
      <c r="W132" s="121">
        <f>MouserListTable12[[#This Row],['#/Unit]]*FilterSpecs!$C$3+MouserListTable12[[#This Row],[Extra]]</f>
        <v>5</v>
      </c>
      <c r="X132" s="121">
        <f>IF(MouserListTable12[[#This Row],[Tag]]=FilterSpecs!$F$7,MouserListTable12[[#This Row],['#/Unit]]*MouserListTable12[[#This Row],[Price (USD)]],0)</f>
        <v>2.95</v>
      </c>
      <c r="Y132" s="121">
        <f>MouserListTable12[[#This Row],[Tot '#]]*MouserListTable12[[#This Row],[Price (USD)]]</f>
        <v>14.75</v>
      </c>
      <c r="Z132"/>
    </row>
    <row r="133" spans="1:26" s="146" customFormat="1" hidden="1" x14ac:dyDescent="0.3">
      <c r="A133" s="103" t="s">
        <v>894</v>
      </c>
      <c r="B133" s="103" t="s">
        <v>15</v>
      </c>
      <c r="C133" s="103" t="s">
        <v>1906</v>
      </c>
      <c r="D133" s="106" t="str">
        <f>IF(MouserListTable12[[#This Row],[Vendor]]=FilterSpecs!$A$8,MouserListTable12[[#This Row],[Mouser SKU]], MouserListTable12[[#This Row],[Supplier SKU]])</f>
        <v>474-SEN-09197</v>
      </c>
      <c r="E133" s="121">
        <f>MouserListTable12[[#This Row],[Tot '#]]-MouserListTable12[[#This Row],['# Initial]]</f>
        <v>0</v>
      </c>
      <c r="F133" s="121">
        <f>IF(AND(MouserListTable12[[#This Row],[Tag]]&lt;&gt;FilterSpecs!$F$12, MouserListTable12[[#This Row],[Tag]]&lt;&gt;FilterSpecs!$F$9), MouserListTable12[[#This Row],['#/Unit]]*FilterSpecs!$B$3+MouserListTable12[[#This Row],[Extra Initial]],0)</f>
        <v>0</v>
      </c>
      <c r="G133" s="103" t="s">
        <v>1339</v>
      </c>
      <c r="H133" s="103" t="s">
        <v>1340</v>
      </c>
      <c r="I133" s="126" t="s">
        <v>1341</v>
      </c>
      <c r="J133" s="146">
        <v>1</v>
      </c>
      <c r="K133" s="158">
        <v>2.95</v>
      </c>
      <c r="L133" s="126" t="s">
        <v>1910</v>
      </c>
      <c r="N133" s="157">
        <f>MouserListTable12[[#This Row],['# Initial]]*MouserListTable12[[#This Row],[Price (USD)]]</f>
        <v>0</v>
      </c>
      <c r="O133" s="106" t="s">
        <v>1338</v>
      </c>
      <c r="P133" s="103">
        <f t="shared" si="1"/>
        <v>120</v>
      </c>
      <c r="Q133" s="103" t="s">
        <v>8</v>
      </c>
      <c r="R13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474-SEN-09197</v>
      </c>
      <c r="S133" s="195" t="str">
        <f>HYPERLINK("https://www.mouser.com/ProductDetail/" &amp;MouserListTable12[[#This Row],[Mouser SKU]])</f>
        <v>https://www.mouser.com/ProductDetail/474-SEN-09197</v>
      </c>
      <c r="T133" s="121">
        <v>0</v>
      </c>
      <c r="U133" s="121">
        <v>0</v>
      </c>
      <c r="V133" s="121">
        <v>0</v>
      </c>
      <c r="W133" s="121">
        <f>MouserListTable12[[#This Row],['#/Unit]]*FilterSpecs!$C$3+MouserListTable12[[#This Row],[Extra]]</f>
        <v>0</v>
      </c>
      <c r="X133" s="121">
        <f>IF(MouserListTable12[[#This Row],[Tag]]=FilterSpecs!$F$7,MouserListTable12[[#This Row],['#/Unit]]*MouserListTable12[[#This Row],[Price (USD)]],0)</f>
        <v>0</v>
      </c>
      <c r="Y133" s="121">
        <f>MouserListTable12[[#This Row],[Tot '#]]*MouserListTable12[[#This Row],[Price (USD)]]</f>
        <v>0</v>
      </c>
      <c r="Z133"/>
    </row>
    <row r="134" spans="1:26" s="146" customFormat="1" hidden="1" x14ac:dyDescent="0.3">
      <c r="A134" s="103" t="s">
        <v>894</v>
      </c>
      <c r="B134" s="103" t="s">
        <v>15</v>
      </c>
      <c r="C134" s="103" t="s">
        <v>1906</v>
      </c>
      <c r="D134" s="106" t="str">
        <f>IF(MouserListTable12[[#This Row],[Vendor]]=FilterSpecs!$A$8,MouserListTable12[[#This Row],[Mouser SKU]], MouserListTable12[[#This Row],[Supplier SKU]])</f>
        <v>474-SEN-09198</v>
      </c>
      <c r="E134" s="121">
        <f>MouserListTable12[[#This Row],[Tot '#]]-MouserListTable12[[#This Row],['# Initial]]</f>
        <v>0</v>
      </c>
      <c r="F134" s="121">
        <f>IF(AND(MouserListTable12[[#This Row],[Tag]]&lt;&gt;FilterSpecs!$F$12, MouserListTable12[[#This Row],[Tag]]&lt;&gt;FilterSpecs!$F$9), MouserListTable12[[#This Row],['#/Unit]]*FilterSpecs!$B$3+MouserListTable12[[#This Row],[Extra Initial]],0)</f>
        <v>0</v>
      </c>
      <c r="G134" s="103" t="s">
        <v>1343</v>
      </c>
      <c r="H134" s="103" t="s">
        <v>1344</v>
      </c>
      <c r="I134" s="126" t="s">
        <v>1345</v>
      </c>
      <c r="J134" s="146">
        <v>1</v>
      </c>
      <c r="K134" s="158">
        <v>2.95</v>
      </c>
      <c r="L134" s="126" t="s">
        <v>1910</v>
      </c>
      <c r="N134" s="157">
        <f>MouserListTable12[[#This Row],['# Initial]]*MouserListTable12[[#This Row],[Price (USD)]]</f>
        <v>0</v>
      </c>
      <c r="O134" s="106" t="s">
        <v>1342</v>
      </c>
      <c r="P134" s="103">
        <f t="shared" si="1"/>
        <v>121</v>
      </c>
      <c r="Q134" s="103" t="s">
        <v>8</v>
      </c>
      <c r="R13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474-SEN-09198</v>
      </c>
      <c r="S134" s="195" t="str">
        <f>HYPERLINK("https://www.mouser.com/ProductDetail/" &amp;MouserListTable12[[#This Row],[Mouser SKU]])</f>
        <v>https://www.mouser.com/ProductDetail/474-SEN-09198</v>
      </c>
      <c r="T134" s="121">
        <v>0</v>
      </c>
      <c r="U134" s="121">
        <v>0</v>
      </c>
      <c r="V134" s="121">
        <v>0</v>
      </c>
      <c r="W134" s="121">
        <f>MouserListTable12[[#This Row],['#/Unit]]*FilterSpecs!$C$3+MouserListTable12[[#This Row],[Extra]]</f>
        <v>0</v>
      </c>
      <c r="X134" s="121">
        <f>IF(MouserListTable12[[#This Row],[Tag]]=FilterSpecs!$F$7,MouserListTable12[[#This Row],['#/Unit]]*MouserListTable12[[#This Row],[Price (USD)]],0)</f>
        <v>0</v>
      </c>
      <c r="Y134" s="121">
        <f>MouserListTable12[[#This Row],[Tot '#]]*MouserListTable12[[#This Row],[Price (USD)]]</f>
        <v>0</v>
      </c>
      <c r="Z134"/>
    </row>
    <row r="135" spans="1:26" s="146" customFormat="1" hidden="1" x14ac:dyDescent="0.3">
      <c r="A135" s="103" t="s">
        <v>894</v>
      </c>
      <c r="B135" s="103" t="s">
        <v>15</v>
      </c>
      <c r="C135" s="103" t="s">
        <v>1906</v>
      </c>
      <c r="D135" s="106" t="str">
        <f>IF(MouserListTable12[[#This Row],[Vendor]]=FilterSpecs!$A$8,MouserListTable12[[#This Row],[Mouser SKU]], MouserListTable12[[#This Row],[Supplier SKU]])</f>
        <v>474-SEN-09199</v>
      </c>
      <c r="E135" s="121">
        <f>MouserListTable12[[#This Row],[Tot '#]]-MouserListTable12[[#This Row],['# Initial]]</f>
        <v>0</v>
      </c>
      <c r="F135" s="121">
        <f>IF(AND(MouserListTable12[[#This Row],[Tag]]&lt;&gt;FilterSpecs!$F$12, MouserListTable12[[#This Row],[Tag]]&lt;&gt;FilterSpecs!$F$9), MouserListTable12[[#This Row],['#/Unit]]*FilterSpecs!$B$3+MouserListTable12[[#This Row],[Extra Initial]],0)</f>
        <v>0</v>
      </c>
      <c r="G135" s="103" t="s">
        <v>1347</v>
      </c>
      <c r="H135" s="103" t="s">
        <v>1348</v>
      </c>
      <c r="I135" s="126" t="s">
        <v>1349</v>
      </c>
      <c r="J135" s="146">
        <v>1</v>
      </c>
      <c r="K135" s="158">
        <v>2.95</v>
      </c>
      <c r="L135" s="126" t="s">
        <v>1913</v>
      </c>
      <c r="N135" s="157">
        <f>MouserListTable12[[#This Row],['# Initial]]*MouserListTable12[[#This Row],[Price (USD)]]</f>
        <v>0</v>
      </c>
      <c r="O135" s="106" t="s">
        <v>1346</v>
      </c>
      <c r="P135" s="103">
        <f t="shared" si="1"/>
        <v>122</v>
      </c>
      <c r="Q135" s="103" t="s">
        <v>8</v>
      </c>
      <c r="R13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474-SEN-09199</v>
      </c>
      <c r="S135" s="195" t="str">
        <f>HYPERLINK("https://www.mouser.com/ProductDetail/" &amp;MouserListTable12[[#This Row],[Mouser SKU]])</f>
        <v>https://www.mouser.com/ProductDetail/474-SEN-09199</v>
      </c>
      <c r="T135" s="121">
        <v>0</v>
      </c>
      <c r="U135" s="121">
        <v>0</v>
      </c>
      <c r="V135" s="121">
        <v>0</v>
      </c>
      <c r="W135" s="121">
        <f>MouserListTable12[[#This Row],['#/Unit]]*FilterSpecs!$C$3+MouserListTable12[[#This Row],[Extra]]</f>
        <v>0</v>
      </c>
      <c r="X135" s="121">
        <f>IF(MouserListTable12[[#This Row],[Tag]]=FilterSpecs!$F$7,MouserListTable12[[#This Row],['#/Unit]]*MouserListTable12[[#This Row],[Price (USD)]],0)</f>
        <v>0</v>
      </c>
      <c r="Y135" s="121">
        <f>MouserListTable12[[#This Row],[Tot '#]]*MouserListTable12[[#This Row],[Price (USD)]]</f>
        <v>0</v>
      </c>
      <c r="Z135"/>
    </row>
    <row r="136" spans="1:26" s="146" customFormat="1" hidden="1" x14ac:dyDescent="0.3">
      <c r="A136" s="103" t="s">
        <v>894</v>
      </c>
      <c r="B136" s="103" t="s">
        <v>15</v>
      </c>
      <c r="C136" s="103" t="s">
        <v>1906</v>
      </c>
      <c r="D136" s="106" t="str">
        <f>IF(MouserListTable12[[#This Row],[Vendor]]=FilterSpecs!$A$8,MouserListTable12[[#This Row],[Mouser SKU]], MouserListTable12[[#This Row],[Supplier SKU]])</f>
        <v>485-1071</v>
      </c>
      <c r="E136" s="121">
        <f>MouserListTable12[[#This Row],[Tot '#]]-MouserListTable12[[#This Row],['# Initial]]</f>
        <v>0</v>
      </c>
      <c r="F136" s="121">
        <f>IF(AND(MouserListTable12[[#This Row],[Tag]]&lt;&gt;FilterSpecs!$F$12, MouserListTable12[[#This Row],[Tag]]&lt;&gt;FilterSpecs!$F$9), MouserListTable12[[#This Row],['#/Unit]]*FilterSpecs!$B$3+MouserListTable12[[#This Row],[Extra Initial]],0)</f>
        <v>0</v>
      </c>
      <c r="G136" s="103"/>
      <c r="H136" s="103"/>
      <c r="I136" s="126" t="s">
        <v>2333</v>
      </c>
      <c r="K136" s="158">
        <v>17.95</v>
      </c>
      <c r="L136" s="126" t="s">
        <v>1910</v>
      </c>
      <c r="N136" s="157">
        <f>MouserListTable12[[#This Row],['# Initial]]*MouserListTable12[[#This Row],[Price (USD)]]</f>
        <v>0</v>
      </c>
      <c r="O136" s="106" t="s">
        <v>2332</v>
      </c>
      <c r="P136" s="103">
        <f t="shared" si="1"/>
        <v>123</v>
      </c>
      <c r="Q136" s="103" t="s">
        <v>1898</v>
      </c>
      <c r="R13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485-1071</v>
      </c>
      <c r="S136" s="195" t="str">
        <f>HYPERLINK("https://www.mouser.com/ProductDetail/" &amp;MouserListTable12[[#This Row],[Mouser SKU]])</f>
        <v>https://www.mouser.com/ProductDetail/485-1071</v>
      </c>
      <c r="T136" s="121">
        <v>0</v>
      </c>
      <c r="U136" s="121">
        <v>0</v>
      </c>
      <c r="V136" s="121">
        <v>0</v>
      </c>
      <c r="W136" s="121">
        <f>MouserListTable12[[#This Row],['#/Unit]]*FilterSpecs!$C$3+MouserListTable12[[#This Row],[Extra]]</f>
        <v>0</v>
      </c>
      <c r="X136" s="121">
        <f>IF(MouserListTable12[[#This Row],[Tag]]=FilterSpecs!$F$7,MouserListTable12[[#This Row],['#/Unit]]*MouserListTable12[[#This Row],[Price (USD)]],0)</f>
        <v>0</v>
      </c>
      <c r="Y136" s="121">
        <f>MouserListTable12[[#This Row],[Tot '#]]*MouserListTable12[[#This Row],[Price (USD)]]</f>
        <v>0</v>
      </c>
      <c r="Z136"/>
    </row>
    <row r="137" spans="1:26" s="146" customFormat="1" hidden="1" x14ac:dyDescent="0.3">
      <c r="A137" s="103" t="s">
        <v>894</v>
      </c>
      <c r="B137" s="103" t="s">
        <v>15</v>
      </c>
      <c r="C137" s="103" t="s">
        <v>1906</v>
      </c>
      <c r="D137" s="106" t="str">
        <f>IF(MouserListTable12[[#This Row],[Vendor]]=FilterSpecs!$A$8,MouserListTable12[[#This Row],[Mouser SKU]], MouserListTable12[[#This Row],[Supplier SKU]])</f>
        <v>474-SEN-09674</v>
      </c>
      <c r="E137" s="121">
        <f>MouserListTable12[[#This Row],[Tot '#]]-MouserListTable12[[#This Row],['# Initial]]</f>
        <v>0</v>
      </c>
      <c r="F137" s="121">
        <f>IF(AND(MouserListTable12[[#This Row],[Tag]]&lt;&gt;FilterSpecs!$F$12, MouserListTable12[[#This Row],[Tag]]&lt;&gt;FilterSpecs!$F$9), MouserListTable12[[#This Row],['#/Unit]]*FilterSpecs!$B$3+MouserListTable12[[#This Row],[Extra Initial]],0)</f>
        <v>0</v>
      </c>
      <c r="G137" s="103" t="s">
        <v>1430</v>
      </c>
      <c r="H137" s="103" t="s">
        <v>1431</v>
      </c>
      <c r="I137" s="126" t="s">
        <v>1432</v>
      </c>
      <c r="J137" s="146">
        <v>1</v>
      </c>
      <c r="K137" s="158">
        <v>20.95</v>
      </c>
      <c r="L137" s="126" t="s">
        <v>1910</v>
      </c>
      <c r="N137" s="157">
        <f>MouserListTable12[[#This Row],['# Initial]]*MouserListTable12[[#This Row],[Price (USD)]]</f>
        <v>0</v>
      </c>
      <c r="O137" s="106" t="s">
        <v>1429</v>
      </c>
      <c r="P137" s="103">
        <f t="shared" si="1"/>
        <v>124</v>
      </c>
      <c r="Q137" s="103" t="s">
        <v>8</v>
      </c>
      <c r="R13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474-SEN-09674</v>
      </c>
      <c r="S137" s="195" t="str">
        <f>HYPERLINK("https://www.mouser.com/ProductDetail/" &amp;MouserListTable12[[#This Row],[Mouser SKU]])</f>
        <v>https://www.mouser.com/ProductDetail/474-SEN-09674</v>
      </c>
      <c r="T137" s="121">
        <v>0</v>
      </c>
      <c r="U137" s="121">
        <v>0</v>
      </c>
      <c r="V137" s="121">
        <v>0</v>
      </c>
      <c r="W137" s="121">
        <f>MouserListTable12[[#This Row],['#/Unit]]*FilterSpecs!$C$3+MouserListTable12[[#This Row],[Extra]]</f>
        <v>0</v>
      </c>
      <c r="X137" s="121">
        <f>IF(MouserListTable12[[#This Row],[Tag]]=FilterSpecs!$F$7,MouserListTable12[[#This Row],['#/Unit]]*MouserListTable12[[#This Row],[Price (USD)]],0)</f>
        <v>0</v>
      </c>
      <c r="Y137" s="121">
        <f>MouserListTable12[[#This Row],[Tot '#]]*MouserListTable12[[#This Row],[Price (USD)]]</f>
        <v>0</v>
      </c>
      <c r="Z137"/>
    </row>
    <row r="138" spans="1:26" s="146" customFormat="1" hidden="1" x14ac:dyDescent="0.3">
      <c r="A138" s="126" t="s">
        <v>894</v>
      </c>
      <c r="B138" s="126" t="s">
        <v>15</v>
      </c>
      <c r="C138" s="103" t="s">
        <v>1906</v>
      </c>
      <c r="D138" s="106" t="str">
        <f>IF(MouserListTable12[[#This Row],[Vendor]]=FilterSpecs!$A$8,MouserListTable12[[#This Row],[Mouser SKU]], MouserListTable12[[#This Row],[Supplier SKU]])</f>
        <v>474-SEN-09673</v>
      </c>
      <c r="E138" s="121">
        <f>MouserListTable12[[#This Row],[Tot '#]]-MouserListTable12[[#This Row],['# Initial]]</f>
        <v>0</v>
      </c>
      <c r="F138" s="121">
        <f>IF(AND(MouserListTable12[[#This Row],[Tag]]&lt;&gt;FilterSpecs!$F$12, MouserListTable12[[#This Row],[Tag]]&lt;&gt;FilterSpecs!$F$9), MouserListTable12[[#This Row],['#/Unit]]*FilterSpecs!$B$3+MouserListTable12[[#This Row],[Extra Initial]],0)</f>
        <v>0</v>
      </c>
      <c r="G138" s="103" t="s">
        <v>1434</v>
      </c>
      <c r="H138" s="103" t="s">
        <v>1435</v>
      </c>
      <c r="I138" s="103" t="s">
        <v>1436</v>
      </c>
      <c r="J138" s="103">
        <v>1</v>
      </c>
      <c r="K138" s="157">
        <v>5.95</v>
      </c>
      <c r="L138" s="103" t="s">
        <v>1910</v>
      </c>
      <c r="N138" s="157">
        <f>MouserListTable12[[#This Row],['# Initial]]*MouserListTable12[[#This Row],[Price (USD)]]</f>
        <v>0</v>
      </c>
      <c r="O138" s="106" t="s">
        <v>1433</v>
      </c>
      <c r="P138" s="103">
        <f t="shared" si="1"/>
        <v>125</v>
      </c>
      <c r="Q138" s="103" t="s">
        <v>8</v>
      </c>
      <c r="R13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474-SEN-09673</v>
      </c>
      <c r="S138" s="195" t="str">
        <f>HYPERLINK("https://www.mouser.com/ProductDetail/" &amp;MouserListTable12[[#This Row],[Mouser SKU]])</f>
        <v>https://www.mouser.com/ProductDetail/474-SEN-09673</v>
      </c>
      <c r="T138" s="121">
        <v>0</v>
      </c>
      <c r="U138" s="121">
        <v>0</v>
      </c>
      <c r="V138" s="121">
        <v>0</v>
      </c>
      <c r="W138" s="121">
        <f>MouserListTable12[[#This Row],['#/Unit]]*FilterSpecs!$C$3+MouserListTable12[[#This Row],[Extra]]</f>
        <v>0</v>
      </c>
      <c r="X138" s="121">
        <f>IF(MouserListTable12[[#This Row],[Tag]]=FilterSpecs!$F$7,MouserListTable12[[#This Row],['#/Unit]]*MouserListTable12[[#This Row],[Price (USD)]],0)</f>
        <v>0</v>
      </c>
      <c r="Y138" s="121">
        <f>MouserListTable12[[#This Row],[Tot '#]]*MouserListTable12[[#This Row],[Price (USD)]]</f>
        <v>0</v>
      </c>
      <c r="Z138"/>
    </row>
    <row r="139" spans="1:26" s="146" customFormat="1" hidden="1" x14ac:dyDescent="0.3">
      <c r="A139" s="126" t="s">
        <v>894</v>
      </c>
      <c r="B139" s="126" t="s">
        <v>15</v>
      </c>
      <c r="C139" s="103" t="s">
        <v>1906</v>
      </c>
      <c r="D139" s="106" t="str">
        <f>IF(MouserListTable12[[#This Row],[Vendor]]=FilterSpecs!$A$8,MouserListTable12[[#This Row],[Mouser SKU]], MouserListTable12[[#This Row],[Supplier SKU]])</f>
        <v>474-SEN-09376</v>
      </c>
      <c r="E139" s="121">
        <f>MouserListTable12[[#This Row],[Tot '#]]-MouserListTable12[[#This Row],['# Initial]]</f>
        <v>0</v>
      </c>
      <c r="F139" s="121">
        <f>IF(AND(MouserListTable12[[#This Row],[Tag]]&lt;&gt;FilterSpecs!$F$12, MouserListTable12[[#This Row],[Tag]]&lt;&gt;FilterSpecs!$F$9), MouserListTable12[[#This Row],['#/Unit]]*FilterSpecs!$B$3+MouserListTable12[[#This Row],[Extra Initial]],0)</f>
        <v>0</v>
      </c>
      <c r="G139" s="103" t="s">
        <v>676</v>
      </c>
      <c r="H139" s="103" t="s">
        <v>677</v>
      </c>
      <c r="I139" s="103" t="s">
        <v>678</v>
      </c>
      <c r="J139" s="103">
        <v>1</v>
      </c>
      <c r="K139" s="157">
        <v>9.9499999999999993</v>
      </c>
      <c r="L139" s="103" t="s">
        <v>1910</v>
      </c>
      <c r="N139" s="157">
        <f>MouserListTable12[[#This Row],['# Initial]]*MouserListTable12[[#This Row],[Price (USD)]]</f>
        <v>0</v>
      </c>
      <c r="O139" s="106" t="s">
        <v>675</v>
      </c>
      <c r="P139" s="103">
        <f t="shared" si="1"/>
        <v>126</v>
      </c>
      <c r="Q139" s="103" t="s">
        <v>8</v>
      </c>
      <c r="R13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474-SEN-09376</v>
      </c>
      <c r="S139" s="195" t="str">
        <f>HYPERLINK("https://www.mouser.com/ProductDetail/" &amp;MouserListTable12[[#This Row],[Mouser SKU]])</f>
        <v>https://www.mouser.com/ProductDetail/474-SEN-09376</v>
      </c>
      <c r="T139" s="121">
        <v>0</v>
      </c>
      <c r="U139" s="121">
        <v>0</v>
      </c>
      <c r="V139" s="121">
        <v>0</v>
      </c>
      <c r="W139" s="121">
        <f>MouserListTable12[[#This Row],['#/Unit]]*FilterSpecs!$C$3+MouserListTable12[[#This Row],[Extra]]</f>
        <v>0</v>
      </c>
      <c r="X139" s="121">
        <f>IF(MouserListTable12[[#This Row],[Tag]]=FilterSpecs!$F$7,MouserListTable12[[#This Row],['#/Unit]]*MouserListTable12[[#This Row],[Price (USD)]],0)</f>
        <v>0</v>
      </c>
      <c r="Y139" s="121">
        <f>MouserListTable12[[#This Row],[Tot '#]]*MouserListTable12[[#This Row],[Price (USD)]]</f>
        <v>0</v>
      </c>
      <c r="Z139"/>
    </row>
    <row r="140" spans="1:26" s="146" customFormat="1" hidden="1" x14ac:dyDescent="0.3">
      <c r="A140" s="103" t="s">
        <v>894</v>
      </c>
      <c r="B140" s="103" t="s">
        <v>15</v>
      </c>
      <c r="C140" s="103" t="s">
        <v>1906</v>
      </c>
      <c r="D140" s="106" t="str">
        <f>IF(MouserListTable12[[#This Row],[Vendor]]=FilterSpecs!$A$8,MouserListTable12[[#This Row],[Mouser SKU]], MouserListTable12[[#This Row],[Supplier SKU]])</f>
        <v>485-1075</v>
      </c>
      <c r="E140" s="121">
        <f>MouserListTable12[[#This Row],[Tot '#]]-MouserListTable12[[#This Row],['# Initial]]</f>
        <v>4</v>
      </c>
      <c r="F140" s="121">
        <f>IF(AND(MouserListTable12[[#This Row],[Tag]]&lt;&gt;FilterSpecs!$F$12, MouserListTable12[[#This Row],[Tag]]&lt;&gt;FilterSpecs!$F$9), MouserListTable12[[#This Row],['#/Unit]]*FilterSpecs!$B$3+MouserListTable12[[#This Row],[Extra Initial]],0)</f>
        <v>0</v>
      </c>
      <c r="G140" s="103"/>
      <c r="H140" s="103"/>
      <c r="I140" s="103" t="s">
        <v>2339</v>
      </c>
      <c r="J140" s="103"/>
      <c r="K140" s="157">
        <v>7.95</v>
      </c>
      <c r="L140" s="103" t="s">
        <v>1910</v>
      </c>
      <c r="M140" s="106"/>
      <c r="N140" s="157">
        <f>MouserListTable12[[#This Row],['# Initial]]*MouserListTable12[[#This Row],[Price (USD)]]</f>
        <v>0</v>
      </c>
      <c r="O140" s="106" t="s">
        <v>2338</v>
      </c>
      <c r="P140" s="103">
        <f t="shared" si="1"/>
        <v>127</v>
      </c>
      <c r="Q140" s="103" t="s">
        <v>1898</v>
      </c>
      <c r="R14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485-1075</v>
      </c>
      <c r="S140" s="195" t="str">
        <f>HYPERLINK("https://www.mouser.com/ProductDetail/" &amp;MouserListTable12[[#This Row],[Mouser SKU]])</f>
        <v>https://www.mouser.com/ProductDetail/485-1075</v>
      </c>
      <c r="T140" s="121">
        <v>0</v>
      </c>
      <c r="U140" s="121">
        <v>4</v>
      </c>
      <c r="V140" s="121">
        <v>0</v>
      </c>
      <c r="W140" s="121">
        <f>MouserListTable12[[#This Row],['#/Unit]]*FilterSpecs!$C$3+MouserListTable12[[#This Row],[Extra]]</f>
        <v>4</v>
      </c>
      <c r="X140" s="121">
        <f>IF(MouserListTable12[[#This Row],[Tag]]=FilterSpecs!$F$7,MouserListTable12[[#This Row],['#/Unit]]*MouserListTable12[[#This Row],[Price (USD)]],0)</f>
        <v>0</v>
      </c>
      <c r="Y140" s="121">
        <f>MouserListTable12[[#This Row],[Tot '#]]*MouserListTable12[[#This Row],[Price (USD)]]</f>
        <v>31.8</v>
      </c>
      <c r="Z140"/>
    </row>
    <row r="141" spans="1:26" s="146" customFormat="1" hidden="1" x14ac:dyDescent="0.3">
      <c r="A141" s="126" t="s">
        <v>894</v>
      </c>
      <c r="B141" s="126" t="s">
        <v>15</v>
      </c>
      <c r="C141" s="103" t="s">
        <v>1906</v>
      </c>
      <c r="D141" s="106" t="str">
        <f>IF(MouserListTable12[[#This Row],[Vendor]]=FilterSpecs!$A$8,MouserListTable12[[#This Row],[Mouser SKU]], MouserListTable12[[#This Row],[Supplier SKU]])</f>
        <v>474-SEN-09375</v>
      </c>
      <c r="E141" s="121">
        <f>MouserListTable12[[#This Row],[Tot '#]]-MouserListTable12[[#This Row],['# Initial]]</f>
        <v>0</v>
      </c>
      <c r="F141" s="121">
        <f>IF(AND(MouserListTable12[[#This Row],[Tag]]&lt;&gt;FilterSpecs!$F$12, MouserListTable12[[#This Row],[Tag]]&lt;&gt;FilterSpecs!$F$9), MouserListTable12[[#This Row],['#/Unit]]*FilterSpecs!$B$3+MouserListTable12[[#This Row],[Extra Initial]],0)</f>
        <v>0</v>
      </c>
      <c r="G141" s="103" t="s">
        <v>1422</v>
      </c>
      <c r="H141" s="103" t="s">
        <v>1423</v>
      </c>
      <c r="I141" s="103" t="s">
        <v>1424</v>
      </c>
      <c r="J141" s="103">
        <v>1</v>
      </c>
      <c r="K141" s="157">
        <v>6.95</v>
      </c>
      <c r="L141" s="103" t="s">
        <v>1910</v>
      </c>
      <c r="N141" s="157">
        <f>MouserListTable12[[#This Row],['# Initial]]*MouserListTable12[[#This Row],[Price (USD)]]</f>
        <v>0</v>
      </c>
      <c r="O141" s="106" t="s">
        <v>1421</v>
      </c>
      <c r="P141" s="103">
        <f t="shared" ref="P141:P209" si="2">IF($P140="List #",1,$P140+1)</f>
        <v>128</v>
      </c>
      <c r="Q141" s="103" t="s">
        <v>8</v>
      </c>
      <c r="R14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474-SEN-09375</v>
      </c>
      <c r="S141" s="195" t="str">
        <f>HYPERLINK("https://www.mouser.com/ProductDetail/" &amp;MouserListTable12[[#This Row],[Mouser SKU]])</f>
        <v>https://www.mouser.com/ProductDetail/474-SEN-09375</v>
      </c>
      <c r="T141" s="121">
        <v>0</v>
      </c>
      <c r="U141" s="121">
        <v>0</v>
      </c>
      <c r="V141" s="121">
        <v>0</v>
      </c>
      <c r="W141" s="121">
        <f>MouserListTable12[[#This Row],['#/Unit]]*FilterSpecs!$C$3+MouserListTable12[[#This Row],[Extra]]</f>
        <v>0</v>
      </c>
      <c r="X141" s="121">
        <f>IF(MouserListTable12[[#This Row],[Tag]]=FilterSpecs!$F$7,MouserListTable12[[#This Row],['#/Unit]]*MouserListTable12[[#This Row],[Price (USD)]],0)</f>
        <v>0</v>
      </c>
      <c r="Y141" s="121">
        <f>MouserListTable12[[#This Row],[Tot '#]]*MouserListTable12[[#This Row],[Price (USD)]]</f>
        <v>0</v>
      </c>
      <c r="Z141"/>
    </row>
    <row r="142" spans="1:26" s="146" customFormat="1" hidden="1" x14ac:dyDescent="0.3">
      <c r="A142" s="126" t="s">
        <v>894</v>
      </c>
      <c r="B142" s="126" t="s">
        <v>15</v>
      </c>
      <c r="C142" s="103" t="s">
        <v>1906</v>
      </c>
      <c r="D142" s="106" t="str">
        <f>IF(MouserListTable12[[#This Row],[Vendor]]=FilterSpecs!$A$8,MouserListTable12[[#This Row],[Mouser SKU]], MouserListTable12[[#This Row],[Supplier SKU]])</f>
        <v>474-SEN-08606</v>
      </c>
      <c r="E142" s="121">
        <f>MouserListTable12[[#This Row],[Tot '#]]-MouserListTable12[[#This Row],['# Initial]]</f>
        <v>0</v>
      </c>
      <c r="F142" s="121">
        <f>IF(AND(MouserListTable12[[#This Row],[Tag]]&lt;&gt;FilterSpecs!$F$12, MouserListTable12[[#This Row],[Tag]]&lt;&gt;FilterSpecs!$F$9), MouserListTable12[[#This Row],['#/Unit]]*FilterSpecs!$B$3+MouserListTable12[[#This Row],[Extra Initial]],0)</f>
        <v>0</v>
      </c>
      <c r="G142" s="103" t="s">
        <v>1426</v>
      </c>
      <c r="H142" s="103" t="s">
        <v>1427</v>
      </c>
      <c r="I142" s="103" t="s">
        <v>1428</v>
      </c>
      <c r="J142" s="103">
        <v>1</v>
      </c>
      <c r="K142" s="157">
        <v>12.95</v>
      </c>
      <c r="L142" s="103" t="s">
        <v>1910</v>
      </c>
      <c r="N142" s="157">
        <f>MouserListTable12[[#This Row],['# Initial]]*MouserListTable12[[#This Row],[Price (USD)]]</f>
        <v>0</v>
      </c>
      <c r="O142" s="106" t="s">
        <v>1425</v>
      </c>
      <c r="P142" s="103">
        <f t="shared" si="2"/>
        <v>129</v>
      </c>
      <c r="Q142" s="103" t="s">
        <v>8</v>
      </c>
      <c r="R14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474-SEN-08606</v>
      </c>
      <c r="S142" s="195" t="str">
        <f>HYPERLINK("https://www.mouser.com/ProductDetail/" &amp;MouserListTable12[[#This Row],[Mouser SKU]])</f>
        <v>https://www.mouser.com/ProductDetail/474-SEN-08606</v>
      </c>
      <c r="T142" s="121">
        <v>0</v>
      </c>
      <c r="U142" s="121">
        <v>0</v>
      </c>
      <c r="V142" s="121">
        <v>0</v>
      </c>
      <c r="W142" s="121">
        <f>MouserListTable12[[#This Row],['#/Unit]]*FilterSpecs!$C$3+MouserListTable12[[#This Row],[Extra]]</f>
        <v>0</v>
      </c>
      <c r="X142" s="121">
        <f>IF(MouserListTable12[[#This Row],[Tag]]=FilterSpecs!$F$7,MouserListTable12[[#This Row],['#/Unit]]*MouserListTable12[[#This Row],[Price (USD)]],0)</f>
        <v>0</v>
      </c>
      <c r="Y142" s="121">
        <f>MouserListTable12[[#This Row],[Tot '#]]*MouserListTable12[[#This Row],[Price (USD)]]</f>
        <v>0</v>
      </c>
      <c r="Z142"/>
    </row>
    <row r="143" spans="1:26" s="146" customFormat="1" hidden="1" x14ac:dyDescent="0.3">
      <c r="A143" s="126" t="s">
        <v>894</v>
      </c>
      <c r="B143" s="126" t="s">
        <v>15</v>
      </c>
      <c r="C143" s="103" t="s">
        <v>1906</v>
      </c>
      <c r="D143" s="106" t="str">
        <f>IF(MouserListTable12[[#This Row],[Vendor]]=FilterSpecs!$A$8,MouserListTable12[[#This Row],[Mouser SKU]], MouserListTable12[[#This Row],[Supplier SKU]])</f>
        <v>474-SEN-10293</v>
      </c>
      <c r="E143" s="121">
        <f>MouserListTable12[[#This Row],[Tot '#]]-MouserListTable12[[#This Row],['# Initial]]</f>
        <v>0</v>
      </c>
      <c r="F143" s="121">
        <f>IF(AND(MouserListTable12[[#This Row],[Tag]]&lt;&gt;FilterSpecs!$F$12, MouserListTable12[[#This Row],[Tag]]&lt;&gt;FilterSpecs!$F$9), MouserListTable12[[#This Row],['#/Unit]]*FilterSpecs!$B$3+MouserListTable12[[#This Row],[Extra Initial]],0)</f>
        <v>0</v>
      </c>
      <c r="G143" s="103" t="s">
        <v>720</v>
      </c>
      <c r="H143" s="103" t="s">
        <v>721</v>
      </c>
      <c r="I143" s="103" t="s">
        <v>722</v>
      </c>
      <c r="J143" s="103">
        <v>1</v>
      </c>
      <c r="K143" s="157">
        <v>1.5</v>
      </c>
      <c r="L143" s="103" t="s">
        <v>1913</v>
      </c>
      <c r="N143" s="157">
        <f>MouserListTable12[[#This Row],['# Initial]]*MouserListTable12[[#This Row],[Price (USD)]]</f>
        <v>0</v>
      </c>
      <c r="O143" s="106" t="s">
        <v>719</v>
      </c>
      <c r="P143" s="103">
        <f t="shared" si="2"/>
        <v>130</v>
      </c>
      <c r="Q143" s="103" t="s">
        <v>8</v>
      </c>
      <c r="R14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474-SEN-10293</v>
      </c>
      <c r="S143" s="195" t="str">
        <f>HYPERLINK("https://www.mouser.com/ProductDetail/" &amp;MouserListTable12[[#This Row],[Mouser SKU]])</f>
        <v>https://www.mouser.com/ProductDetail/474-SEN-10293</v>
      </c>
      <c r="T143" s="121">
        <v>0</v>
      </c>
      <c r="U143" s="121">
        <v>0</v>
      </c>
      <c r="V143" s="121">
        <v>0</v>
      </c>
      <c r="W143" s="121">
        <f>MouserListTable12[[#This Row],['#/Unit]]*FilterSpecs!$C$3+MouserListTable12[[#This Row],[Extra]]</f>
        <v>0</v>
      </c>
      <c r="X143" s="121">
        <f>IF(MouserListTable12[[#This Row],[Tag]]=FilterSpecs!$F$7,MouserListTable12[[#This Row],['#/Unit]]*MouserListTable12[[#This Row],[Price (USD)]],0)</f>
        <v>0</v>
      </c>
      <c r="Y143" s="121">
        <f>MouserListTable12[[#This Row],[Tot '#]]*MouserListTable12[[#This Row],[Price (USD)]]</f>
        <v>0</v>
      </c>
      <c r="Z143"/>
    </row>
    <row r="144" spans="1:26" s="146" customFormat="1" hidden="1" x14ac:dyDescent="0.3">
      <c r="A144" s="126" t="s">
        <v>894</v>
      </c>
      <c r="B144" s="126" t="s">
        <v>15</v>
      </c>
      <c r="C144" s="103" t="s">
        <v>1906</v>
      </c>
      <c r="D144" s="106" t="str">
        <f>IF(MouserListTable12[[#This Row],[Vendor]]=FilterSpecs!$A$8,MouserListTable12[[#This Row],[Mouser SKU]], MouserListTable12[[#This Row],[Supplier SKU]])</f>
        <v>485-1739</v>
      </c>
      <c r="E144" s="121">
        <f>MouserListTable12[[#This Row],[Tot '#]]-MouserListTable12[[#This Row],['# Initial]]</f>
        <v>0</v>
      </c>
      <c r="F144" s="121">
        <f>IF(AND(MouserListTable12[[#This Row],[Tag]]&lt;&gt;FilterSpecs!$F$12, MouserListTable12[[#This Row],[Tag]]&lt;&gt;FilterSpecs!$F$9), MouserListTable12[[#This Row],['#/Unit]]*FilterSpecs!$B$3+MouserListTable12[[#This Row],[Extra Initial]],0)</f>
        <v>0</v>
      </c>
      <c r="G144" s="103"/>
      <c r="H144" s="103"/>
      <c r="I144" s="103" t="s">
        <v>2335</v>
      </c>
      <c r="J144" s="103"/>
      <c r="K144" s="157">
        <v>0.95</v>
      </c>
      <c r="L144" s="103" t="s">
        <v>1910</v>
      </c>
      <c r="N144" s="157">
        <f>MouserListTable12[[#This Row],['# Initial]]*MouserListTable12[[#This Row],[Price (USD)]]</f>
        <v>0</v>
      </c>
      <c r="O144" s="106" t="s">
        <v>2334</v>
      </c>
      <c r="P144" s="103">
        <f t="shared" si="2"/>
        <v>131</v>
      </c>
      <c r="Q144" s="103" t="s">
        <v>1898</v>
      </c>
      <c r="R14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485-1739</v>
      </c>
      <c r="S144" s="195" t="str">
        <f>HYPERLINK("https://www.mouser.com/ProductDetail/" &amp;MouserListTable12[[#This Row],[Mouser SKU]])</f>
        <v>https://www.mouser.com/ProductDetail/485-1739</v>
      </c>
      <c r="T144" s="121">
        <v>0</v>
      </c>
      <c r="U144" s="121">
        <v>0</v>
      </c>
      <c r="V144" s="121">
        <v>0</v>
      </c>
      <c r="W144" s="121">
        <f>MouserListTable12[[#This Row],['#/Unit]]*FilterSpecs!$C$3+MouserListTable12[[#This Row],[Extra]]</f>
        <v>0</v>
      </c>
      <c r="X144" s="121">
        <f>IF(MouserListTable12[[#This Row],[Tag]]=FilterSpecs!$F$7,MouserListTable12[[#This Row],['#/Unit]]*MouserListTable12[[#This Row],[Price (USD)]],0)</f>
        <v>0</v>
      </c>
      <c r="Y144" s="121">
        <f>MouserListTable12[[#This Row],[Tot '#]]*MouserListTable12[[#This Row],[Price (USD)]]</f>
        <v>0</v>
      </c>
      <c r="Z144"/>
    </row>
    <row r="145" spans="1:26" s="146" customFormat="1" x14ac:dyDescent="0.3">
      <c r="A145" s="103" t="s">
        <v>894</v>
      </c>
      <c r="B145" s="103" t="s">
        <v>15</v>
      </c>
      <c r="C145" s="103" t="s">
        <v>1906</v>
      </c>
      <c r="D145" s="106" t="str">
        <f>IF(MouserListTable12[[#This Row],[Vendor]]=FilterSpecs!$A$8,MouserListTable12[[#This Row],[Mouser SKU]], MouserListTable12[[#This Row],[Supplier SKU]])</f>
        <v>474-SEN-10289</v>
      </c>
      <c r="E145" s="121">
        <f>MouserListTable12[[#This Row],[Tot '#]]-MouserListTable12[[#This Row],['# Initial]]</f>
        <v>0</v>
      </c>
      <c r="F145" s="121">
        <f>IF(AND(MouserListTable12[[#This Row],[Tag]]&lt;&gt;FilterSpecs!$F$12, MouserListTable12[[#This Row],[Tag]]&lt;&gt;FilterSpecs!$F$9), MouserListTable12[[#This Row],['#/Unit]]*FilterSpecs!$B$3+MouserListTable12[[#This Row],[Extra Initial]],0)</f>
        <v>5</v>
      </c>
      <c r="G145" s="103" t="s">
        <v>290</v>
      </c>
      <c r="H145" s="103" t="s">
        <v>291</v>
      </c>
      <c r="I145" s="103" t="s">
        <v>292</v>
      </c>
      <c r="J145" s="103">
        <v>1</v>
      </c>
      <c r="K145" s="157">
        <v>1.95</v>
      </c>
      <c r="L145" s="103" t="s">
        <v>1911</v>
      </c>
      <c r="M145" s="106"/>
      <c r="N145" s="157">
        <f>MouserListTable12[[#This Row],['# Initial]]*MouserListTable12[[#This Row],[Price (USD)]]</f>
        <v>9.75</v>
      </c>
      <c r="O145" s="106" t="s">
        <v>289</v>
      </c>
      <c r="P145" s="103">
        <f t="shared" si="2"/>
        <v>132</v>
      </c>
      <c r="Q145" s="103" t="s">
        <v>8</v>
      </c>
      <c r="R14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474-SEN-10289</v>
      </c>
      <c r="S145" s="195" t="str">
        <f>HYPERLINK("https://www.mouser.com/ProductDetail/" &amp;MouserListTable12[[#This Row],[Mouser SKU]])</f>
        <v>https://www.mouser.com/ProductDetail/474-SEN-10289</v>
      </c>
      <c r="T145" s="121">
        <v>1</v>
      </c>
      <c r="U145" s="121">
        <v>0</v>
      </c>
      <c r="V145" s="121">
        <v>0</v>
      </c>
      <c r="W145" s="121">
        <f>MouserListTable12[[#This Row],['#/Unit]]*FilterSpecs!$C$3+MouserListTable12[[#This Row],[Extra]]</f>
        <v>5</v>
      </c>
      <c r="X145" s="121">
        <f>IF(MouserListTable12[[#This Row],[Tag]]=FilterSpecs!$F$7,MouserListTable12[[#This Row],['#/Unit]]*MouserListTable12[[#This Row],[Price (USD)]],0)</f>
        <v>1.95</v>
      </c>
      <c r="Y145" s="121">
        <f>MouserListTable12[[#This Row],[Tot '#]]*MouserListTable12[[#This Row],[Price (USD)]]</f>
        <v>9.75</v>
      </c>
      <c r="Z145"/>
    </row>
    <row r="146" spans="1:26" s="146" customFormat="1" hidden="1" x14ac:dyDescent="0.3">
      <c r="A146" s="126" t="s">
        <v>894</v>
      </c>
      <c r="B146" s="126" t="s">
        <v>15</v>
      </c>
      <c r="C146" s="103" t="s">
        <v>1906</v>
      </c>
      <c r="D146" s="106" t="str">
        <f>IF(MouserListTable12[[#This Row],[Vendor]]=FilterSpecs!$A$8,MouserListTable12[[#This Row],[Mouser SKU]], MouserListTable12[[#This Row],[Supplier SKU]])</f>
        <v>485-1917</v>
      </c>
      <c r="E146" s="121">
        <f>MouserListTable12[[#This Row],[Tot '#]]-MouserListTable12[[#This Row],['# Initial]]</f>
        <v>0</v>
      </c>
      <c r="F146" s="121">
        <f>IF(AND(MouserListTable12[[#This Row],[Tag]]&lt;&gt;FilterSpecs!$F$12, MouserListTable12[[#This Row],[Tag]]&lt;&gt;FilterSpecs!$F$9), MouserListTable12[[#This Row],['#/Unit]]*FilterSpecs!$B$3+MouserListTable12[[#This Row],[Extra Initial]],0)</f>
        <v>0</v>
      </c>
      <c r="G146" s="103"/>
      <c r="H146" s="103"/>
      <c r="I146" s="103" t="s">
        <v>2331</v>
      </c>
      <c r="J146" s="103"/>
      <c r="K146" s="157">
        <v>18</v>
      </c>
      <c r="L146" s="103" t="s">
        <v>1910</v>
      </c>
      <c r="N146" s="157">
        <f>MouserListTable12[[#This Row],['# Initial]]*MouserListTable12[[#This Row],[Price (USD)]]</f>
        <v>0</v>
      </c>
      <c r="O146" s="106" t="s">
        <v>2330</v>
      </c>
      <c r="P146" s="103">
        <f t="shared" si="2"/>
        <v>133</v>
      </c>
      <c r="Q146" s="103" t="s">
        <v>1898</v>
      </c>
      <c r="R14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485-1917</v>
      </c>
      <c r="S146" s="195" t="str">
        <f>HYPERLINK("https://www.mouser.com/ProductDetail/" &amp;MouserListTable12[[#This Row],[Mouser SKU]])</f>
        <v>https://www.mouser.com/ProductDetail/485-1917</v>
      </c>
      <c r="T146" s="121">
        <v>0</v>
      </c>
      <c r="U146" s="121">
        <v>0</v>
      </c>
      <c r="V146" s="121">
        <v>0</v>
      </c>
      <c r="W146" s="121">
        <f>MouserListTable12[[#This Row],['#/Unit]]*FilterSpecs!$C$3+MouserListTable12[[#This Row],[Extra]]</f>
        <v>0</v>
      </c>
      <c r="X146" s="121">
        <f>IF(MouserListTable12[[#This Row],[Tag]]=FilterSpecs!$F$7,MouserListTable12[[#This Row],['#/Unit]]*MouserListTable12[[#This Row],[Price (USD)]],0)</f>
        <v>0</v>
      </c>
      <c r="Y146" s="121">
        <f>MouserListTable12[[#This Row],[Tot '#]]*MouserListTable12[[#This Row],[Price (USD)]]</f>
        <v>0</v>
      </c>
      <c r="Z146"/>
    </row>
    <row r="147" spans="1:26" s="146" customFormat="1" x14ac:dyDescent="0.3">
      <c r="A147" s="103" t="s">
        <v>894</v>
      </c>
      <c r="B147" s="103" t="s">
        <v>15</v>
      </c>
      <c r="C147" s="103" t="s">
        <v>1906</v>
      </c>
      <c r="D147" s="106" t="str">
        <f>IF(MouserListTable12[[#This Row],[Vendor]]=FilterSpecs!$A$8,MouserListTable12[[#This Row],[Mouser SKU]], MouserListTable12[[#This Row],[Supplier SKU]])</f>
        <v>485-1361</v>
      </c>
      <c r="E147" s="121">
        <f>MouserListTable12[[#This Row],[Tot '#]]-MouserListTable12[[#This Row],['# Initial]]</f>
        <v>0</v>
      </c>
      <c r="F147" s="121">
        <f>IF(AND(MouserListTable12[[#This Row],[Tag]]&lt;&gt;FilterSpecs!$F$12, MouserListTable12[[#This Row],[Tag]]&lt;&gt;FilterSpecs!$F$9), MouserListTable12[[#This Row],['#/Unit]]*FilterSpecs!$B$3+MouserListTable12[[#This Row],[Extra Initial]],0)</f>
        <v>1</v>
      </c>
      <c r="G147" s="103"/>
      <c r="H147" s="103"/>
      <c r="I147" s="103" t="s">
        <v>2337</v>
      </c>
      <c r="J147" s="103"/>
      <c r="K147" s="157">
        <v>3.95</v>
      </c>
      <c r="L147" s="103" t="s">
        <v>1910</v>
      </c>
      <c r="M147" s="106"/>
      <c r="N147" s="157">
        <f>MouserListTable12[[#This Row],['# Initial]]*MouserListTable12[[#This Row],[Price (USD)]]</f>
        <v>3.95</v>
      </c>
      <c r="O147" s="106" t="s">
        <v>2336</v>
      </c>
      <c r="P147" s="103">
        <f t="shared" si="2"/>
        <v>134</v>
      </c>
      <c r="Q147" s="103" t="s">
        <v>1898</v>
      </c>
      <c r="R14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485-1361</v>
      </c>
      <c r="S147" s="195" t="str">
        <f>HYPERLINK("https://www.mouser.com/ProductDetail/" &amp;MouserListTable12[[#This Row],[Mouser SKU]])</f>
        <v>https://www.mouser.com/ProductDetail/485-1361</v>
      </c>
      <c r="T147" s="121">
        <v>0</v>
      </c>
      <c r="U147" s="121">
        <v>1</v>
      </c>
      <c r="V147" s="121">
        <v>1</v>
      </c>
      <c r="W147" s="121">
        <f>MouserListTable12[[#This Row],['#/Unit]]*FilterSpecs!$C$3+MouserListTable12[[#This Row],[Extra]]</f>
        <v>1</v>
      </c>
      <c r="X147" s="121">
        <f>IF(MouserListTable12[[#This Row],[Tag]]=FilterSpecs!$F$7,MouserListTable12[[#This Row],['#/Unit]]*MouserListTable12[[#This Row],[Price (USD)]],0)</f>
        <v>0</v>
      </c>
      <c r="Y147" s="121">
        <f>MouserListTable12[[#This Row],[Tot '#]]*MouserListTable12[[#This Row],[Price (USD)]]</f>
        <v>3.95</v>
      </c>
      <c r="Z147"/>
    </row>
    <row r="148" spans="1:26" s="146" customFormat="1" x14ac:dyDescent="0.3">
      <c r="A148" s="103" t="s">
        <v>894</v>
      </c>
      <c r="B148" s="103" t="s">
        <v>15</v>
      </c>
      <c r="C148" s="103" t="s">
        <v>1906</v>
      </c>
      <c r="D148" s="106" t="str">
        <f>IF(MouserListTable12[[#This Row],[Vendor]]=FilterSpecs!$A$8,MouserListTable12[[#This Row],[Mouser SKU]], MouserListTable12[[#This Row],[Supplier SKU]])</f>
        <v>474-COM-14111</v>
      </c>
      <c r="E148" s="121">
        <f>MouserListTable12[[#This Row],[Tot '#]]-MouserListTable12[[#This Row],['# Initial]]</f>
        <v>0</v>
      </c>
      <c r="F148" s="121">
        <f>IF(AND(MouserListTable12[[#This Row],[Tag]]&lt;&gt;FilterSpecs!$F$12, MouserListTable12[[#This Row],[Tag]]&lt;&gt;FilterSpecs!$F$9), MouserListTable12[[#This Row],['#/Unit]]*FilterSpecs!$B$3+MouserListTable12[[#This Row],[Extra Initial]],0)</f>
        <v>2</v>
      </c>
      <c r="G148" s="103" t="s">
        <v>113</v>
      </c>
      <c r="H148" s="103" t="s">
        <v>114</v>
      </c>
      <c r="I148" s="103" t="s">
        <v>115</v>
      </c>
      <c r="J148" s="103">
        <v>1</v>
      </c>
      <c r="K148" s="157">
        <v>25</v>
      </c>
      <c r="L148" s="103" t="s">
        <v>1910</v>
      </c>
      <c r="M148" s="106"/>
      <c r="N148" s="157">
        <f>MouserListTable12[[#This Row],['# Initial]]*MouserListTable12[[#This Row],[Price (USD)]]</f>
        <v>50</v>
      </c>
      <c r="O148" s="106" t="s">
        <v>112</v>
      </c>
      <c r="P148" s="103">
        <f t="shared" si="2"/>
        <v>135</v>
      </c>
      <c r="Q148" s="103" t="s">
        <v>8</v>
      </c>
      <c r="R14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474-COM-14111</v>
      </c>
      <c r="S148" s="195" t="str">
        <f>HYPERLINK("https://www.mouser.com/ProductDetail/" &amp;MouserListTable12[[#This Row],[Mouser SKU]])</f>
        <v>https://www.mouser.com/ProductDetail/474-COM-14111</v>
      </c>
      <c r="T148" s="121">
        <v>0</v>
      </c>
      <c r="U148" s="121">
        <v>2</v>
      </c>
      <c r="V148" s="121">
        <v>2</v>
      </c>
      <c r="W148" s="121">
        <f>MouserListTable12[[#This Row],['#/Unit]]*FilterSpecs!$C$3+MouserListTable12[[#This Row],[Extra]]</f>
        <v>2</v>
      </c>
      <c r="X148" s="121">
        <f>IF(MouserListTable12[[#This Row],[Tag]]=FilterSpecs!$F$7,MouserListTable12[[#This Row],['#/Unit]]*MouserListTable12[[#This Row],[Price (USD)]],0)</f>
        <v>0</v>
      </c>
      <c r="Y148" s="121">
        <f>MouserListTable12[[#This Row],[Tot '#]]*MouserListTable12[[#This Row],[Price (USD)]]</f>
        <v>50</v>
      </c>
      <c r="Z148"/>
    </row>
    <row r="149" spans="1:26" s="146" customFormat="1" x14ac:dyDescent="0.3">
      <c r="A149" s="103" t="s">
        <v>894</v>
      </c>
      <c r="B149" s="103" t="s">
        <v>15</v>
      </c>
      <c r="C149" s="103" t="s">
        <v>1906</v>
      </c>
      <c r="D149" s="106" t="str">
        <f>IF(MouserListTable12[[#This Row],[Vendor]]=FilterSpecs!$A$8,MouserListTable12[[#This Row],[Mouser SKU]], MouserListTable12[[#This Row],[Supplier SKU]])</f>
        <v>485-1168</v>
      </c>
      <c r="E149" s="121">
        <f>MouserListTable12[[#This Row],[Tot '#]]-MouserListTable12[[#This Row],['# Initial]]</f>
        <v>0</v>
      </c>
      <c r="F149" s="121">
        <f>IF(AND(MouserListTable12[[#This Row],[Tag]]&lt;&gt;FilterSpecs!$F$12, MouserListTable12[[#This Row],[Tag]]&lt;&gt;FilterSpecs!$F$9), MouserListTable12[[#This Row],['#/Unit]]*FilterSpecs!$B$3+MouserListTable12[[#This Row],[Extra Initial]],0)</f>
        <v>1</v>
      </c>
      <c r="G149" s="103"/>
      <c r="H149" s="103"/>
      <c r="I149" s="103" t="s">
        <v>2341</v>
      </c>
      <c r="J149" s="103"/>
      <c r="K149" s="157">
        <v>4.95</v>
      </c>
      <c r="L149" s="103" t="s">
        <v>1910</v>
      </c>
      <c r="M149" s="106"/>
      <c r="N149" s="157">
        <f>MouserListTable12[[#This Row],['# Initial]]*MouserListTable12[[#This Row],[Price (USD)]]</f>
        <v>4.95</v>
      </c>
      <c r="O149" s="106" t="s">
        <v>2340</v>
      </c>
      <c r="P149" s="103">
        <f t="shared" si="2"/>
        <v>136</v>
      </c>
      <c r="Q149" s="103" t="s">
        <v>1898</v>
      </c>
      <c r="R14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485-1168</v>
      </c>
      <c r="S149" s="195" t="str">
        <f>HYPERLINK("https://www.mouser.com/ProductDetail/" &amp;MouserListTable12[[#This Row],[Mouser SKU]])</f>
        <v>https://www.mouser.com/ProductDetail/485-1168</v>
      </c>
      <c r="T149" s="121">
        <v>0</v>
      </c>
      <c r="U149" s="121">
        <v>1</v>
      </c>
      <c r="V149" s="121">
        <v>1</v>
      </c>
      <c r="W149" s="121">
        <f>MouserListTable12[[#This Row],['#/Unit]]*FilterSpecs!$C$3+MouserListTable12[[#This Row],[Extra]]</f>
        <v>1</v>
      </c>
      <c r="X149" s="121">
        <f>IF(MouserListTable12[[#This Row],[Tag]]=FilterSpecs!$F$7,MouserListTable12[[#This Row],['#/Unit]]*MouserListTable12[[#This Row],[Price (USD)]],0)</f>
        <v>0</v>
      </c>
      <c r="Y149" s="121">
        <f>MouserListTable12[[#This Row],[Tot '#]]*MouserListTable12[[#This Row],[Price (USD)]]</f>
        <v>4.95</v>
      </c>
      <c r="Z149"/>
    </row>
    <row r="150" spans="1:26" s="146" customFormat="1" hidden="1" x14ac:dyDescent="0.3">
      <c r="A150" s="103" t="s">
        <v>894</v>
      </c>
      <c r="B150" s="103" t="s">
        <v>2031</v>
      </c>
      <c r="C150" s="103" t="s">
        <v>1906</v>
      </c>
      <c r="D150" s="106" t="str">
        <f>IF(MouserListTable12[[#This Row],[Vendor]]=FilterSpecs!$A$8,MouserListTable12[[#This Row],[Mouser SKU]], MouserListTable12[[#This Row],[Supplier SKU]])</f>
        <v>474-DEV-13293</v>
      </c>
      <c r="E150" s="121">
        <f>MouserListTable12[[#This Row],[Tot '#]]-MouserListTable12[[#This Row],['# Initial]]</f>
        <v>0</v>
      </c>
      <c r="F150" s="121">
        <f>IF(AND(MouserListTable12[[#This Row],[Tag]]&lt;&gt;FilterSpecs!$F$12, MouserListTable12[[#This Row],[Tag]]&lt;&gt;FilterSpecs!$F$9), MouserListTable12[[#This Row],['#/Unit]]*FilterSpecs!$B$3+MouserListTable12[[#This Row],[Extra Initial]],0)</f>
        <v>0</v>
      </c>
      <c r="G150" s="103" t="s">
        <v>117</v>
      </c>
      <c r="H150" s="103" t="s">
        <v>118</v>
      </c>
      <c r="I150" s="103" t="s">
        <v>119</v>
      </c>
      <c r="J150" s="103">
        <v>1</v>
      </c>
      <c r="K150" s="157">
        <v>12.95</v>
      </c>
      <c r="L150" s="103" t="s">
        <v>2487</v>
      </c>
      <c r="M150" s="106"/>
      <c r="N150" s="157">
        <f>MouserListTable12[[#This Row],['# Initial]]*MouserListTable12[[#This Row],[Price (USD)]]</f>
        <v>0</v>
      </c>
      <c r="O150" s="106" t="s">
        <v>116</v>
      </c>
      <c r="P150" s="103">
        <f t="shared" si="2"/>
        <v>137</v>
      </c>
      <c r="Q150" s="103" t="s">
        <v>8</v>
      </c>
      <c r="R15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474-DEV-13293</v>
      </c>
      <c r="S150" s="195" t="str">
        <f>HYPERLINK("https://www.mouser.com/ProductDetail/" &amp;MouserListTable12[[#This Row],[Mouser SKU]])</f>
        <v>https://www.mouser.com/ProductDetail/474-DEV-13293</v>
      </c>
      <c r="T150" s="121">
        <v>0</v>
      </c>
      <c r="U150" s="121">
        <v>0</v>
      </c>
      <c r="V150" s="121">
        <v>0</v>
      </c>
      <c r="W150" s="121">
        <f>MouserListTable12[[#This Row],['#/Unit]]*FilterSpecs!$C$3+MouserListTable12[[#This Row],[Extra]]</f>
        <v>0</v>
      </c>
      <c r="X150" s="121">
        <f>IF(MouserListTable12[[#This Row],[Tag]]=FilterSpecs!$F$7,MouserListTable12[[#This Row],['#/Unit]]*MouserListTable12[[#This Row],[Price (USD)]],0)</f>
        <v>0</v>
      </c>
      <c r="Y150" s="121">
        <f>MouserListTable12[[#This Row],[Tot '#]]*MouserListTable12[[#This Row],[Price (USD)]]</f>
        <v>0</v>
      </c>
      <c r="Z150"/>
    </row>
    <row r="151" spans="1:26" s="146" customFormat="1" x14ac:dyDescent="0.3">
      <c r="A151" s="103" t="s">
        <v>894</v>
      </c>
      <c r="B151" s="103" t="s">
        <v>2031</v>
      </c>
      <c r="C151" s="103" t="s">
        <v>1906</v>
      </c>
      <c r="D151" s="160" t="str">
        <f>IF(MouserListTable12[[#This Row],[Vendor]]=FilterSpecs!$A$8,MouserListTable12[[#This Row],[Mouser SKU]], MouserListTable12[[#This Row],[Supplier SKU]])</f>
        <v>485-716</v>
      </c>
      <c r="E151" s="121">
        <f>MouserListTable12[[#This Row],[Tot '#]]-MouserListTable12[[#This Row],['# Initial]]</f>
        <v>0</v>
      </c>
      <c r="F151" s="121">
        <f>IF(AND(MouserListTable12[[#This Row],[Tag]]&lt;&gt;FilterSpecs!$F$12, MouserListTable12[[#This Row],[Tag]]&lt;&gt;FilterSpecs!$F$9), MouserListTable12[[#This Row],['#/Unit]]*FilterSpecs!$B$3+MouserListTable12[[#This Row],[Extra Initial]],0)</f>
        <v>5</v>
      </c>
      <c r="G151" s="103"/>
      <c r="H151" s="103"/>
      <c r="I151" s="103" t="s">
        <v>2580</v>
      </c>
      <c r="J151" s="103"/>
      <c r="K151" s="157">
        <v>23.95</v>
      </c>
      <c r="L151" s="121" t="s">
        <v>1911</v>
      </c>
      <c r="M151" s="103"/>
      <c r="N151" s="157">
        <f>MouserListTable12[[#This Row],['# Initial]]*MouserListTable12[[#This Row],[Price (USD)]]</f>
        <v>119.75</v>
      </c>
      <c r="O151" s="106">
        <v>716</v>
      </c>
      <c r="P151" s="121">
        <f>IF($P150="List #",1,$P150+1)</f>
        <v>138</v>
      </c>
      <c r="Q151" s="103" t="s">
        <v>1898</v>
      </c>
      <c r="R15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485-716</v>
      </c>
      <c r="S151" s="195" t="str">
        <f>HYPERLINK("https://www.mouser.com/ProductDetail/" &amp;MouserListTable12[[#This Row],[Mouser SKU]])</f>
        <v>https://www.mouser.com/ProductDetail/485-716</v>
      </c>
      <c r="T151" s="121">
        <v>1</v>
      </c>
      <c r="U151" s="121">
        <v>0</v>
      </c>
      <c r="V151" s="121">
        <v>0</v>
      </c>
      <c r="W151" s="121">
        <f>MouserListTable12[[#This Row],['#/Unit]]*FilterSpecs!$C$3+MouserListTable12[[#This Row],[Extra]]</f>
        <v>5</v>
      </c>
      <c r="X151" s="121">
        <f>IF(MouserListTable12[[#This Row],[Tag]]=FilterSpecs!$F$7,MouserListTable12[[#This Row],['#/Unit]]*MouserListTable12[[#This Row],[Price (USD)]],0)</f>
        <v>23.95</v>
      </c>
      <c r="Y151" s="121">
        <f>MouserListTable12[[#This Row],[Tot '#]]*MouserListTable12[[#This Row],[Price (USD)]]</f>
        <v>119.75</v>
      </c>
      <c r="Z151"/>
    </row>
    <row r="152" spans="1:26" s="146" customFormat="1" hidden="1" x14ac:dyDescent="0.3">
      <c r="A152" s="103" t="s">
        <v>894</v>
      </c>
      <c r="B152" s="103" t="s">
        <v>2031</v>
      </c>
      <c r="C152" s="103" t="s">
        <v>1906</v>
      </c>
      <c r="D152" s="160" t="str">
        <f>IF(MouserListTable12[[#This Row],[Vendor]]=FilterSpecs!$A$8,MouserListTable12[[#This Row],[Mouser SKU]], MouserListTable12[[#This Row],[Supplier SKU]])</f>
        <v>485-772</v>
      </c>
      <c r="E152" s="121">
        <f>MouserListTable12[[#This Row],[Tot '#]]-MouserListTable12[[#This Row],['# Initial]]</f>
        <v>0</v>
      </c>
      <c r="F152" s="121">
        <f>IF(AND(MouserListTable12[[#This Row],[Tag]]&lt;&gt;FilterSpecs!$F$12, MouserListTable12[[#This Row],[Tag]]&lt;&gt;FilterSpecs!$F$9), MouserListTable12[[#This Row],['#/Unit]]*FilterSpecs!$B$3+MouserListTable12[[#This Row],[Extra Initial]],0)</f>
        <v>0</v>
      </c>
      <c r="G152" s="103"/>
      <c r="H152" s="103"/>
      <c r="I152" s="103" t="s">
        <v>2581</v>
      </c>
      <c r="J152" s="103"/>
      <c r="K152" s="157">
        <v>19.95</v>
      </c>
      <c r="L152" s="121" t="str">
        <f>Primary!K141</f>
        <v>A</v>
      </c>
      <c r="M152" s="103"/>
      <c r="N152" s="157">
        <f>MouserListTable12[[#This Row],['# Initial]]*MouserListTable12[[#This Row],[Price (USD)]]</f>
        <v>0</v>
      </c>
      <c r="O152" s="106">
        <v>772</v>
      </c>
      <c r="P152" s="121">
        <f>IF($P151="List #",1,$P151+1)</f>
        <v>139</v>
      </c>
      <c r="Q152" s="103" t="s">
        <v>1898</v>
      </c>
      <c r="R15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485-772</v>
      </c>
      <c r="S152" s="195" t="str">
        <f>HYPERLINK("https://www.mouser.com/ProductDetail/" &amp;MouserListTable12[[#This Row],[Mouser SKU]])</f>
        <v>https://www.mouser.com/ProductDetail/485-772</v>
      </c>
      <c r="T152" s="121">
        <v>0</v>
      </c>
      <c r="U152" s="121">
        <v>0</v>
      </c>
      <c r="V152" s="121">
        <v>0</v>
      </c>
      <c r="W152" s="121">
        <f>MouserListTable12[[#This Row],['#/Unit]]*FilterSpecs!$C$3+MouserListTable12[[#This Row],[Extra]]</f>
        <v>0</v>
      </c>
      <c r="X152" s="121">
        <f>IF(MouserListTable12[[#This Row],[Tag]]=FilterSpecs!$F$7,MouserListTable12[[#This Row],['#/Unit]]*MouserListTable12[[#This Row],[Price (USD)]],0)</f>
        <v>0</v>
      </c>
      <c r="Y152" s="121">
        <f>MouserListTable12[[#This Row],[Tot '#]]*MouserListTable12[[#This Row],[Price (USD)]]</f>
        <v>0</v>
      </c>
      <c r="Z152"/>
    </row>
    <row r="153" spans="1:26" s="146" customFormat="1" hidden="1" x14ac:dyDescent="0.3">
      <c r="A153" s="103" t="s">
        <v>894</v>
      </c>
      <c r="B153" s="103" t="s">
        <v>2031</v>
      </c>
      <c r="C153" s="103" t="s">
        <v>1906</v>
      </c>
      <c r="D153" s="106" t="str">
        <f>IF(MouserListTable12[[#This Row],[Vendor]]=FilterSpecs!$A$8,MouserListTable12[[#This Row],[Mouser SKU]], MouserListTable12[[#This Row],[Supplier SKU]])</f>
        <v>474-LCD-00710</v>
      </c>
      <c r="E153" s="121">
        <f>MouserListTable12[[#This Row],[Tot '#]]-MouserListTable12[[#This Row],['# Initial]]</f>
        <v>1</v>
      </c>
      <c r="F153" s="121">
        <f>IF(AND(MouserListTable12[[#This Row],[Tag]]&lt;&gt;FilterSpecs!$F$12, MouserListTable12[[#This Row],[Tag]]&lt;&gt;FilterSpecs!$F$9), MouserListTable12[[#This Row],['#/Unit]]*FilterSpecs!$B$3+MouserListTable12[[#This Row],[Extra Initial]],0)</f>
        <v>0</v>
      </c>
      <c r="G153" s="103" t="s">
        <v>1182</v>
      </c>
      <c r="H153" s="103" t="s">
        <v>1183</v>
      </c>
      <c r="I153" s="103" t="s">
        <v>1184</v>
      </c>
      <c r="J153" s="103">
        <v>1</v>
      </c>
      <c r="K153" s="157">
        <v>19.95</v>
      </c>
      <c r="L153" s="103" t="s">
        <v>1910</v>
      </c>
      <c r="M153" s="106"/>
      <c r="N153" s="157">
        <f>MouserListTable12[[#This Row],['# Initial]]*MouserListTable12[[#This Row],[Price (USD)]]</f>
        <v>0</v>
      </c>
      <c r="O153" s="106" t="s">
        <v>1181</v>
      </c>
      <c r="P153" s="103">
        <f>IF($P150="List #",1,$P150+1)</f>
        <v>138</v>
      </c>
      <c r="Q153" s="103" t="s">
        <v>8</v>
      </c>
      <c r="R15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474-LCD-00710</v>
      </c>
      <c r="S153" s="195" t="str">
        <f>HYPERLINK("https://www.mouser.com/ProductDetail/" &amp;MouserListTable12[[#This Row],[Mouser SKU]])</f>
        <v>https://www.mouser.com/ProductDetail/474-LCD-00710</v>
      </c>
      <c r="T153" s="121">
        <v>0</v>
      </c>
      <c r="U153" s="121">
        <v>1</v>
      </c>
      <c r="V153" s="121">
        <v>0</v>
      </c>
      <c r="W153" s="121">
        <f>MouserListTable12[[#This Row],['#/Unit]]*FilterSpecs!$C$3+MouserListTable12[[#This Row],[Extra]]</f>
        <v>1</v>
      </c>
      <c r="X153" s="121">
        <f>IF(MouserListTable12[[#This Row],[Tag]]=FilterSpecs!$F$7,MouserListTable12[[#This Row],['#/Unit]]*MouserListTable12[[#This Row],[Price (USD)]],0)</f>
        <v>0</v>
      </c>
      <c r="Y153" s="121">
        <f>MouserListTable12[[#This Row],[Tot '#]]*MouserListTable12[[#This Row],[Price (USD)]]</f>
        <v>19.95</v>
      </c>
      <c r="Z153"/>
    </row>
    <row r="154" spans="1:26" s="146" customFormat="1" hidden="1" x14ac:dyDescent="0.3">
      <c r="A154" s="126" t="s">
        <v>894</v>
      </c>
      <c r="B154" s="126" t="s">
        <v>2031</v>
      </c>
      <c r="C154" s="103" t="s">
        <v>1906</v>
      </c>
      <c r="D154" s="106" t="str">
        <f>IF(MouserListTable12[[#This Row],[Vendor]]=FilterSpecs!$A$8,MouserListTable12[[#This Row],[Mouser SKU]], MouserListTable12[[#This Row],[Supplier SKU]])</f>
        <v>474-LCD-09568</v>
      </c>
      <c r="E154" s="121">
        <f>MouserListTable12[[#This Row],[Tot '#]]-MouserListTable12[[#This Row],['# Initial]]</f>
        <v>0</v>
      </c>
      <c r="F154" s="121">
        <f>IF(AND(MouserListTable12[[#This Row],[Tag]]&lt;&gt;FilterSpecs!$F$12, MouserListTable12[[#This Row],[Tag]]&lt;&gt;FilterSpecs!$F$9), MouserListTable12[[#This Row],['#/Unit]]*FilterSpecs!$B$3+MouserListTable12[[#This Row],[Extra Initial]],0)</f>
        <v>0</v>
      </c>
      <c r="G154" s="103" t="s">
        <v>1524</v>
      </c>
      <c r="H154" s="103" t="s">
        <v>1525</v>
      </c>
      <c r="I154" s="103" t="s">
        <v>1526</v>
      </c>
      <c r="J154" s="103">
        <v>1</v>
      </c>
      <c r="K154" s="157">
        <v>29.95</v>
      </c>
      <c r="L154" s="103" t="s">
        <v>1910</v>
      </c>
      <c r="N154" s="157">
        <f>MouserListTable12[[#This Row],['# Initial]]*MouserListTable12[[#This Row],[Price (USD)]]</f>
        <v>0</v>
      </c>
      <c r="O154" s="106" t="s">
        <v>1523</v>
      </c>
      <c r="P154" s="103">
        <f t="shared" si="2"/>
        <v>139</v>
      </c>
      <c r="Q154" s="103" t="s">
        <v>8</v>
      </c>
      <c r="R15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474-LCD-09568</v>
      </c>
      <c r="S154" s="195" t="str">
        <f>HYPERLINK("https://www.mouser.com/ProductDetail/" &amp;MouserListTable12[[#This Row],[Mouser SKU]])</f>
        <v>https://www.mouser.com/ProductDetail/474-LCD-09568</v>
      </c>
      <c r="T154" s="121">
        <v>0</v>
      </c>
      <c r="U154" s="121">
        <v>0</v>
      </c>
      <c r="V154" s="121">
        <v>0</v>
      </c>
      <c r="W154" s="121">
        <f>MouserListTable12[[#This Row],['#/Unit]]*FilterSpecs!$C$3+MouserListTable12[[#This Row],[Extra]]</f>
        <v>0</v>
      </c>
      <c r="X154" s="121">
        <f>IF(MouserListTable12[[#This Row],[Tag]]=FilterSpecs!$F$7,MouserListTable12[[#This Row],['#/Unit]]*MouserListTable12[[#This Row],[Price (USD)]],0)</f>
        <v>0</v>
      </c>
      <c r="Y154" s="121">
        <f>MouserListTable12[[#This Row],[Tot '#]]*MouserListTable12[[#This Row],[Price (USD)]]</f>
        <v>0</v>
      </c>
      <c r="Z154"/>
    </row>
    <row r="155" spans="1:26" s="146" customFormat="1" hidden="1" x14ac:dyDescent="0.3">
      <c r="A155" s="103" t="s">
        <v>894</v>
      </c>
      <c r="B155" s="103" t="s">
        <v>2031</v>
      </c>
      <c r="C155" s="103" t="s">
        <v>1906</v>
      </c>
      <c r="D155" s="106" t="str">
        <f>IF(MouserListTable12[[#This Row],[Vendor]]=FilterSpecs!$A$8,MouserListTable12[[#This Row],[Mouser SKU]], MouserListTable12[[#This Row],[Supplier SKU]])</f>
        <v>485-198</v>
      </c>
      <c r="E155" s="121">
        <f>MouserListTable12[[#This Row],[Tot '#]]-MouserListTable12[[#This Row],['# Initial]]</f>
        <v>0</v>
      </c>
      <c r="F155" s="121">
        <f>IF(AND(MouserListTable12[[#This Row],[Tag]]&lt;&gt;FilterSpecs!$F$12, MouserListTable12[[#This Row],[Tag]]&lt;&gt;FilterSpecs!$F$9), MouserListTable12[[#This Row],['#/Unit]]*FilterSpecs!$B$3+MouserListTable12[[#This Row],[Extra Initial]],0)</f>
        <v>0</v>
      </c>
      <c r="G155" s="103"/>
      <c r="H155" s="103"/>
      <c r="I155" s="126" t="s">
        <v>2074</v>
      </c>
      <c r="K155" s="158">
        <v>17.95</v>
      </c>
      <c r="L155" s="126" t="s">
        <v>1910</v>
      </c>
      <c r="N155" s="157">
        <f>MouserListTable12[[#This Row],['# Initial]]*MouserListTable12[[#This Row],[Price (USD)]]</f>
        <v>0</v>
      </c>
      <c r="O155" s="106" t="s">
        <v>2075</v>
      </c>
      <c r="P155" s="103">
        <f t="shared" si="2"/>
        <v>140</v>
      </c>
      <c r="Q155" s="103" t="s">
        <v>1898</v>
      </c>
      <c r="R15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485-198</v>
      </c>
      <c r="S155" s="195" t="str">
        <f>HYPERLINK("https://www.mouser.com/ProductDetail/" &amp;MouserListTable12[[#This Row],[Mouser SKU]])</f>
        <v>https://www.mouser.com/ProductDetail/485-198</v>
      </c>
      <c r="T155" s="121">
        <v>0</v>
      </c>
      <c r="U155" s="121">
        <v>0</v>
      </c>
      <c r="V155" s="121">
        <v>0</v>
      </c>
      <c r="W155" s="121">
        <f>MouserListTable12[[#This Row],['#/Unit]]*FilterSpecs!$C$3+MouserListTable12[[#This Row],[Extra]]</f>
        <v>0</v>
      </c>
      <c r="X155" s="121">
        <f>IF(MouserListTable12[[#This Row],[Tag]]=FilterSpecs!$F$7,MouserListTable12[[#This Row],['#/Unit]]*MouserListTable12[[#This Row],[Price (USD)]],0)</f>
        <v>0</v>
      </c>
      <c r="Y155" s="121">
        <f>MouserListTable12[[#This Row],[Tot '#]]*MouserListTable12[[#This Row],[Price (USD)]]</f>
        <v>0</v>
      </c>
      <c r="Z155"/>
    </row>
    <row r="156" spans="1:26" s="146" customFormat="1" hidden="1" x14ac:dyDescent="0.3">
      <c r="A156" s="103" t="s">
        <v>894</v>
      </c>
      <c r="B156" s="103" t="s">
        <v>2031</v>
      </c>
      <c r="C156" s="103" t="s">
        <v>1906</v>
      </c>
      <c r="D156" s="106" t="str">
        <f>IF(MouserListTable12[[#This Row],[Vendor]]=FilterSpecs!$A$8,MouserListTable12[[#This Row],[Mouser SKU]], MouserListTable12[[#This Row],[Supplier SKU]])</f>
        <v>485-3330</v>
      </c>
      <c r="E156" s="121">
        <f>MouserListTable12[[#This Row],[Tot '#]]-MouserListTable12[[#This Row],['# Initial]]</f>
        <v>0</v>
      </c>
      <c r="F156" s="121">
        <f>IF(AND(MouserListTable12[[#This Row],[Tag]]&lt;&gt;FilterSpecs!$F$12, MouserListTable12[[#This Row],[Tag]]&lt;&gt;FilterSpecs!$F$9), MouserListTable12[[#This Row],['#/Unit]]*FilterSpecs!$B$3+MouserListTable12[[#This Row],[Extra Initial]],0)</f>
        <v>0</v>
      </c>
      <c r="G156" s="103"/>
      <c r="H156" s="103"/>
      <c r="I156" s="126" t="s">
        <v>2343</v>
      </c>
      <c r="K156" s="158">
        <v>7.5</v>
      </c>
      <c r="L156" s="126" t="s">
        <v>1910</v>
      </c>
      <c r="N156" s="157">
        <f>MouserListTable12[[#This Row],['# Initial]]*MouserListTable12[[#This Row],[Price (USD)]]</f>
        <v>0</v>
      </c>
      <c r="O156" s="106" t="s">
        <v>2342</v>
      </c>
      <c r="P156" s="103">
        <f t="shared" si="2"/>
        <v>141</v>
      </c>
      <c r="Q156" s="103" t="s">
        <v>1898</v>
      </c>
      <c r="R15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485-3330</v>
      </c>
      <c r="S156" s="195" t="str">
        <f>HYPERLINK("https://www.mouser.com/ProductDetail/" &amp;MouserListTable12[[#This Row],[Mouser SKU]])</f>
        <v>https://www.mouser.com/ProductDetail/485-3330</v>
      </c>
      <c r="T156" s="121">
        <v>0</v>
      </c>
      <c r="U156" s="121">
        <v>0</v>
      </c>
      <c r="V156" s="121">
        <v>0</v>
      </c>
      <c r="W156" s="121">
        <f>MouserListTable12[[#This Row],['#/Unit]]*FilterSpecs!$C$3+MouserListTable12[[#This Row],[Extra]]</f>
        <v>0</v>
      </c>
      <c r="X156" s="121">
        <f>IF(MouserListTable12[[#This Row],[Tag]]=FilterSpecs!$F$7,MouserListTable12[[#This Row],['#/Unit]]*MouserListTable12[[#This Row],[Price (USD)]],0)</f>
        <v>0</v>
      </c>
      <c r="Y156" s="121">
        <f>MouserListTable12[[#This Row],[Tot '#]]*MouserListTable12[[#This Row],[Price (USD)]]</f>
        <v>0</v>
      </c>
      <c r="Z156"/>
    </row>
    <row r="157" spans="1:26" s="146" customFormat="1" hidden="1" x14ac:dyDescent="0.3">
      <c r="A157" s="103" t="s">
        <v>894</v>
      </c>
      <c r="B157" s="103" t="s">
        <v>2031</v>
      </c>
      <c r="C157" s="103" t="s">
        <v>1906</v>
      </c>
      <c r="D157" s="106" t="str">
        <f>IF(MouserListTable12[[#This Row],[Vendor]]=FilterSpecs!$A$8,MouserListTable12[[#This Row],[Mouser SKU]], MouserListTable12[[#This Row],[Supplier SKU]])</f>
        <v>485-1332</v>
      </c>
      <c r="E157" s="121">
        <f>MouserListTable12[[#This Row],[Tot '#]]-MouserListTable12[[#This Row],['# Initial]]</f>
        <v>0</v>
      </c>
      <c r="F157" s="121">
        <f>IF(AND(MouserListTable12[[#This Row],[Tag]]&lt;&gt;FilterSpecs!$F$12, MouserListTable12[[#This Row],[Tag]]&lt;&gt;FilterSpecs!$F$9), MouserListTable12[[#This Row],['#/Unit]]*FilterSpecs!$B$3+MouserListTable12[[#This Row],[Extra Initial]],0)</f>
        <v>0</v>
      </c>
      <c r="G157" s="103"/>
      <c r="H157" s="103"/>
      <c r="I157" s="103" t="s">
        <v>2373</v>
      </c>
      <c r="K157" s="157">
        <v>2.95</v>
      </c>
      <c r="L157" s="103" t="s">
        <v>1910</v>
      </c>
      <c r="M157" s="106"/>
      <c r="N157" s="157">
        <f>MouserListTable12[[#This Row],['# Initial]]*MouserListTable12[[#This Row],[Price (USD)]]</f>
        <v>0</v>
      </c>
      <c r="O157" s="106" t="s">
        <v>2372</v>
      </c>
      <c r="P157" s="103">
        <f t="shared" si="2"/>
        <v>142</v>
      </c>
      <c r="Q157" s="103" t="s">
        <v>1898</v>
      </c>
      <c r="R15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485-1332</v>
      </c>
      <c r="S157" s="195" t="str">
        <f>HYPERLINK("https://www.mouser.com/ProductDetail/" &amp;MouserListTable12[[#This Row],[Mouser SKU]])</f>
        <v>https://www.mouser.com/ProductDetail/485-1332</v>
      </c>
      <c r="T157" s="121">
        <v>0</v>
      </c>
      <c r="U157" s="121">
        <v>0</v>
      </c>
      <c r="V157" s="121">
        <v>0</v>
      </c>
      <c r="W157" s="121">
        <f>MouserListTable12[[#This Row],['#/Unit]]*FilterSpecs!$C$3+MouserListTable12[[#This Row],[Extra]]</f>
        <v>0</v>
      </c>
      <c r="X157" s="121">
        <f>IF(MouserListTable12[[#This Row],[Tag]]=FilterSpecs!$F$7,MouserListTable12[[#This Row],['#/Unit]]*MouserListTable12[[#This Row],[Price (USD)]],0)</f>
        <v>0</v>
      </c>
      <c r="Y157" s="121">
        <f>MouserListTable12[[#This Row],[Tot '#]]*MouserListTable12[[#This Row],[Price (USD)]]</f>
        <v>0</v>
      </c>
      <c r="Z157"/>
    </row>
    <row r="158" spans="1:26" s="146" customFormat="1" x14ac:dyDescent="0.3">
      <c r="A158" s="103" t="s">
        <v>894</v>
      </c>
      <c r="B158" s="103" t="s">
        <v>2031</v>
      </c>
      <c r="C158" s="103" t="s">
        <v>1906</v>
      </c>
      <c r="D158" s="106" t="str">
        <f>IF(MouserListTable12[[#This Row],[Vendor]]=FilterSpecs!$A$8,MouserListTable12[[#This Row],[Mouser SKU]], MouserListTable12[[#This Row],[Supplier SKU]])</f>
        <v>485-419</v>
      </c>
      <c r="E158" s="121">
        <f>MouserListTable12[[#This Row],[Tot '#]]-MouserListTable12[[#This Row],['# Initial]]</f>
        <v>0</v>
      </c>
      <c r="F158" s="121">
        <f>IF(AND(MouserListTable12[[#This Row],[Tag]]&lt;&gt;FilterSpecs!$F$12, MouserListTable12[[#This Row],[Tag]]&lt;&gt;FilterSpecs!$F$9), MouserListTable12[[#This Row],['#/Unit]]*FilterSpecs!$B$3+MouserListTable12[[#This Row],[Extra Initial]],0)</f>
        <v>5</v>
      </c>
      <c r="G158" s="103"/>
      <c r="H158" s="103"/>
      <c r="I158" s="103" t="s">
        <v>2375</v>
      </c>
      <c r="K158" s="157">
        <v>3.95</v>
      </c>
      <c r="L158" s="103" t="s">
        <v>1911</v>
      </c>
      <c r="M158" s="106"/>
      <c r="N158" s="157">
        <f>MouserListTable12[[#This Row],['# Initial]]*MouserListTable12[[#This Row],[Price (USD)]]</f>
        <v>19.75</v>
      </c>
      <c r="O158" s="106" t="s">
        <v>2374</v>
      </c>
      <c r="P158" s="103">
        <f t="shared" si="2"/>
        <v>143</v>
      </c>
      <c r="Q158" s="103" t="s">
        <v>1898</v>
      </c>
      <c r="R15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485-419</v>
      </c>
      <c r="S158" s="195" t="str">
        <f>HYPERLINK("https://www.mouser.com/ProductDetail/" &amp;MouserListTable12[[#This Row],[Mouser SKU]])</f>
        <v>https://www.mouser.com/ProductDetail/485-419</v>
      </c>
      <c r="T158" s="121">
        <v>1</v>
      </c>
      <c r="U158" s="121">
        <v>0</v>
      </c>
      <c r="V158" s="121">
        <v>0</v>
      </c>
      <c r="W158" s="121">
        <f>MouserListTable12[[#This Row],['#/Unit]]*FilterSpecs!$C$3+MouserListTable12[[#This Row],[Extra]]</f>
        <v>5</v>
      </c>
      <c r="X158" s="121">
        <f>IF(MouserListTable12[[#This Row],[Tag]]=FilterSpecs!$F$7,MouserListTable12[[#This Row],['#/Unit]]*MouserListTable12[[#This Row],[Price (USD)]],0)</f>
        <v>3.95</v>
      </c>
      <c r="Y158" s="121">
        <f>MouserListTable12[[#This Row],[Tot '#]]*MouserListTable12[[#This Row],[Price (USD)]]</f>
        <v>19.75</v>
      </c>
      <c r="Z158"/>
    </row>
    <row r="159" spans="1:26" s="146" customFormat="1" hidden="1" x14ac:dyDescent="0.3">
      <c r="A159" s="103" t="s">
        <v>894</v>
      </c>
      <c r="B159" s="103" t="s">
        <v>898</v>
      </c>
      <c r="C159" s="103" t="s">
        <v>1906</v>
      </c>
      <c r="D159" s="106" t="str">
        <f>IF(MouserListTable12[[#This Row],[Vendor]]=FilterSpecs!$A$8,MouserListTable12[[#This Row],[Mouser SKU]], MouserListTable12[[#This Row],[Supplier SKU]])</f>
        <v>474-SEN-14348</v>
      </c>
      <c r="E159" s="121">
        <f>MouserListTable12[[#This Row],[Tot '#]]-MouserListTable12[[#This Row],['# Initial]]</f>
        <v>1</v>
      </c>
      <c r="F159" s="121">
        <f>IF(AND(MouserListTable12[[#This Row],[Tag]]&lt;&gt;FilterSpecs!$F$12, MouserListTable12[[#This Row],[Tag]]&lt;&gt;FilterSpecs!$F$9), MouserListTable12[[#This Row],['#/Unit]]*FilterSpecs!$B$3+MouserListTable12[[#This Row],[Extra Initial]],0)</f>
        <v>0</v>
      </c>
      <c r="G159" s="103" t="s">
        <v>684</v>
      </c>
      <c r="H159" s="103" t="s">
        <v>685</v>
      </c>
      <c r="I159" s="103" t="s">
        <v>686</v>
      </c>
      <c r="J159" s="103">
        <v>1</v>
      </c>
      <c r="K159" s="157">
        <v>34.950000000000003</v>
      </c>
      <c r="L159" s="103" t="s">
        <v>1910</v>
      </c>
      <c r="M159" s="106"/>
      <c r="N159" s="157">
        <f>MouserListTable12[[#This Row],['# Initial]]*MouserListTable12[[#This Row],[Price (USD)]]</f>
        <v>0</v>
      </c>
      <c r="O159" s="106" t="s">
        <v>683</v>
      </c>
      <c r="P159" s="103">
        <f t="shared" si="2"/>
        <v>144</v>
      </c>
      <c r="Q159" s="103" t="s">
        <v>8</v>
      </c>
      <c r="R15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474-SEN-14348</v>
      </c>
      <c r="S159" s="195" t="str">
        <f>HYPERLINK("https://www.mouser.com/ProductDetail/" &amp;MouserListTable12[[#This Row],[Mouser SKU]])</f>
        <v>https://www.mouser.com/ProductDetail/474-SEN-14348</v>
      </c>
      <c r="T159" s="121">
        <v>0</v>
      </c>
      <c r="U159" s="121">
        <v>1</v>
      </c>
      <c r="V159" s="121">
        <v>0</v>
      </c>
      <c r="W159" s="121">
        <f>MouserListTable12[[#This Row],['#/Unit]]*FilterSpecs!$C$3+MouserListTable12[[#This Row],[Extra]]</f>
        <v>1</v>
      </c>
      <c r="X159" s="121">
        <f>IF(MouserListTable12[[#This Row],[Tag]]=FilterSpecs!$F$7,MouserListTable12[[#This Row],['#/Unit]]*MouserListTable12[[#This Row],[Price (USD)]],0)</f>
        <v>0</v>
      </c>
      <c r="Y159" s="121">
        <f>MouserListTable12[[#This Row],[Tot '#]]*MouserListTable12[[#This Row],[Price (USD)]]</f>
        <v>34.950000000000003</v>
      </c>
      <c r="Z159"/>
    </row>
    <row r="160" spans="1:26" s="146" customFormat="1" hidden="1" x14ac:dyDescent="0.3">
      <c r="A160" s="103" t="s">
        <v>894</v>
      </c>
      <c r="B160" s="103" t="s">
        <v>898</v>
      </c>
      <c r="C160" s="103" t="s">
        <v>1906</v>
      </c>
      <c r="D160" s="106" t="str">
        <f>IF(MouserListTable12[[#This Row],[Vendor]]=FilterSpecs!$A$8,MouserListTable12[[#This Row],[Mouser SKU]], MouserListTable12[[#This Row],[Supplier SKU]])</f>
        <v>474-SEN-14045</v>
      </c>
      <c r="E160" s="121">
        <f>MouserListTable12[[#This Row],[Tot '#]]-MouserListTable12[[#This Row],['# Initial]]</f>
        <v>1</v>
      </c>
      <c r="F160" s="121">
        <f>IF(AND(MouserListTable12[[#This Row],[Tag]]&lt;&gt;FilterSpecs!$F$12, MouserListTable12[[#This Row],[Tag]]&lt;&gt;FilterSpecs!$F$9), MouserListTable12[[#This Row],['#/Unit]]*FilterSpecs!$B$3+MouserListTable12[[#This Row],[Extra Initial]],0)</f>
        <v>0</v>
      </c>
      <c r="G160" s="103" t="s">
        <v>688</v>
      </c>
      <c r="H160" s="103" t="s">
        <v>689</v>
      </c>
      <c r="I160" s="103" t="s">
        <v>690</v>
      </c>
      <c r="J160" s="103"/>
      <c r="K160" s="157">
        <v>12.95</v>
      </c>
      <c r="L160" s="103" t="s">
        <v>1910</v>
      </c>
      <c r="M160" s="106"/>
      <c r="N160" s="157">
        <f>MouserListTable12[[#This Row],['# Initial]]*MouserListTable12[[#This Row],[Price (USD)]]</f>
        <v>0</v>
      </c>
      <c r="O160" s="106" t="s">
        <v>687</v>
      </c>
      <c r="P160" s="103">
        <f t="shared" si="2"/>
        <v>145</v>
      </c>
      <c r="Q160" s="103" t="s">
        <v>8</v>
      </c>
      <c r="R16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474-SEN-14045</v>
      </c>
      <c r="S160" s="195" t="str">
        <f>HYPERLINK("https://www.mouser.com/ProductDetail/" &amp;MouserListTable12[[#This Row],[Mouser SKU]])</f>
        <v>https://www.mouser.com/ProductDetail/474-SEN-14045</v>
      </c>
      <c r="T160" s="121">
        <v>0</v>
      </c>
      <c r="U160" s="121">
        <v>1</v>
      </c>
      <c r="V160" s="121">
        <v>0</v>
      </c>
      <c r="W160" s="121">
        <f>MouserListTable12[[#This Row],['#/Unit]]*FilterSpecs!$C$3+MouserListTable12[[#This Row],[Extra]]</f>
        <v>1</v>
      </c>
      <c r="X160" s="121">
        <f>IF(MouserListTable12[[#This Row],[Tag]]=FilterSpecs!$F$7,MouserListTable12[[#This Row],['#/Unit]]*MouserListTable12[[#This Row],[Price (USD)]],0)</f>
        <v>0</v>
      </c>
      <c r="Y160" s="121">
        <f>MouserListTable12[[#This Row],[Tot '#]]*MouserListTable12[[#This Row],[Price (USD)]]</f>
        <v>12.95</v>
      </c>
      <c r="Z160"/>
    </row>
    <row r="161" spans="1:26" s="146" customFormat="1" hidden="1" x14ac:dyDescent="0.3">
      <c r="A161" s="103" t="s">
        <v>894</v>
      </c>
      <c r="B161" s="103" t="s">
        <v>898</v>
      </c>
      <c r="C161" s="103" t="s">
        <v>1906</v>
      </c>
      <c r="D161" s="106" t="str">
        <f>IF(MouserListTable12[[#This Row],[Vendor]]=FilterSpecs!$A$8,MouserListTable12[[#This Row],[Mouser SKU]], MouserListTable12[[#This Row],[Supplier SKU]])</f>
        <v>474-BOB-08891</v>
      </c>
      <c r="E161" s="121">
        <f>MouserListTable12[[#This Row],[Tot '#]]-MouserListTable12[[#This Row],['# Initial]]</f>
        <v>1</v>
      </c>
      <c r="F161" s="121">
        <f>IF(AND(MouserListTable12[[#This Row],[Tag]]&lt;&gt;FilterSpecs!$F$12, MouserListTable12[[#This Row],[Tag]]&lt;&gt;FilterSpecs!$F$9), MouserListTable12[[#This Row],['#/Unit]]*FilterSpecs!$B$3+MouserListTable12[[#This Row],[Extra Initial]],0)</f>
        <v>0</v>
      </c>
      <c r="G161" s="103" t="s">
        <v>692</v>
      </c>
      <c r="H161" s="103" t="s">
        <v>693</v>
      </c>
      <c r="I161" s="103" t="s">
        <v>694</v>
      </c>
      <c r="J161" s="103">
        <v>1</v>
      </c>
      <c r="K161" s="157">
        <v>0.95</v>
      </c>
      <c r="L161" s="103" t="s">
        <v>1910</v>
      </c>
      <c r="M161" s="106"/>
      <c r="N161" s="157">
        <f>MouserListTable12[[#This Row],['# Initial]]*MouserListTable12[[#This Row],[Price (USD)]]</f>
        <v>0</v>
      </c>
      <c r="O161" s="106" t="s">
        <v>691</v>
      </c>
      <c r="P161" s="103">
        <f t="shared" si="2"/>
        <v>146</v>
      </c>
      <c r="Q161" s="103" t="s">
        <v>8</v>
      </c>
      <c r="R16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474-BOB-08891</v>
      </c>
      <c r="S161" s="195" t="str">
        <f>HYPERLINK("https://www.mouser.com/ProductDetail/" &amp;MouserListTable12[[#This Row],[Mouser SKU]])</f>
        <v>https://www.mouser.com/ProductDetail/474-BOB-08891</v>
      </c>
      <c r="T161" s="121">
        <v>0</v>
      </c>
      <c r="U161" s="121">
        <v>1</v>
      </c>
      <c r="V161" s="121">
        <v>0</v>
      </c>
      <c r="W161" s="121">
        <f>MouserListTable12[[#This Row],['#/Unit]]*FilterSpecs!$C$3+MouserListTable12[[#This Row],[Extra]]</f>
        <v>1</v>
      </c>
      <c r="X161" s="121">
        <f>IF(MouserListTable12[[#This Row],[Tag]]=FilterSpecs!$F$7,MouserListTable12[[#This Row],['#/Unit]]*MouserListTable12[[#This Row],[Price (USD)]],0)</f>
        <v>0</v>
      </c>
      <c r="Y161" s="121">
        <f>MouserListTable12[[#This Row],[Tot '#]]*MouserListTable12[[#This Row],[Price (USD)]]</f>
        <v>0.95</v>
      </c>
      <c r="Z161"/>
    </row>
    <row r="162" spans="1:26" s="146" customFormat="1" hidden="1" x14ac:dyDescent="0.3">
      <c r="A162" s="103" t="s">
        <v>894</v>
      </c>
      <c r="B162" s="103" t="s">
        <v>898</v>
      </c>
      <c r="C162" s="103" t="s">
        <v>1906</v>
      </c>
      <c r="D162" s="106" t="str">
        <f>IF(MouserListTable12[[#This Row],[Vendor]]=FilterSpecs!$A$8,MouserListTable12[[#This Row],[Mouser SKU]], MouserListTable12[[#This Row],[Supplier SKU]])</f>
        <v>474-SEN-09403</v>
      </c>
      <c r="E162" s="121">
        <f>MouserListTable12[[#This Row],[Tot '#]]-MouserListTable12[[#This Row],['# Initial]]</f>
        <v>1</v>
      </c>
      <c r="F162" s="121">
        <f>IF(AND(MouserListTable12[[#This Row],[Tag]]&lt;&gt;FilterSpecs!$F$12, MouserListTable12[[#This Row],[Tag]]&lt;&gt;FilterSpecs!$F$9), MouserListTable12[[#This Row],['#/Unit]]*FilterSpecs!$B$3+MouserListTable12[[#This Row],[Extra Initial]],0)</f>
        <v>0</v>
      </c>
      <c r="G162" s="103" t="s">
        <v>696</v>
      </c>
      <c r="H162" s="103" t="s">
        <v>697</v>
      </c>
      <c r="I162" s="103" t="s">
        <v>698</v>
      </c>
      <c r="J162" s="103">
        <v>1</v>
      </c>
      <c r="K162" s="157">
        <v>7.25</v>
      </c>
      <c r="L162" s="103" t="s">
        <v>1910</v>
      </c>
      <c r="M162" s="106"/>
      <c r="N162" s="157">
        <f>MouserListTable12[[#This Row],['# Initial]]*MouserListTable12[[#This Row],[Price (USD)]]</f>
        <v>0</v>
      </c>
      <c r="O162" s="106" t="s">
        <v>695</v>
      </c>
      <c r="P162" s="103">
        <f t="shared" si="2"/>
        <v>147</v>
      </c>
      <c r="Q162" s="103" t="s">
        <v>8</v>
      </c>
      <c r="R16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474-SEN-09403</v>
      </c>
      <c r="S162" s="195" t="str">
        <f>HYPERLINK("https://www.mouser.com/ProductDetail/" &amp;MouserListTable12[[#This Row],[Mouser SKU]])</f>
        <v>https://www.mouser.com/ProductDetail/474-SEN-09403</v>
      </c>
      <c r="T162" s="121">
        <v>0</v>
      </c>
      <c r="U162" s="121">
        <v>1</v>
      </c>
      <c r="V162" s="121">
        <v>0</v>
      </c>
      <c r="W162" s="121">
        <f>MouserListTable12[[#This Row],['#/Unit]]*FilterSpecs!$C$3+MouserListTable12[[#This Row],[Extra]]</f>
        <v>1</v>
      </c>
      <c r="X162" s="121">
        <f>IF(MouserListTable12[[#This Row],[Tag]]=FilterSpecs!$F$7,MouserListTable12[[#This Row],['#/Unit]]*MouserListTable12[[#This Row],[Price (USD)]],0)</f>
        <v>0</v>
      </c>
      <c r="Y162" s="121">
        <f>MouserListTable12[[#This Row],[Tot '#]]*MouserListTable12[[#This Row],[Price (USD)]]</f>
        <v>7.25</v>
      </c>
      <c r="Z162"/>
    </row>
    <row r="163" spans="1:26" s="146" customFormat="1" hidden="1" x14ac:dyDescent="0.3">
      <c r="A163" s="126" t="s">
        <v>894</v>
      </c>
      <c r="B163" s="126" t="s">
        <v>898</v>
      </c>
      <c r="C163" s="103" t="s">
        <v>1906</v>
      </c>
      <c r="D163" s="106" t="str">
        <f>IF(MouserListTable12[[#This Row],[Vendor]]=FilterSpecs!$A$8,MouserListTable12[[#This Row],[Mouser SKU]], MouserListTable12[[#This Row],[Supplier SKU]])</f>
        <v>474-SEN-12055</v>
      </c>
      <c r="E163" s="121">
        <f>MouserListTable12[[#This Row],[Tot '#]]-MouserListTable12[[#This Row],['# Initial]]</f>
        <v>0</v>
      </c>
      <c r="F163" s="121">
        <f>IF(AND(MouserListTable12[[#This Row],[Tag]]&lt;&gt;FilterSpecs!$F$12, MouserListTable12[[#This Row],[Tag]]&lt;&gt;FilterSpecs!$F$9), MouserListTable12[[#This Row],['#/Unit]]*FilterSpecs!$B$3+MouserListTable12[[#This Row],[Extra Initial]],0)</f>
        <v>0</v>
      </c>
      <c r="G163" s="103" t="s">
        <v>828</v>
      </c>
      <c r="H163" s="103" t="s">
        <v>829</v>
      </c>
      <c r="I163" s="103" t="s">
        <v>212</v>
      </c>
      <c r="J163" s="103">
        <v>1</v>
      </c>
      <c r="K163" s="157">
        <v>5.95</v>
      </c>
      <c r="L163" s="103" t="s">
        <v>2487</v>
      </c>
      <c r="N163" s="157">
        <f>MouserListTable12[[#This Row],['# Initial]]*MouserListTable12[[#This Row],[Price (USD)]]</f>
        <v>0</v>
      </c>
      <c r="O163" s="106" t="s">
        <v>827</v>
      </c>
      <c r="P163" s="103">
        <f t="shared" si="2"/>
        <v>148</v>
      </c>
      <c r="Q163" s="103" t="s">
        <v>8</v>
      </c>
      <c r="R16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474-SEN-12055</v>
      </c>
      <c r="S163" s="195" t="str">
        <f>HYPERLINK("https://www.mouser.com/ProductDetail/" &amp;MouserListTable12[[#This Row],[Mouser SKU]])</f>
        <v>https://www.mouser.com/ProductDetail/474-SEN-12055</v>
      </c>
      <c r="T163" s="121">
        <v>0</v>
      </c>
      <c r="U163" s="121">
        <v>0</v>
      </c>
      <c r="V163" s="121">
        <v>0</v>
      </c>
      <c r="W163" s="121">
        <f>MouserListTable12[[#This Row],['#/Unit]]*FilterSpecs!$C$3+MouserListTable12[[#This Row],[Extra]]</f>
        <v>0</v>
      </c>
      <c r="X163" s="121">
        <f>IF(MouserListTable12[[#This Row],[Tag]]=FilterSpecs!$F$7,MouserListTable12[[#This Row],['#/Unit]]*MouserListTable12[[#This Row],[Price (USD)]],0)</f>
        <v>0</v>
      </c>
      <c r="Y163" s="121">
        <f>MouserListTable12[[#This Row],[Tot '#]]*MouserListTable12[[#This Row],[Price (USD)]]</f>
        <v>0</v>
      </c>
      <c r="Z163"/>
    </row>
    <row r="164" spans="1:26" s="146" customFormat="1" hidden="1" x14ac:dyDescent="0.3">
      <c r="A164" s="103" t="s">
        <v>894</v>
      </c>
      <c r="B164" s="103" t="s">
        <v>898</v>
      </c>
      <c r="C164" s="103" t="s">
        <v>1906</v>
      </c>
      <c r="D164" s="106" t="str">
        <f>IF(MouserListTable12[[#This Row],[Vendor]]=FilterSpecs!$A$8,MouserListTable12[[#This Row],[Mouser SKU]], MouserListTable12[[#This Row],[Supplier SKU]])</f>
        <v>474-BOB-08688</v>
      </c>
      <c r="E164" s="121">
        <f>MouserListTable12[[#This Row],[Tot '#]]-MouserListTable12[[#This Row],['# Initial]]</f>
        <v>2</v>
      </c>
      <c r="F164" s="121">
        <f>IF(AND(MouserListTable12[[#This Row],[Tag]]&lt;&gt;FilterSpecs!$F$12, MouserListTable12[[#This Row],[Tag]]&lt;&gt;FilterSpecs!$F$9), MouserListTable12[[#This Row],['#/Unit]]*FilterSpecs!$B$3+MouserListTable12[[#This Row],[Extra Initial]],0)</f>
        <v>0</v>
      </c>
      <c r="G164" s="103" t="s">
        <v>831</v>
      </c>
      <c r="H164" s="103" t="s">
        <v>832</v>
      </c>
      <c r="I164" s="103" t="s">
        <v>220</v>
      </c>
      <c r="J164" s="103">
        <v>1</v>
      </c>
      <c r="K164" s="157">
        <v>3.95</v>
      </c>
      <c r="L164" s="103" t="s">
        <v>1910</v>
      </c>
      <c r="M164" s="106"/>
      <c r="N164" s="157">
        <f>MouserListTable12[[#This Row],['# Initial]]*MouserListTable12[[#This Row],[Price (USD)]]</f>
        <v>0</v>
      </c>
      <c r="O164" s="106" t="s">
        <v>830</v>
      </c>
      <c r="P164" s="103">
        <f t="shared" si="2"/>
        <v>149</v>
      </c>
      <c r="Q164" s="103" t="s">
        <v>8</v>
      </c>
      <c r="R16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474-BOB-08688</v>
      </c>
      <c r="S164" s="195" t="str">
        <f>HYPERLINK("https://www.mouser.com/ProductDetail/" &amp;MouserListTable12[[#This Row],[Mouser SKU]])</f>
        <v>https://www.mouser.com/ProductDetail/474-BOB-08688</v>
      </c>
      <c r="T164" s="121">
        <v>0</v>
      </c>
      <c r="U164" s="121">
        <v>2</v>
      </c>
      <c r="V164" s="121">
        <v>0</v>
      </c>
      <c r="W164" s="121">
        <f>MouserListTable12[[#This Row],['#/Unit]]*FilterSpecs!$C$3+MouserListTable12[[#This Row],[Extra]]</f>
        <v>2</v>
      </c>
      <c r="X164" s="121">
        <f>IF(MouserListTable12[[#This Row],[Tag]]=FilterSpecs!$F$7,MouserListTable12[[#This Row],['#/Unit]]*MouserListTable12[[#This Row],[Price (USD)]],0)</f>
        <v>0</v>
      </c>
      <c r="Y164" s="121">
        <f>MouserListTable12[[#This Row],[Tot '#]]*MouserListTable12[[#This Row],[Price (USD)]]</f>
        <v>7.9</v>
      </c>
      <c r="Z164"/>
    </row>
    <row r="165" spans="1:26" s="146" customFormat="1" hidden="1" x14ac:dyDescent="0.3">
      <c r="A165" s="103" t="s">
        <v>894</v>
      </c>
      <c r="B165" s="103" t="s">
        <v>13</v>
      </c>
      <c r="C165" s="103" t="s">
        <v>1906</v>
      </c>
      <c r="D165" s="106" t="str">
        <f>IF(MouserListTable12[[#This Row],[Vendor]]=FilterSpecs!$A$8,MouserListTable12[[#This Row],[Mouser SKU]], MouserListTable12[[#This Row],[Supplier SKU]])</f>
        <v>474-WRL-13677</v>
      </c>
      <c r="E165" s="121">
        <f>MouserListTable12[[#This Row],[Tot '#]]-MouserListTable12[[#This Row],['# Initial]]</f>
        <v>3</v>
      </c>
      <c r="F165" s="121">
        <f>IF(AND(MouserListTable12[[#This Row],[Tag]]&lt;&gt;FilterSpecs!$F$12, MouserListTable12[[#This Row],[Tag]]&lt;&gt;FilterSpecs!$F$9), MouserListTable12[[#This Row],['#/Unit]]*FilterSpecs!$B$3+MouserListTable12[[#This Row],[Extra Initial]],0)</f>
        <v>0</v>
      </c>
      <c r="G165" s="103" t="s">
        <v>257</v>
      </c>
      <c r="H165" s="103" t="s">
        <v>258</v>
      </c>
      <c r="I165" s="103" t="s">
        <v>259</v>
      </c>
      <c r="J165" s="103">
        <v>1</v>
      </c>
      <c r="K165" s="157">
        <v>14.95</v>
      </c>
      <c r="L165" s="103" t="s">
        <v>1910</v>
      </c>
      <c r="M165" s="106"/>
      <c r="N165" s="157">
        <f>MouserListTable12[[#This Row],['# Initial]]*MouserListTable12[[#This Row],[Price (USD)]]</f>
        <v>0</v>
      </c>
      <c r="O165" s="106" t="s">
        <v>256</v>
      </c>
      <c r="P165" s="103">
        <f t="shared" si="2"/>
        <v>150</v>
      </c>
      <c r="Q165" s="103" t="s">
        <v>8</v>
      </c>
      <c r="R16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474-WRL-13677</v>
      </c>
      <c r="S165" s="195" t="str">
        <f>HYPERLINK("https://www.mouser.com/ProductDetail/" &amp;MouserListTable12[[#This Row],[Mouser SKU]])</f>
        <v>https://www.mouser.com/ProductDetail/474-WRL-13677</v>
      </c>
      <c r="T165" s="121">
        <v>0</v>
      </c>
      <c r="U165" s="121">
        <v>3</v>
      </c>
      <c r="V165" s="121">
        <v>0</v>
      </c>
      <c r="W165" s="121">
        <f>MouserListTable12[[#This Row],['#/Unit]]*FilterSpecs!$C$3+MouserListTable12[[#This Row],[Extra]]</f>
        <v>3</v>
      </c>
      <c r="X165" s="121">
        <f>IF(MouserListTable12[[#This Row],[Tag]]=FilterSpecs!$F$7,MouserListTable12[[#This Row],['#/Unit]]*MouserListTable12[[#This Row],[Price (USD)]],0)</f>
        <v>0</v>
      </c>
      <c r="Y165" s="121">
        <f>MouserListTable12[[#This Row],[Tot '#]]*MouserListTable12[[#This Row],[Price (USD)]]</f>
        <v>44.849999999999994</v>
      </c>
      <c r="Z165"/>
    </row>
    <row r="166" spans="1:26" s="146" customFormat="1" hidden="1" x14ac:dyDescent="0.3">
      <c r="A166" s="126" t="s">
        <v>894</v>
      </c>
      <c r="B166" s="103" t="s">
        <v>13</v>
      </c>
      <c r="C166" s="103" t="s">
        <v>1906</v>
      </c>
      <c r="D166" s="106" t="str">
        <f>IF(MouserListTable12[[#This Row],[Vendor]]=FilterSpecs!$A$8,MouserListTable12[[#This Row],[Mouser SKU]], MouserListTable12[[#This Row],[Supplier SKU]])</f>
        <v>474-WRL-13678</v>
      </c>
      <c r="E166" s="121">
        <f>MouserListTable12[[#This Row],[Tot '#]]-MouserListTable12[[#This Row],['# Initial]]</f>
        <v>0</v>
      </c>
      <c r="F166" s="121">
        <f>IF(AND(MouserListTable12[[#This Row],[Tag]]&lt;&gt;FilterSpecs!$F$12, MouserListTable12[[#This Row],[Tag]]&lt;&gt;FilterSpecs!$F$9), MouserListTable12[[#This Row],['#/Unit]]*FilterSpecs!$B$3+MouserListTable12[[#This Row],[Extra Initial]],0)</f>
        <v>0</v>
      </c>
      <c r="G166" s="103" t="s">
        <v>261</v>
      </c>
      <c r="H166" s="103" t="s">
        <v>262</v>
      </c>
      <c r="I166" s="103" t="s">
        <v>263</v>
      </c>
      <c r="J166" s="103">
        <v>1</v>
      </c>
      <c r="K166" s="157">
        <v>6.95</v>
      </c>
      <c r="L166" s="103" t="s">
        <v>1913</v>
      </c>
      <c r="N166" s="157">
        <f>MouserListTable12[[#This Row],['# Initial]]*MouserListTable12[[#This Row],[Price (USD)]]</f>
        <v>0</v>
      </c>
      <c r="O166" s="106" t="s">
        <v>260</v>
      </c>
      <c r="P166" s="103">
        <f>IF($P165="List #",1,$P165+1)</f>
        <v>151</v>
      </c>
      <c r="Q166" s="103" t="s">
        <v>8</v>
      </c>
      <c r="R16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474-WRL-13678</v>
      </c>
      <c r="S166" s="195" t="str">
        <f>HYPERLINK("https://www.mouser.com/ProductDetail/" &amp;MouserListTable12[[#This Row],[Mouser SKU]])</f>
        <v>https://www.mouser.com/ProductDetail/474-WRL-13678</v>
      </c>
      <c r="T166" s="121">
        <v>0</v>
      </c>
      <c r="U166" s="121">
        <v>0</v>
      </c>
      <c r="V166" s="121">
        <v>0</v>
      </c>
      <c r="W166" s="121">
        <f>MouserListTable12[[#This Row],['#/Unit]]*FilterSpecs!$C$3+MouserListTable12[[#This Row],[Extra]]</f>
        <v>0</v>
      </c>
      <c r="X166" s="121">
        <f>IF(MouserListTable12[[#This Row],[Tag]]=FilterSpecs!$F$7,MouserListTable12[[#This Row],['#/Unit]]*MouserListTable12[[#This Row],[Price (USD)]],0)</f>
        <v>0</v>
      </c>
      <c r="Y166" s="121">
        <f>MouserListTable12[[#This Row],[Tot '#]]*MouserListTable12[[#This Row],[Price (USD)]]</f>
        <v>0</v>
      </c>
      <c r="Z166"/>
    </row>
    <row r="167" spans="1:26" s="146" customFormat="1" hidden="1" x14ac:dyDescent="0.3">
      <c r="A167" s="126" t="s">
        <v>894</v>
      </c>
      <c r="B167" s="103" t="s">
        <v>13</v>
      </c>
      <c r="C167" s="103" t="s">
        <v>1906</v>
      </c>
      <c r="D167" s="160" t="str">
        <f>IF(MouserListTable12[[#This Row],[Vendor]]=FilterSpecs!$A$8,MouserListTable12[[#This Row],[Mouser SKU]], MouserListTable12[[#This Row],[Supplier SKU]])</f>
        <v>409-OPT-UP-WF-002</v>
      </c>
      <c r="E167" s="121">
        <f>MouserListTable12[[#This Row],[Tot '#]]-MouserListTable12[[#This Row],['# Initial]]</f>
        <v>0</v>
      </c>
      <c r="F167" s="121">
        <f>IF(AND(MouserListTable12[[#This Row],[Tag]]&lt;&gt;FilterSpecs!$F$12, MouserListTable12[[#This Row],[Tag]]&lt;&gt;FilterSpecs!$F$9), MouserListTable12[[#This Row],['#/Unit]]*FilterSpecs!$B$3+MouserListTable12[[#This Row],[Extra Initial]],0)</f>
        <v>0</v>
      </c>
      <c r="G167" s="103"/>
      <c r="H167" s="103"/>
      <c r="I167" s="103" t="s">
        <v>2572</v>
      </c>
      <c r="J167" s="103"/>
      <c r="K167" s="157">
        <v>9.99</v>
      </c>
      <c r="L167" s="121" t="s">
        <v>1910</v>
      </c>
      <c r="M167" s="103" t="s">
        <v>2576</v>
      </c>
      <c r="N167" s="157">
        <f>MouserListTable12[[#This Row],['# Initial]]*MouserListTable12[[#This Row],[Price (USD)]]</f>
        <v>0</v>
      </c>
      <c r="O167" s="106" t="s">
        <v>2574</v>
      </c>
      <c r="P167" s="121">
        <f t="shared" ref="P167" si="3">IF($P166="List #",1,$P166+1)</f>
        <v>152</v>
      </c>
      <c r="Q167" s="103" t="s">
        <v>2573</v>
      </c>
      <c r="R16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409-OPT-UP-WF-002</v>
      </c>
      <c r="S167" s="195" t="str">
        <f>HYPERLINK("https://www.mouser.com/ProductDetail/" &amp;MouserListTable12[[#This Row],[Mouser SKU]])</f>
        <v>https://www.mouser.com/ProductDetail/409-OPT-UP-WF-002</v>
      </c>
      <c r="T167" s="121">
        <v>0</v>
      </c>
      <c r="U167" s="121">
        <v>0</v>
      </c>
      <c r="V167" s="121">
        <v>0</v>
      </c>
      <c r="W167" s="121">
        <f>MouserListTable12[[#This Row],['#/Unit]]*FilterSpecs!$C$3+MouserListTable12[[#This Row],[Extra]]</f>
        <v>0</v>
      </c>
      <c r="X167" s="121">
        <f>IF(MouserListTable12[[#This Row],[Tag]]=FilterSpecs!$F$7,MouserListTable12[[#This Row],['#/Unit]]*MouserListTable12[[#This Row],[Price (USD)]],0)</f>
        <v>0</v>
      </c>
      <c r="Y167" s="121">
        <f>MouserListTable12[[#This Row],[Tot '#]]*MouserListTable12[[#This Row],[Price (USD)]]</f>
        <v>0</v>
      </c>
      <c r="Z167"/>
    </row>
    <row r="168" spans="1:26" s="146" customFormat="1" hidden="1" x14ac:dyDescent="0.3">
      <c r="A168" s="126" t="s">
        <v>894</v>
      </c>
      <c r="B168" s="126" t="s">
        <v>13</v>
      </c>
      <c r="C168" s="103" t="s">
        <v>1906</v>
      </c>
      <c r="D168" s="160" t="str">
        <f>IF(MouserListTable12[[#This Row],[Vendor]]=FilterSpecs!$A$8,MouserListTable12[[#This Row],[Mouser SKU]], MouserListTable12[[#This Row],[Supplier SKU]])</f>
        <v>485-2810</v>
      </c>
      <c r="E168" s="121">
        <f>MouserListTable12[[#This Row],[Tot '#]]-MouserListTable12[[#This Row],['# Initial]]</f>
        <v>0</v>
      </c>
      <c r="F168" s="121">
        <f>IF(AND(MouserListTable12[[#This Row],[Tag]]&lt;&gt;FilterSpecs!$F$12, MouserListTable12[[#This Row],[Tag]]&lt;&gt;FilterSpecs!$F$9), MouserListTable12[[#This Row],['#/Unit]]*FilterSpecs!$B$3+MouserListTable12[[#This Row],[Extra Initial]],0)</f>
        <v>0</v>
      </c>
      <c r="G168" s="103"/>
      <c r="H168" s="103"/>
      <c r="I168" s="103" t="s">
        <v>2570</v>
      </c>
      <c r="J168" s="103"/>
      <c r="K168" s="157">
        <v>11.99</v>
      </c>
      <c r="L168" s="121" t="s">
        <v>1910</v>
      </c>
      <c r="M168" s="103" t="s">
        <v>2577</v>
      </c>
      <c r="N168" s="157">
        <f>MouserListTable12[[#This Row],['# Initial]]*MouserListTable12[[#This Row],[Price (USD)]]</f>
        <v>0</v>
      </c>
      <c r="O168" s="106">
        <v>2810</v>
      </c>
      <c r="P168" s="121">
        <f>IF($P166="List #",1,$P166+1)</f>
        <v>152</v>
      </c>
      <c r="Q168" s="103" t="s">
        <v>1898</v>
      </c>
      <c r="R16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485-2810</v>
      </c>
      <c r="S168" s="195" t="str">
        <f>HYPERLINK("https://www.mouser.com/ProductDetail/" &amp;MouserListTable12[[#This Row],[Mouser SKU]])</f>
        <v>https://www.mouser.com/ProductDetail/485-2810</v>
      </c>
      <c r="T168" s="121">
        <v>0</v>
      </c>
      <c r="U168" s="121">
        <v>0</v>
      </c>
      <c r="V168" s="121">
        <v>0</v>
      </c>
      <c r="W168" s="121">
        <f>MouserListTable12[[#This Row],['#/Unit]]*FilterSpecs!$C$3+MouserListTable12[[#This Row],[Extra]]</f>
        <v>0</v>
      </c>
      <c r="X168" s="121">
        <f>IF(MouserListTable12[[#This Row],[Tag]]=FilterSpecs!$F$7,MouserListTable12[[#This Row],['#/Unit]]*MouserListTable12[[#This Row],[Price (USD)]],0)</f>
        <v>0</v>
      </c>
      <c r="Y168" s="121">
        <f>MouserListTable12[[#This Row],[Tot '#]]*MouserListTable12[[#This Row],[Price (USD)]]</f>
        <v>0</v>
      </c>
      <c r="Z168"/>
    </row>
    <row r="169" spans="1:26" s="146" customFormat="1" x14ac:dyDescent="0.3">
      <c r="A169" s="126" t="s">
        <v>894</v>
      </c>
      <c r="B169" s="126" t="s">
        <v>13</v>
      </c>
      <c r="C169" s="103" t="s">
        <v>1906</v>
      </c>
      <c r="D169" s="160" t="str">
        <f>IF(MouserListTable12[[#This Row],[Vendor]]=FilterSpecs!$A$8,MouserListTable12[[#This Row],[Mouser SKU]], MouserListTable12[[#This Row],[Supplier SKU]])</f>
        <v>485-2649</v>
      </c>
      <c r="E169" s="121">
        <f>MouserListTable12[[#This Row],[Tot '#]]-MouserListTable12[[#This Row],['# Initial]]</f>
        <v>0</v>
      </c>
      <c r="F169" s="121">
        <f>IF(AND(MouserListTable12[[#This Row],[Tag]]&lt;&gt;FilterSpecs!$F$12, MouserListTable12[[#This Row],[Tag]]&lt;&gt;FilterSpecs!$F$9), MouserListTable12[[#This Row],['#/Unit]]*FilterSpecs!$B$3+MouserListTable12[[#This Row],[Extra Initial]],0)</f>
        <v>5</v>
      </c>
      <c r="G169" s="103"/>
      <c r="H169" s="103"/>
      <c r="I169" s="103" t="s">
        <v>2571</v>
      </c>
      <c r="J169" s="103"/>
      <c r="K169" s="157">
        <v>19.95</v>
      </c>
      <c r="L169" s="121" t="s">
        <v>1911</v>
      </c>
      <c r="M169" s="103" t="s">
        <v>2578</v>
      </c>
      <c r="N169" s="157">
        <f>MouserListTable12[[#This Row],['# Initial]]*MouserListTable12[[#This Row],[Price (USD)]]</f>
        <v>99.75</v>
      </c>
      <c r="O169" s="106">
        <v>2649</v>
      </c>
      <c r="P169" s="121">
        <f>IF($P166="List #",1,$P166+1)</f>
        <v>152</v>
      </c>
      <c r="Q169" s="103" t="s">
        <v>1898</v>
      </c>
      <c r="R16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485-2649</v>
      </c>
      <c r="S169" s="195" t="str">
        <f>HYPERLINK("https://www.mouser.com/ProductDetail/" &amp;MouserListTable12[[#This Row],[Mouser SKU]])</f>
        <v>https://www.mouser.com/ProductDetail/485-2649</v>
      </c>
      <c r="T169" s="121">
        <v>1</v>
      </c>
      <c r="U169" s="121">
        <v>0</v>
      </c>
      <c r="V169" s="121">
        <v>0</v>
      </c>
      <c r="W169" s="121">
        <f>MouserListTable12[[#This Row],['#/Unit]]*FilterSpecs!$C$3+MouserListTable12[[#This Row],[Extra]]</f>
        <v>5</v>
      </c>
      <c r="X169" s="121">
        <f>IF(MouserListTable12[[#This Row],[Tag]]=FilterSpecs!$F$7,MouserListTable12[[#This Row],['#/Unit]]*MouserListTable12[[#This Row],[Price (USD)]],0)</f>
        <v>19.95</v>
      </c>
      <c r="Y169" s="121">
        <f>MouserListTable12[[#This Row],[Tot '#]]*MouserListTable12[[#This Row],[Price (USD)]]</f>
        <v>99.75</v>
      </c>
      <c r="Z169"/>
    </row>
    <row r="170" spans="1:26" s="144" customFormat="1" hidden="1" x14ac:dyDescent="0.3">
      <c r="A170" s="126" t="s">
        <v>894</v>
      </c>
      <c r="B170" s="126" t="s">
        <v>13</v>
      </c>
      <c r="C170" s="103" t="s">
        <v>1906</v>
      </c>
      <c r="D170" s="106" t="str">
        <f>IF(MouserListTable12[[#This Row],[Vendor]]=FilterSpecs!$A$8,MouserListTable12[[#This Row],[Mouser SKU]], MouserListTable12[[#This Row],[Supplier SKU]])</f>
        <v>474-WRL-12579</v>
      </c>
      <c r="E170" s="121">
        <f>MouserListTable12[[#This Row],[Tot '#]]-MouserListTable12[[#This Row],['# Initial]]</f>
        <v>0</v>
      </c>
      <c r="F170" s="121">
        <f>IF(AND(MouserListTable12[[#This Row],[Tag]]&lt;&gt;FilterSpecs!$F$12, MouserListTable12[[#This Row],[Tag]]&lt;&gt;FilterSpecs!$F$9), MouserListTable12[[#This Row],['#/Unit]]*FilterSpecs!$B$3+MouserListTable12[[#This Row],[Extra Initial]],0)</f>
        <v>0</v>
      </c>
      <c r="G170" s="103" t="s">
        <v>2532</v>
      </c>
      <c r="H170" s="103" t="s">
        <v>2533</v>
      </c>
      <c r="I170" s="103" t="s">
        <v>2534</v>
      </c>
      <c r="J170" s="106">
        <v>1</v>
      </c>
      <c r="K170" s="157">
        <v>34.950000000000003</v>
      </c>
      <c r="L170" s="103" t="s">
        <v>1910</v>
      </c>
      <c r="M170" s="103"/>
      <c r="N170" s="157">
        <f>MouserListTable12[[#This Row],['# Initial]]*MouserListTable12[[#This Row],[Price (USD)]]</f>
        <v>0</v>
      </c>
      <c r="O170" s="106" t="s">
        <v>2531</v>
      </c>
      <c r="P170" s="103">
        <f>IF($P166="List #",1,$P166+1)</f>
        <v>152</v>
      </c>
      <c r="Q170" s="103" t="s">
        <v>8</v>
      </c>
      <c r="R17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474-WRL-12579</v>
      </c>
      <c r="S170" s="195" t="str">
        <f>HYPERLINK("https://www.mouser.com/ProductDetail/" &amp;MouserListTable12[[#This Row],[Mouser SKU]])</f>
        <v>https://www.mouser.com/ProductDetail/474-WRL-12579</v>
      </c>
      <c r="T170" s="121">
        <v>0</v>
      </c>
      <c r="U170" s="121">
        <v>0</v>
      </c>
      <c r="V170" s="121">
        <v>0</v>
      </c>
      <c r="W170" s="121">
        <f>MouserListTable12[[#This Row],['#/Unit]]*FilterSpecs!$C$3+MouserListTable12[[#This Row],[Extra]]</f>
        <v>0</v>
      </c>
      <c r="X170" s="121">
        <f>IF(MouserListTable12[[#This Row],[Tag]]=FilterSpecs!$F$7,MouserListTable12[[#This Row],['#/Unit]]*MouserListTable12[[#This Row],[Price (USD)]],0)</f>
        <v>0</v>
      </c>
      <c r="Y170" s="121">
        <f>MouserListTable12[[#This Row],[Tot '#]]*MouserListTable12[[#This Row],[Price (USD)]]</f>
        <v>0</v>
      </c>
      <c r="Z170"/>
    </row>
    <row r="171" spans="1:26" s="144" customFormat="1" hidden="1" x14ac:dyDescent="0.3">
      <c r="A171" s="126" t="s">
        <v>894</v>
      </c>
      <c r="B171" s="126" t="s">
        <v>13</v>
      </c>
      <c r="C171" s="103" t="s">
        <v>1906</v>
      </c>
      <c r="D171" s="106" t="str">
        <f>IF(MouserListTable12[[#This Row],[Vendor]]=FilterSpecs!$A$8,MouserListTable12[[#This Row],[Mouser SKU]], MouserListTable12[[#This Row],[Supplier SKU]])</f>
        <v>474-WRL-11048</v>
      </c>
      <c r="E171" s="121">
        <f>MouserListTable12[[#This Row],[Tot '#]]-MouserListTable12[[#This Row],['# Initial]]</f>
        <v>0</v>
      </c>
      <c r="F171" s="121">
        <f>IF(AND(MouserListTable12[[#This Row],[Tag]]&lt;&gt;FilterSpecs!$F$12, MouserListTable12[[#This Row],[Tag]]&lt;&gt;FilterSpecs!$F$9), MouserListTable12[[#This Row],['#/Unit]]*FilterSpecs!$B$3+MouserListTable12[[#This Row],[Extra Initial]],0)</f>
        <v>0</v>
      </c>
      <c r="G171" s="103" t="s">
        <v>2536</v>
      </c>
      <c r="H171" s="103" t="s">
        <v>2537</v>
      </c>
      <c r="I171" s="103" t="s">
        <v>2538</v>
      </c>
      <c r="J171" s="106">
        <v>1</v>
      </c>
      <c r="K171" s="157">
        <v>34.950000000000003</v>
      </c>
      <c r="L171" s="103" t="s">
        <v>1910</v>
      </c>
      <c r="M171" s="103"/>
      <c r="N171" s="157">
        <f>MouserListTable12[[#This Row],['# Initial]]*MouserListTable12[[#This Row],[Price (USD)]]</f>
        <v>0</v>
      </c>
      <c r="O171" s="106" t="s">
        <v>2535</v>
      </c>
      <c r="P171" s="103">
        <f t="shared" si="2"/>
        <v>153</v>
      </c>
      <c r="Q171" s="103" t="s">
        <v>8</v>
      </c>
      <c r="R17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474-WRL-11048</v>
      </c>
      <c r="S171" s="195" t="str">
        <f>HYPERLINK("https://www.mouser.com/ProductDetail/" &amp;MouserListTable12[[#This Row],[Mouser SKU]])</f>
        <v>https://www.mouser.com/ProductDetail/474-WRL-11048</v>
      </c>
      <c r="T171" s="121">
        <v>0</v>
      </c>
      <c r="U171" s="121">
        <v>0</v>
      </c>
      <c r="V171" s="121">
        <v>0</v>
      </c>
      <c r="W171" s="121">
        <f>MouserListTable12[[#This Row],['#/Unit]]*FilterSpecs!$C$3+MouserListTable12[[#This Row],[Extra]]</f>
        <v>0</v>
      </c>
      <c r="X171" s="121">
        <f>IF(MouserListTable12[[#This Row],[Tag]]=FilterSpecs!$F$7,MouserListTable12[[#This Row],['#/Unit]]*MouserListTable12[[#This Row],[Price (USD)]],0)</f>
        <v>0</v>
      </c>
      <c r="Y171" s="121">
        <f>MouserListTable12[[#This Row],[Tot '#]]*MouserListTable12[[#This Row],[Price (USD)]]</f>
        <v>0</v>
      </c>
      <c r="Z171"/>
    </row>
    <row r="172" spans="1:26" s="144" customFormat="1" x14ac:dyDescent="0.3">
      <c r="A172" s="103" t="s">
        <v>894</v>
      </c>
      <c r="B172" s="103" t="s">
        <v>13</v>
      </c>
      <c r="C172" s="103" t="s">
        <v>1906</v>
      </c>
      <c r="D172" s="106" t="str">
        <f>IF(MouserListTable12[[#This Row],[Vendor]]=FilterSpecs!$A$8,MouserListTable12[[#This Row],[Mouser SKU]], MouserListTable12[[#This Row],[Supplier SKU]])</f>
        <v>474-WRL-11320</v>
      </c>
      <c r="E172" s="121">
        <f>MouserListTable12[[#This Row],[Tot '#]]-MouserListTable12[[#This Row],['# Initial]]</f>
        <v>0</v>
      </c>
      <c r="F172" s="121">
        <f>IF(AND(MouserListTable12[[#This Row],[Tag]]&lt;&gt;FilterSpecs!$F$12, MouserListTable12[[#This Row],[Tag]]&lt;&gt;FilterSpecs!$F$9), MouserListTable12[[#This Row],['#/Unit]]*FilterSpecs!$B$3+MouserListTable12[[#This Row],[Extra Initial]],0)</f>
        <v>5</v>
      </c>
      <c r="G172" s="103" t="s">
        <v>2540</v>
      </c>
      <c r="H172" s="103" t="s">
        <v>2541</v>
      </c>
      <c r="I172" s="103" t="s">
        <v>2542</v>
      </c>
      <c r="J172" s="106"/>
      <c r="K172" s="157">
        <v>5</v>
      </c>
      <c r="L172" s="103" t="s">
        <v>1911</v>
      </c>
      <c r="M172" s="106"/>
      <c r="N172" s="157">
        <f>MouserListTable12[[#This Row],['# Initial]]*MouserListTable12[[#This Row],[Price (USD)]]</f>
        <v>25</v>
      </c>
      <c r="O172" s="106" t="s">
        <v>2539</v>
      </c>
      <c r="P172" s="103">
        <f t="shared" si="2"/>
        <v>154</v>
      </c>
      <c r="Q172" s="103" t="s">
        <v>8</v>
      </c>
      <c r="R17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474-WRL-11320</v>
      </c>
      <c r="S172" s="195" t="str">
        <f>HYPERLINK("https://www.mouser.com/ProductDetail/" &amp;MouserListTable12[[#This Row],[Mouser SKU]])</f>
        <v>https://www.mouser.com/ProductDetail/474-WRL-11320</v>
      </c>
      <c r="T172" s="121">
        <v>1</v>
      </c>
      <c r="U172" s="121">
        <v>0</v>
      </c>
      <c r="V172" s="121">
        <v>0</v>
      </c>
      <c r="W172" s="121">
        <f>MouserListTable12[[#This Row],['#/Unit]]*FilterSpecs!$C$3+MouserListTable12[[#This Row],[Extra]]</f>
        <v>5</v>
      </c>
      <c r="X172" s="121">
        <f>IF(MouserListTable12[[#This Row],[Tag]]=FilterSpecs!$F$7,MouserListTable12[[#This Row],['#/Unit]]*MouserListTable12[[#This Row],[Price (USD)]],0)</f>
        <v>5</v>
      </c>
      <c r="Y172" s="121">
        <f>MouserListTable12[[#This Row],[Tot '#]]*MouserListTable12[[#This Row],[Price (USD)]]</f>
        <v>25</v>
      </c>
      <c r="Z172"/>
    </row>
    <row r="173" spans="1:26" s="144" customFormat="1" x14ac:dyDescent="0.3">
      <c r="A173" s="103" t="s">
        <v>894</v>
      </c>
      <c r="B173" s="103" t="s">
        <v>13</v>
      </c>
      <c r="C173" s="103" t="s">
        <v>1906</v>
      </c>
      <c r="D173" s="106" t="str">
        <f>IF(MouserListTable12[[#This Row],[Vendor]]=FilterSpecs!$A$8,MouserListTable12[[#This Row],[Mouser SKU]], MouserListTable12[[#This Row],[Supplier SKU]])</f>
        <v>474-WRL-13287</v>
      </c>
      <c r="E173" s="121">
        <f>MouserListTable12[[#This Row],[Tot '#]]-MouserListTable12[[#This Row],['# Initial]]</f>
        <v>0</v>
      </c>
      <c r="F173" s="121">
        <f>IF(AND(MouserListTable12[[#This Row],[Tag]]&lt;&gt;FilterSpecs!$F$12, MouserListTable12[[#This Row],[Tag]]&lt;&gt;FilterSpecs!$F$9), MouserListTable12[[#This Row],['#/Unit]]*FilterSpecs!$B$3+MouserListTable12[[#This Row],[Extra Initial]],0)</f>
        <v>5</v>
      </c>
      <c r="G173" s="103" t="s">
        <v>2544</v>
      </c>
      <c r="H173" s="103" t="s">
        <v>2545</v>
      </c>
      <c r="I173" s="106" t="s">
        <v>2546</v>
      </c>
      <c r="J173" s="106">
        <v>1</v>
      </c>
      <c r="K173" s="157">
        <v>14.95</v>
      </c>
      <c r="L173" s="103" t="s">
        <v>1911</v>
      </c>
      <c r="M173" s="106"/>
      <c r="N173" s="157">
        <f>MouserListTable12[[#This Row],['# Initial]]*MouserListTable12[[#This Row],[Price (USD)]]</f>
        <v>74.75</v>
      </c>
      <c r="O173" s="106" t="s">
        <v>2543</v>
      </c>
      <c r="P173" s="103">
        <f t="shared" si="2"/>
        <v>155</v>
      </c>
      <c r="Q173" s="103" t="s">
        <v>8</v>
      </c>
      <c r="R17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474-WRL-13287</v>
      </c>
      <c r="S173" s="195" t="str">
        <f>HYPERLINK("https://www.mouser.com/ProductDetail/" &amp;MouserListTable12[[#This Row],[Mouser SKU]])</f>
        <v>https://www.mouser.com/ProductDetail/474-WRL-13287</v>
      </c>
      <c r="T173" s="121">
        <v>1</v>
      </c>
      <c r="U173" s="121">
        <v>0</v>
      </c>
      <c r="V173" s="121">
        <v>0</v>
      </c>
      <c r="W173" s="121">
        <f>MouserListTable12[[#This Row],['#/Unit]]*FilterSpecs!$C$3+MouserListTable12[[#This Row],[Extra]]</f>
        <v>5</v>
      </c>
      <c r="X173" s="121">
        <f>IF(MouserListTable12[[#This Row],[Tag]]=FilterSpecs!$F$7,MouserListTable12[[#This Row],['#/Unit]]*MouserListTable12[[#This Row],[Price (USD)]],0)</f>
        <v>14.95</v>
      </c>
      <c r="Y173" s="121">
        <f>MouserListTable12[[#This Row],[Tot '#]]*MouserListTable12[[#This Row],[Price (USD)]]</f>
        <v>74.75</v>
      </c>
      <c r="Z173"/>
    </row>
    <row r="174" spans="1:26" s="146" customFormat="1" hidden="1" x14ac:dyDescent="0.3">
      <c r="A174" s="103" t="s">
        <v>895</v>
      </c>
      <c r="B174" s="103" t="s">
        <v>1606</v>
      </c>
      <c r="C174" s="103" t="s">
        <v>1906</v>
      </c>
      <c r="D174" s="106" t="str">
        <f>IF(MouserListTable12[[#This Row],[Vendor]]=FilterSpecs!$A$8,MouserListTable12[[#This Row],[Mouser SKU]], MouserListTable12[[#This Row],[Supplier SKU]])</f>
        <v>474-KIT-11591</v>
      </c>
      <c r="E174" s="121">
        <f>MouserListTable12[[#This Row],[Tot '#]]-MouserListTable12[[#This Row],['# Initial]]</f>
        <v>1</v>
      </c>
      <c r="F174" s="121">
        <f>IF(AND(MouserListTable12[[#This Row],[Tag]]&lt;&gt;FilterSpecs!$F$12, MouserListTable12[[#This Row],[Tag]]&lt;&gt;FilterSpecs!$F$9), MouserListTable12[[#This Row],['#/Unit]]*FilterSpecs!$B$3+MouserListTable12[[#This Row],[Extra Initial]],0)</f>
        <v>0</v>
      </c>
      <c r="G174" s="103" t="s">
        <v>1548</v>
      </c>
      <c r="H174" s="103" t="s">
        <v>1549</v>
      </c>
      <c r="I174" s="103" t="s">
        <v>1550</v>
      </c>
      <c r="J174" s="103">
        <v>1</v>
      </c>
      <c r="K174" s="157">
        <v>9.9499999999999993</v>
      </c>
      <c r="L174" s="103" t="s">
        <v>2487</v>
      </c>
      <c r="M174" s="106"/>
      <c r="N174" s="157">
        <f>MouserListTable12[[#This Row],['# Initial]]*MouserListTable12[[#This Row],[Price (USD)]]</f>
        <v>0</v>
      </c>
      <c r="O174" s="106" t="s">
        <v>1547</v>
      </c>
      <c r="P174" s="103">
        <f t="shared" si="2"/>
        <v>156</v>
      </c>
      <c r="Q174" s="103" t="s">
        <v>8</v>
      </c>
      <c r="R17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474-KIT-11591</v>
      </c>
      <c r="S174" s="195" t="str">
        <f>HYPERLINK("https://www.mouser.com/ProductDetail/" &amp;MouserListTable12[[#This Row],[Mouser SKU]])</f>
        <v>https://www.mouser.com/ProductDetail/474-KIT-11591</v>
      </c>
      <c r="T174" s="121">
        <v>0</v>
      </c>
      <c r="U174" s="121">
        <v>1</v>
      </c>
      <c r="V174" s="121">
        <v>0</v>
      </c>
      <c r="W174" s="121">
        <f>MouserListTable12[[#This Row],['#/Unit]]*FilterSpecs!$C$3+MouserListTable12[[#This Row],[Extra]]</f>
        <v>1</v>
      </c>
      <c r="X174" s="121">
        <f>IF(MouserListTable12[[#This Row],[Tag]]=FilterSpecs!$F$7,MouserListTable12[[#This Row],['#/Unit]]*MouserListTable12[[#This Row],[Price (USD)]],0)</f>
        <v>0</v>
      </c>
      <c r="Y174" s="121">
        <f>MouserListTable12[[#This Row],[Tot '#]]*MouserListTable12[[#This Row],[Price (USD)]]</f>
        <v>9.9499999999999993</v>
      </c>
      <c r="Z174"/>
    </row>
    <row r="175" spans="1:26" s="146" customFormat="1" hidden="1" x14ac:dyDescent="0.3">
      <c r="A175" s="103" t="s">
        <v>895</v>
      </c>
      <c r="B175" s="103" t="s">
        <v>1606</v>
      </c>
      <c r="C175" s="103" t="s">
        <v>1906</v>
      </c>
      <c r="D175" s="106" t="str">
        <f>IF(MouserListTable12[[#This Row],[Vendor]]=FilterSpecs!$A$8,MouserListTable12[[#This Row],[Mouser SKU]], MouserListTable12[[#This Row],[Supplier SKU]])</f>
        <v>474-DEV-09215</v>
      </c>
      <c r="E175" s="121">
        <f>MouserListTable12[[#This Row],[Tot '#]]-MouserListTable12[[#This Row],['# Initial]]</f>
        <v>1</v>
      </c>
      <c r="F175" s="121">
        <f>IF(AND(MouserListTable12[[#This Row],[Tag]]&lt;&gt;FilterSpecs!$F$12, MouserListTable12[[#This Row],[Tag]]&lt;&gt;FilterSpecs!$F$9), MouserListTable12[[#This Row],['#/Unit]]*FilterSpecs!$B$3+MouserListTable12[[#This Row],[Extra Initial]],0)</f>
        <v>0</v>
      </c>
      <c r="G175" s="103" t="s">
        <v>1544</v>
      </c>
      <c r="H175" s="103" t="s">
        <v>1545</v>
      </c>
      <c r="I175" s="103" t="s">
        <v>1546</v>
      </c>
      <c r="J175" s="103">
        <v>1</v>
      </c>
      <c r="K175" s="157">
        <v>1.95</v>
      </c>
      <c r="L175" s="103" t="s">
        <v>1910</v>
      </c>
      <c r="M175" s="106"/>
      <c r="N175" s="157">
        <f>MouserListTable12[[#This Row],['# Initial]]*MouserListTable12[[#This Row],[Price (USD)]]</f>
        <v>0</v>
      </c>
      <c r="O175" s="106" t="s">
        <v>1543</v>
      </c>
      <c r="P175" s="103">
        <f t="shared" si="2"/>
        <v>157</v>
      </c>
      <c r="Q175" s="103" t="s">
        <v>8</v>
      </c>
      <c r="R17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474-DEV-09215</v>
      </c>
      <c r="S175" s="195" t="str">
        <f>HYPERLINK("https://www.mouser.com/ProductDetail/" &amp;MouserListTable12[[#This Row],[Mouser SKU]])</f>
        <v>https://www.mouser.com/ProductDetail/474-DEV-09215</v>
      </c>
      <c r="T175" s="121">
        <v>0</v>
      </c>
      <c r="U175" s="121">
        <v>1</v>
      </c>
      <c r="V175" s="121">
        <v>0</v>
      </c>
      <c r="W175" s="121">
        <f>MouserListTable12[[#This Row],['#/Unit]]*FilterSpecs!$C$3+MouserListTable12[[#This Row],[Extra]]</f>
        <v>1</v>
      </c>
      <c r="X175" s="121">
        <f>IF(MouserListTable12[[#This Row],[Tag]]=FilterSpecs!$F$7,MouserListTable12[[#This Row],['#/Unit]]*MouserListTable12[[#This Row],[Price (USD)]],0)</f>
        <v>0</v>
      </c>
      <c r="Y175" s="121">
        <f>MouserListTable12[[#This Row],[Tot '#]]*MouserListTable12[[#This Row],[Price (USD)]]</f>
        <v>1.95</v>
      </c>
      <c r="Z175"/>
    </row>
    <row r="176" spans="1:26" s="146" customFormat="1" x14ac:dyDescent="0.3">
      <c r="A176" s="103" t="s">
        <v>895</v>
      </c>
      <c r="B176" s="103" t="s">
        <v>16</v>
      </c>
      <c r="C176" s="103" t="s">
        <v>1906</v>
      </c>
      <c r="D176" s="106" t="str">
        <f>IF(MouserListTable12[[#This Row],[Vendor]]=FilterSpecs!$A$8,MouserListTable12[[#This Row],[Mouser SKU]], MouserListTable12[[#This Row],[Supplier SKU]])</f>
        <v>474-BOB-12009</v>
      </c>
      <c r="E176" s="121">
        <f>MouserListTable12[[#This Row],[Tot '#]]-MouserListTable12[[#This Row],['# Initial]]</f>
        <v>0</v>
      </c>
      <c r="F176" s="121">
        <f>IF(AND(MouserListTable12[[#This Row],[Tag]]&lt;&gt;FilterSpecs!$F$12, MouserListTable12[[#This Row],[Tag]]&lt;&gt;FilterSpecs!$F$9), MouserListTable12[[#This Row],['#/Unit]]*FilterSpecs!$B$3+MouserListTable12[[#This Row],[Extra Initial]],0)</f>
        <v>10</v>
      </c>
      <c r="G176" s="103" t="s">
        <v>265</v>
      </c>
      <c r="H176" s="103" t="s">
        <v>266</v>
      </c>
      <c r="I176" s="103" t="s">
        <v>267</v>
      </c>
      <c r="J176" s="103">
        <v>1</v>
      </c>
      <c r="K176" s="157">
        <v>2.95</v>
      </c>
      <c r="L176" s="103" t="s">
        <v>1911</v>
      </c>
      <c r="M176" s="103"/>
      <c r="N176" s="157">
        <f>MouserListTable12[[#This Row],['# Initial]]*MouserListTable12[[#This Row],[Price (USD)]]</f>
        <v>29.5</v>
      </c>
      <c r="O176" s="106" t="s">
        <v>264</v>
      </c>
      <c r="P176" s="103">
        <f t="shared" si="2"/>
        <v>158</v>
      </c>
      <c r="Q176" s="103" t="s">
        <v>8</v>
      </c>
      <c r="R17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474-BOB-12009</v>
      </c>
      <c r="S176" s="195" t="str">
        <f>HYPERLINK("https://www.mouser.com/ProductDetail/" &amp;MouserListTable12[[#This Row],[Mouser SKU]])</f>
        <v>https://www.mouser.com/ProductDetail/474-BOB-12009</v>
      </c>
      <c r="T176" s="121">
        <v>2</v>
      </c>
      <c r="U176" s="121">
        <v>0</v>
      </c>
      <c r="V176" s="121">
        <v>0</v>
      </c>
      <c r="W176" s="121">
        <f>MouserListTable12[[#This Row],['#/Unit]]*FilterSpecs!$C$3+MouserListTable12[[#This Row],[Extra]]</f>
        <v>10</v>
      </c>
      <c r="X176" s="121">
        <f>IF(MouserListTable12[[#This Row],[Tag]]=FilterSpecs!$F$7,MouserListTable12[[#This Row],['#/Unit]]*MouserListTable12[[#This Row],[Price (USD)]],0)</f>
        <v>5.9</v>
      </c>
      <c r="Y176" s="121">
        <f>MouserListTable12[[#This Row],[Tot '#]]*MouserListTable12[[#This Row],[Price (USD)]]</f>
        <v>29.5</v>
      </c>
      <c r="Z176"/>
    </row>
    <row r="177" spans="1:26" s="146" customFormat="1" hidden="1" x14ac:dyDescent="0.3">
      <c r="A177" s="103" t="s">
        <v>895</v>
      </c>
      <c r="B177" s="103" t="s">
        <v>16</v>
      </c>
      <c r="C177" s="103" t="s">
        <v>1906</v>
      </c>
      <c r="D177" s="106" t="str">
        <f>IF(MouserListTable12[[#This Row],[Vendor]]=FilterSpecs!$A$8,MouserListTable12[[#This Row],[Mouser SKU]], MouserListTable12[[#This Row],[Supplier SKU]])</f>
        <v>474-BOB-11955</v>
      </c>
      <c r="E177" s="121">
        <f>MouserListTable12[[#This Row],[Tot '#]]-MouserListTable12[[#This Row],['# Initial]]</f>
        <v>2</v>
      </c>
      <c r="F177" s="121">
        <f>IF(AND(MouserListTable12[[#This Row],[Tag]]&lt;&gt;FilterSpecs!$F$12, MouserListTable12[[#This Row],[Tag]]&lt;&gt;FilterSpecs!$F$9), MouserListTable12[[#This Row],['#/Unit]]*FilterSpecs!$B$3+MouserListTable12[[#This Row],[Extra Initial]],0)</f>
        <v>0</v>
      </c>
      <c r="G177" s="103" t="s">
        <v>294</v>
      </c>
      <c r="H177" s="103" t="s">
        <v>295</v>
      </c>
      <c r="I177" s="103" t="s">
        <v>296</v>
      </c>
      <c r="J177" s="103">
        <v>1</v>
      </c>
      <c r="K177" s="157">
        <v>6.95</v>
      </c>
      <c r="L177" s="103" t="s">
        <v>1910</v>
      </c>
      <c r="M177" s="103"/>
      <c r="N177" s="157">
        <f>MouserListTable12[[#This Row],['# Initial]]*MouserListTable12[[#This Row],[Price (USD)]]</f>
        <v>0</v>
      </c>
      <c r="O177" s="106" t="s">
        <v>293</v>
      </c>
      <c r="P177" s="103">
        <f t="shared" si="2"/>
        <v>159</v>
      </c>
      <c r="Q177" s="103" t="s">
        <v>8</v>
      </c>
      <c r="R17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474-BOB-11955</v>
      </c>
      <c r="S177" s="195" t="str">
        <f>HYPERLINK("https://www.mouser.com/ProductDetail/" &amp;MouserListTable12[[#This Row],[Mouser SKU]])</f>
        <v>https://www.mouser.com/ProductDetail/474-BOB-11955</v>
      </c>
      <c r="T177" s="121">
        <v>0</v>
      </c>
      <c r="U177" s="121">
        <v>2</v>
      </c>
      <c r="V177" s="121">
        <v>0</v>
      </c>
      <c r="W177" s="121">
        <f>MouserListTable12[[#This Row],['#/Unit]]*FilterSpecs!$C$3+MouserListTable12[[#This Row],[Extra]]</f>
        <v>2</v>
      </c>
      <c r="X177" s="121">
        <f>IF(MouserListTable12[[#This Row],[Tag]]=FilterSpecs!$F$7,MouserListTable12[[#This Row],['#/Unit]]*MouserListTable12[[#This Row],[Price (USD)]],0)</f>
        <v>0</v>
      </c>
      <c r="Y177" s="121">
        <f>MouserListTable12[[#This Row],[Tot '#]]*MouserListTable12[[#This Row],[Price (USD)]]</f>
        <v>13.9</v>
      </c>
      <c r="Z177"/>
    </row>
    <row r="178" spans="1:26" s="146" customFormat="1" x14ac:dyDescent="0.3">
      <c r="A178" s="103" t="s">
        <v>895</v>
      </c>
      <c r="B178" s="103" t="s">
        <v>16</v>
      </c>
      <c r="C178" s="103" t="s">
        <v>1906</v>
      </c>
      <c r="D178" s="106" t="str">
        <f>IF(MouserListTable12[[#This Row],[Vendor]]=FilterSpecs!$A$8,MouserListTable12[[#This Row],[Mouser SKU]], MouserListTable12[[#This Row],[Supplier SKU]])</f>
        <v>474-BOB-11771</v>
      </c>
      <c r="E178" s="121">
        <f>MouserListTable12[[#This Row],[Tot '#]]-MouserListTable12[[#This Row],['# Initial]]</f>
        <v>0</v>
      </c>
      <c r="F178" s="121">
        <f>IF(AND(MouserListTable12[[#This Row],[Tag]]&lt;&gt;FilterSpecs!$F$12, MouserListTable12[[#This Row],[Tag]]&lt;&gt;FilterSpecs!$F$9), MouserListTable12[[#This Row],['#/Unit]]*FilterSpecs!$B$3+MouserListTable12[[#This Row],[Extra Initial]],0)</f>
        <v>5</v>
      </c>
      <c r="G178" s="103" t="s">
        <v>298</v>
      </c>
      <c r="H178" s="103" t="s">
        <v>299</v>
      </c>
      <c r="I178" s="103" t="s">
        <v>216</v>
      </c>
      <c r="J178" s="103">
        <v>1</v>
      </c>
      <c r="K178" s="157">
        <v>3.95</v>
      </c>
      <c r="L178" s="103" t="s">
        <v>1911</v>
      </c>
      <c r="M178" s="103"/>
      <c r="N178" s="157">
        <f>MouserListTable12[[#This Row],['# Initial]]*MouserListTable12[[#This Row],[Price (USD)]]</f>
        <v>19.75</v>
      </c>
      <c r="O178" s="106" t="s">
        <v>297</v>
      </c>
      <c r="P178" s="103">
        <f t="shared" si="2"/>
        <v>160</v>
      </c>
      <c r="Q178" s="103" t="s">
        <v>8</v>
      </c>
      <c r="R17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474-BOB-11771</v>
      </c>
      <c r="S178" s="195" t="str">
        <f>HYPERLINK("https://www.mouser.com/ProductDetail/" &amp;MouserListTable12[[#This Row],[Mouser SKU]])</f>
        <v>https://www.mouser.com/ProductDetail/474-BOB-11771</v>
      </c>
      <c r="T178" s="121">
        <v>1</v>
      </c>
      <c r="U178" s="121">
        <v>0</v>
      </c>
      <c r="V178" s="121">
        <v>0</v>
      </c>
      <c r="W178" s="121">
        <f>MouserListTable12[[#This Row],['#/Unit]]*FilterSpecs!$C$3+MouserListTable12[[#This Row],[Extra]]</f>
        <v>5</v>
      </c>
      <c r="X178" s="121">
        <f>IF(MouserListTable12[[#This Row],[Tag]]=FilterSpecs!$F$7,MouserListTable12[[#This Row],['#/Unit]]*MouserListTable12[[#This Row],[Price (USD)]],0)</f>
        <v>3.95</v>
      </c>
      <c r="Y178" s="121">
        <f>MouserListTable12[[#This Row],[Tot '#]]*MouserListTable12[[#This Row],[Price (USD)]]</f>
        <v>19.75</v>
      </c>
      <c r="Z178"/>
    </row>
    <row r="179" spans="1:26" s="146" customFormat="1" x14ac:dyDescent="0.3">
      <c r="A179" s="103" t="s">
        <v>895</v>
      </c>
      <c r="B179" s="103" t="s">
        <v>16</v>
      </c>
      <c r="C179" s="103" t="s">
        <v>1906</v>
      </c>
      <c r="D179" s="106" t="str">
        <f>IF(MouserListTable12[[#This Row],[Vendor]]=FilterSpecs!$A$8,MouserListTable12[[#This Row],[Mouser SKU]], MouserListTable12[[#This Row],[Supplier SKU]])</f>
        <v>474-BOB-12918</v>
      </c>
      <c r="E179" s="121">
        <f>MouserListTable12[[#This Row],[Tot '#]]-MouserListTable12[[#This Row],['# Initial]]</f>
        <v>0</v>
      </c>
      <c r="F179" s="121">
        <f>IF(AND(MouserListTable12[[#This Row],[Tag]]&lt;&gt;FilterSpecs!$F$12, MouserListTable12[[#This Row],[Tag]]&lt;&gt;FilterSpecs!$F$9), MouserListTable12[[#This Row],['#/Unit]]*FilterSpecs!$B$3+MouserListTable12[[#This Row],[Extra Initial]],0)</f>
        <v>5</v>
      </c>
      <c r="G179" s="103" t="s">
        <v>345</v>
      </c>
      <c r="H179" s="103" t="s">
        <v>346</v>
      </c>
      <c r="I179" s="103" t="s">
        <v>213</v>
      </c>
      <c r="J179" s="103">
        <v>1</v>
      </c>
      <c r="K179" s="157">
        <v>4.95</v>
      </c>
      <c r="L179" s="103" t="s">
        <v>1911</v>
      </c>
      <c r="M179" s="103"/>
      <c r="N179" s="157">
        <f>MouserListTable12[[#This Row],['# Initial]]*MouserListTable12[[#This Row],[Price (USD)]]</f>
        <v>24.75</v>
      </c>
      <c r="O179" s="106" t="s">
        <v>344</v>
      </c>
      <c r="P179" s="103">
        <f t="shared" si="2"/>
        <v>161</v>
      </c>
      <c r="Q179" s="103" t="s">
        <v>8</v>
      </c>
      <c r="R17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474-BOB-12918</v>
      </c>
      <c r="S179" s="195" t="str">
        <f>HYPERLINK("https://www.mouser.com/ProductDetail/" &amp;MouserListTable12[[#This Row],[Mouser SKU]])</f>
        <v>https://www.mouser.com/ProductDetail/474-BOB-12918</v>
      </c>
      <c r="T179" s="121">
        <v>1</v>
      </c>
      <c r="U179" s="121">
        <v>0</v>
      </c>
      <c r="V179" s="121">
        <v>0</v>
      </c>
      <c r="W179" s="121">
        <f>MouserListTable12[[#This Row],['#/Unit]]*FilterSpecs!$C$3+MouserListTable12[[#This Row],[Extra]]</f>
        <v>5</v>
      </c>
      <c r="X179" s="121">
        <f>IF(MouserListTable12[[#This Row],[Tag]]=FilterSpecs!$F$7,MouserListTable12[[#This Row],['#/Unit]]*MouserListTable12[[#This Row],[Price (USD)]],0)</f>
        <v>4.95</v>
      </c>
      <c r="Y179" s="121">
        <f>MouserListTable12[[#This Row],[Tot '#]]*MouserListTable12[[#This Row],[Price (USD)]]</f>
        <v>24.75</v>
      </c>
      <c r="Z179"/>
    </row>
    <row r="180" spans="1:26" s="146" customFormat="1" hidden="1" x14ac:dyDescent="0.3">
      <c r="A180" s="126" t="s">
        <v>895</v>
      </c>
      <c r="B180" s="126" t="s">
        <v>16</v>
      </c>
      <c r="C180" s="103" t="s">
        <v>1906</v>
      </c>
      <c r="D180" s="106" t="str">
        <f>IF(MouserListTable12[[#This Row],[Vendor]]=FilterSpecs!$A$8,MouserListTable12[[#This Row],[Mouser SKU]], MouserListTable12[[#This Row],[Supplier SKU]])</f>
        <v>485-935</v>
      </c>
      <c r="E180" s="121">
        <f>MouserListTable12[[#This Row],[Tot '#]]-MouserListTable12[[#This Row],['# Initial]]</f>
        <v>0</v>
      </c>
      <c r="F180" s="121">
        <f>IF(AND(MouserListTable12[[#This Row],[Tag]]&lt;&gt;FilterSpecs!$F$12, MouserListTable12[[#This Row],[Tag]]&lt;&gt;FilterSpecs!$F$9), MouserListTable12[[#This Row],['#/Unit]]*FilterSpecs!$B$3+MouserListTable12[[#This Row],[Extra Initial]],0)</f>
        <v>0</v>
      </c>
      <c r="G180" s="103"/>
      <c r="H180" s="103"/>
      <c r="I180" s="146" t="s">
        <v>2156</v>
      </c>
      <c r="K180" s="158">
        <v>4.95</v>
      </c>
      <c r="L180" s="146" t="s">
        <v>1910</v>
      </c>
      <c r="N180" s="157">
        <f>MouserListTable12[[#This Row],['# Initial]]*MouserListTable12[[#This Row],[Price (USD)]]</f>
        <v>0</v>
      </c>
      <c r="O180" s="106" t="s">
        <v>2155</v>
      </c>
      <c r="P180" s="103">
        <f t="shared" si="2"/>
        <v>162</v>
      </c>
      <c r="Q180" s="103" t="s">
        <v>1898</v>
      </c>
      <c r="R18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485-935</v>
      </c>
      <c r="S180" s="195" t="str">
        <f>HYPERLINK("https://www.mouser.com/ProductDetail/" &amp;MouserListTable12[[#This Row],[Mouser SKU]])</f>
        <v>https://www.mouser.com/ProductDetail/485-935</v>
      </c>
      <c r="T180" s="121">
        <v>0</v>
      </c>
      <c r="U180" s="121">
        <v>0</v>
      </c>
      <c r="V180" s="121">
        <v>0</v>
      </c>
      <c r="W180" s="121">
        <f>MouserListTable12[[#This Row],['#/Unit]]*FilterSpecs!$C$3+MouserListTable12[[#This Row],[Extra]]</f>
        <v>0</v>
      </c>
      <c r="X180" s="121">
        <f>IF(MouserListTable12[[#This Row],[Tag]]=FilterSpecs!$F$7,MouserListTable12[[#This Row],['#/Unit]]*MouserListTable12[[#This Row],[Price (USD)]],0)</f>
        <v>0</v>
      </c>
      <c r="Y180" s="121">
        <f>MouserListTable12[[#This Row],[Tot '#]]*MouserListTable12[[#This Row],[Price (USD)]]</f>
        <v>0</v>
      </c>
      <c r="Z180"/>
    </row>
    <row r="181" spans="1:26" s="144" customFormat="1" hidden="1" x14ac:dyDescent="0.3">
      <c r="A181" s="103" t="s">
        <v>895</v>
      </c>
      <c r="B181" s="126" t="s">
        <v>16</v>
      </c>
      <c r="C181" s="103" t="s">
        <v>1906</v>
      </c>
      <c r="D181" s="106" t="str">
        <f>IF(MouserListTable12[[#This Row],[Vendor]]=FilterSpecs!$A$8,MouserListTable12[[#This Row],[Mouser SKU]], MouserListTable12[[#This Row],[Supplier SKU]])</f>
        <v>485-1895</v>
      </c>
      <c r="E181" s="121">
        <f>MouserListTable12[[#This Row],[Tot '#]]-MouserListTable12[[#This Row],['# Initial]]</f>
        <v>0</v>
      </c>
      <c r="F181" s="121">
        <f>IF(AND(MouserListTable12[[#This Row],[Tag]]&lt;&gt;FilterSpecs!$F$12, MouserListTable12[[#This Row],[Tag]]&lt;&gt;FilterSpecs!$F$9), MouserListTable12[[#This Row],['#/Unit]]*FilterSpecs!$B$3+MouserListTable12[[#This Row],[Extra Initial]],0)</f>
        <v>0</v>
      </c>
      <c r="G181" s="103"/>
      <c r="H181" s="103"/>
      <c r="I181" s="126" t="s">
        <v>2357</v>
      </c>
      <c r="J181" s="146"/>
      <c r="K181" s="158">
        <v>9.9499999999999993</v>
      </c>
      <c r="L181" s="126" t="s">
        <v>1910</v>
      </c>
      <c r="M181" s="146"/>
      <c r="N181" s="157">
        <f>MouserListTable12[[#This Row],['# Initial]]*MouserListTable12[[#This Row],[Price (USD)]]</f>
        <v>0</v>
      </c>
      <c r="O181" s="106" t="s">
        <v>2356</v>
      </c>
      <c r="P181" s="103">
        <f t="shared" si="2"/>
        <v>163</v>
      </c>
      <c r="Q181" s="103" t="s">
        <v>1898</v>
      </c>
      <c r="R18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485-1895</v>
      </c>
      <c r="S181" s="195" t="str">
        <f>HYPERLINK("https://www.mouser.com/ProductDetail/" &amp;MouserListTable12[[#This Row],[Mouser SKU]])</f>
        <v>https://www.mouser.com/ProductDetail/485-1895</v>
      </c>
      <c r="T181" s="121">
        <v>0</v>
      </c>
      <c r="U181" s="121">
        <v>0</v>
      </c>
      <c r="V181" s="121">
        <v>0</v>
      </c>
      <c r="W181" s="121">
        <f>MouserListTable12[[#This Row],['#/Unit]]*FilterSpecs!$C$3+MouserListTable12[[#This Row],[Extra]]</f>
        <v>0</v>
      </c>
      <c r="X181" s="121">
        <f>IF(MouserListTable12[[#This Row],[Tag]]=FilterSpecs!$F$7,MouserListTable12[[#This Row],['#/Unit]]*MouserListTable12[[#This Row],[Price (USD)]],0)</f>
        <v>0</v>
      </c>
      <c r="Y181" s="121">
        <f>MouserListTable12[[#This Row],[Tot '#]]*MouserListTable12[[#This Row],[Price (USD)]]</f>
        <v>0</v>
      </c>
      <c r="Z181"/>
    </row>
    <row r="182" spans="1:26" s="144" customFormat="1" hidden="1" x14ac:dyDescent="0.3">
      <c r="A182" s="103" t="s">
        <v>895</v>
      </c>
      <c r="B182" s="126" t="s">
        <v>16</v>
      </c>
      <c r="C182" s="103" t="s">
        <v>1906</v>
      </c>
      <c r="D182" s="106" t="str">
        <f>IF(MouserListTable12[[#This Row],[Vendor]]=FilterSpecs!$A$8,MouserListTable12[[#This Row],[Mouser SKU]], MouserListTable12[[#This Row],[Supplier SKU]])</f>
        <v>485-1897</v>
      </c>
      <c r="E182" s="121">
        <f>MouserListTable12[[#This Row],[Tot '#]]-MouserListTable12[[#This Row],['# Initial]]</f>
        <v>0</v>
      </c>
      <c r="F182" s="121">
        <f>IF(AND(MouserListTable12[[#This Row],[Tag]]&lt;&gt;FilterSpecs!$F$12, MouserListTable12[[#This Row],[Tag]]&lt;&gt;FilterSpecs!$F$9), MouserListTable12[[#This Row],['#/Unit]]*FilterSpecs!$B$3+MouserListTable12[[#This Row],[Extra Initial]],0)</f>
        <v>0</v>
      </c>
      <c r="G182" s="103"/>
      <c r="H182" s="103"/>
      <c r="I182" s="126" t="s">
        <v>2359</v>
      </c>
      <c r="J182" s="146"/>
      <c r="K182" s="158">
        <v>5.95</v>
      </c>
      <c r="L182" s="126" t="s">
        <v>1910</v>
      </c>
      <c r="M182" s="146"/>
      <c r="N182" s="157">
        <f>MouserListTable12[[#This Row],['# Initial]]*MouserListTable12[[#This Row],[Price (USD)]]</f>
        <v>0</v>
      </c>
      <c r="O182" s="106" t="s">
        <v>2358</v>
      </c>
      <c r="P182" s="103">
        <f t="shared" si="2"/>
        <v>164</v>
      </c>
      <c r="Q182" s="103" t="s">
        <v>1898</v>
      </c>
      <c r="R18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485-1897</v>
      </c>
      <c r="S182" s="195" t="str">
        <f>HYPERLINK("https://www.mouser.com/ProductDetail/" &amp;MouserListTable12[[#This Row],[Mouser SKU]])</f>
        <v>https://www.mouser.com/ProductDetail/485-1897</v>
      </c>
      <c r="T182" s="121">
        <v>0</v>
      </c>
      <c r="U182" s="121">
        <v>0</v>
      </c>
      <c r="V182" s="121">
        <v>0</v>
      </c>
      <c r="W182" s="121">
        <f>MouserListTable12[[#This Row],['#/Unit]]*FilterSpecs!$C$3+MouserListTable12[[#This Row],[Extra]]</f>
        <v>0</v>
      </c>
      <c r="X182" s="121">
        <f>IF(MouserListTable12[[#This Row],[Tag]]=FilterSpecs!$F$7,MouserListTable12[[#This Row],['#/Unit]]*MouserListTable12[[#This Row],[Price (USD)]],0)</f>
        <v>0</v>
      </c>
      <c r="Y182" s="121">
        <f>MouserListTable12[[#This Row],[Tot '#]]*MouserListTable12[[#This Row],[Price (USD)]]</f>
        <v>0</v>
      </c>
      <c r="Z182"/>
    </row>
    <row r="183" spans="1:26" s="146" customFormat="1" hidden="1" x14ac:dyDescent="0.3">
      <c r="A183" s="103" t="s">
        <v>895</v>
      </c>
      <c r="B183" s="103" t="s">
        <v>899</v>
      </c>
      <c r="C183" s="103" t="s">
        <v>1906</v>
      </c>
      <c r="D183" s="106" t="str">
        <f>IF(MouserListTable12[[#This Row],[Vendor]]=FilterSpecs!$A$8,MouserListTable12[[#This Row],[Mouser SKU]], MouserListTable12[[#This Row],[Supplier SKU]])</f>
        <v>474-PRT-14425</v>
      </c>
      <c r="E183" s="121">
        <f>MouserListTable12[[#This Row],[Tot '#]]-MouserListTable12[[#This Row],['# Initial]]</f>
        <v>0</v>
      </c>
      <c r="F183" s="121">
        <f>IF(AND(MouserListTable12[[#This Row],[Tag]]&lt;&gt;FilterSpecs!$F$12, MouserListTable12[[#This Row],[Tag]]&lt;&gt;FilterSpecs!$F$9), MouserListTable12[[#This Row],['#/Unit]]*FilterSpecs!$B$3+MouserListTable12[[#This Row],[Extra Initial]],0)</f>
        <v>0</v>
      </c>
      <c r="G183" s="103" t="s">
        <v>237</v>
      </c>
      <c r="H183" s="103" t="s">
        <v>238</v>
      </c>
      <c r="I183" s="103" t="s">
        <v>239</v>
      </c>
      <c r="J183" s="103"/>
      <c r="K183" s="157">
        <v>1.5</v>
      </c>
      <c r="L183" s="103" t="s">
        <v>1911</v>
      </c>
      <c r="M183" s="103"/>
      <c r="N183" s="157">
        <f>MouserListTable12[[#This Row],['# Initial]]*MouserListTable12[[#This Row],[Price (USD)]]</f>
        <v>0</v>
      </c>
      <c r="O183" s="106" t="s">
        <v>236</v>
      </c>
      <c r="P183" s="103">
        <f t="shared" si="2"/>
        <v>165</v>
      </c>
      <c r="Q183" s="103" t="s">
        <v>8</v>
      </c>
      <c r="R18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474-PRT-14425</v>
      </c>
      <c r="S183" s="195" t="str">
        <f>HYPERLINK("https://www.mouser.com/ProductDetail/" &amp;MouserListTable12[[#This Row],[Mouser SKU]])</f>
        <v>https://www.mouser.com/ProductDetail/474-PRT-14425</v>
      </c>
      <c r="T183" s="121">
        <v>0</v>
      </c>
      <c r="U183" s="121">
        <v>0</v>
      </c>
      <c r="V183" s="121">
        <v>0</v>
      </c>
      <c r="W183" s="121">
        <f>MouserListTable12[[#This Row],['#/Unit]]*FilterSpecs!$C$3+MouserListTable12[[#This Row],[Extra]]</f>
        <v>0</v>
      </c>
      <c r="X183" s="121">
        <f>IF(MouserListTable12[[#This Row],[Tag]]=FilterSpecs!$F$7,MouserListTable12[[#This Row],['#/Unit]]*MouserListTable12[[#This Row],[Price (USD)]],0)</f>
        <v>0</v>
      </c>
      <c r="Y183" s="121">
        <f>MouserListTable12[[#This Row],[Tot '#]]*MouserListTable12[[#This Row],[Price (USD)]]</f>
        <v>0</v>
      </c>
      <c r="Z183"/>
    </row>
    <row r="184" spans="1:26" s="146" customFormat="1" hidden="1" x14ac:dyDescent="0.3">
      <c r="A184" s="103" t="s">
        <v>895</v>
      </c>
      <c r="B184" s="103" t="s">
        <v>899</v>
      </c>
      <c r="C184" s="103" t="s">
        <v>1906</v>
      </c>
      <c r="D184" s="106" t="str">
        <f>IF(MouserListTable12[[#This Row],[Vendor]]=FilterSpecs!$A$8,MouserListTable12[[#This Row],[Mouser SKU]], MouserListTable12[[#This Row],[Supplier SKU]])</f>
        <v>474-SPX-14291</v>
      </c>
      <c r="E184" s="121">
        <f>MouserListTable12[[#This Row],[Tot '#]]-MouserListTable12[[#This Row],['# Initial]]</f>
        <v>1</v>
      </c>
      <c r="F184" s="121">
        <f>IF(AND(MouserListTable12[[#This Row],[Tag]]&lt;&gt;FilterSpecs!$F$12, MouserListTable12[[#This Row],[Tag]]&lt;&gt;FilterSpecs!$F$9), MouserListTable12[[#This Row],['#/Unit]]*FilterSpecs!$B$3+MouserListTable12[[#This Row],[Extra Initial]],0)</f>
        <v>0</v>
      </c>
      <c r="G184" s="103" t="s">
        <v>241</v>
      </c>
      <c r="H184" s="103" t="s">
        <v>242</v>
      </c>
      <c r="I184" s="103" t="s">
        <v>243</v>
      </c>
      <c r="J184" s="103">
        <v>1</v>
      </c>
      <c r="K184" s="157">
        <v>14.95</v>
      </c>
      <c r="L184" s="103" t="s">
        <v>1912</v>
      </c>
      <c r="M184" s="103"/>
      <c r="N184" s="157">
        <f>MouserListTable12[[#This Row],['# Initial]]*MouserListTable12[[#This Row],[Price (USD)]]</f>
        <v>0</v>
      </c>
      <c r="O184" s="106" t="s">
        <v>240</v>
      </c>
      <c r="P184" s="103">
        <f t="shared" si="2"/>
        <v>166</v>
      </c>
      <c r="Q184" s="103" t="s">
        <v>8</v>
      </c>
      <c r="R18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474-SPX-14291</v>
      </c>
      <c r="S184" s="195" t="str">
        <f>HYPERLINK("https://www.mouser.com/ProductDetail/" &amp;MouserListTable12[[#This Row],[Mouser SKU]])</f>
        <v>https://www.mouser.com/ProductDetail/474-SPX-14291</v>
      </c>
      <c r="T184" s="121">
        <v>0</v>
      </c>
      <c r="U184" s="121">
        <v>1</v>
      </c>
      <c r="V184" s="121">
        <v>0</v>
      </c>
      <c r="W184" s="121">
        <f>MouserListTable12[[#This Row],['#/Unit]]*FilterSpecs!$C$3+MouserListTable12[[#This Row],[Extra]]</f>
        <v>1</v>
      </c>
      <c r="X184" s="121">
        <f>IF(MouserListTable12[[#This Row],[Tag]]=FilterSpecs!$F$7,MouserListTable12[[#This Row],['#/Unit]]*MouserListTable12[[#This Row],[Price (USD)]],0)</f>
        <v>0</v>
      </c>
      <c r="Y184" s="121">
        <f>MouserListTable12[[#This Row],[Tot '#]]*MouserListTable12[[#This Row],[Price (USD)]]</f>
        <v>14.95</v>
      </c>
      <c r="Z184"/>
    </row>
    <row r="185" spans="1:26" s="146" customFormat="1" hidden="1" x14ac:dyDescent="0.3">
      <c r="A185" s="126" t="s">
        <v>895</v>
      </c>
      <c r="B185" s="126" t="s">
        <v>899</v>
      </c>
      <c r="C185" s="103" t="s">
        <v>1906</v>
      </c>
      <c r="D185" s="106" t="str">
        <f>IF(MouserListTable12[[#This Row],[Vendor]]=FilterSpecs!$A$8,MouserListTable12[[#This Row],[Mouser SKU]], MouserListTable12[[#This Row],[Supplier SKU]])</f>
        <v>474-SPX-14286</v>
      </c>
      <c r="E185" s="121">
        <f>MouserListTable12[[#This Row],[Tot '#]]-MouserListTable12[[#This Row],['# Initial]]</f>
        <v>0</v>
      </c>
      <c r="F185" s="121">
        <f>IF(AND(MouserListTable12[[#This Row],[Tag]]&lt;&gt;FilterSpecs!$F$12, MouserListTable12[[#This Row],[Tag]]&lt;&gt;FilterSpecs!$F$9), MouserListTable12[[#This Row],['#/Unit]]*FilterSpecs!$B$3+MouserListTable12[[#This Row],[Extra Initial]],0)</f>
        <v>0</v>
      </c>
      <c r="G185" s="103" t="s">
        <v>364</v>
      </c>
      <c r="H185" s="103" t="s">
        <v>365</v>
      </c>
      <c r="I185" s="103" t="s">
        <v>366</v>
      </c>
      <c r="J185" s="103">
        <v>1</v>
      </c>
      <c r="K185" s="157">
        <v>2.95</v>
      </c>
      <c r="L185" s="103" t="s">
        <v>2487</v>
      </c>
      <c r="M185" s="103"/>
      <c r="N185" s="157">
        <f>MouserListTable12[[#This Row],['# Initial]]*MouserListTable12[[#This Row],[Price (USD)]]</f>
        <v>0</v>
      </c>
      <c r="O185" s="106" t="s">
        <v>363</v>
      </c>
      <c r="P185" s="103">
        <f t="shared" si="2"/>
        <v>167</v>
      </c>
      <c r="Q185" s="103" t="s">
        <v>8</v>
      </c>
      <c r="R18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474-SPX-14286</v>
      </c>
      <c r="S185" s="195" t="str">
        <f>HYPERLINK("https://www.mouser.com/ProductDetail/" &amp;MouserListTable12[[#This Row],[Mouser SKU]])</f>
        <v>https://www.mouser.com/ProductDetail/474-SPX-14286</v>
      </c>
      <c r="T185" s="121">
        <v>0</v>
      </c>
      <c r="U185" s="121">
        <v>0</v>
      </c>
      <c r="V185" s="121">
        <v>0</v>
      </c>
      <c r="W185" s="121">
        <f>MouserListTable12[[#This Row],['#/Unit]]*FilterSpecs!$C$3+MouserListTable12[[#This Row],[Extra]]</f>
        <v>0</v>
      </c>
      <c r="X185" s="121">
        <f>IF(MouserListTable12[[#This Row],[Tag]]=FilterSpecs!$F$7,MouserListTable12[[#This Row],['#/Unit]]*MouserListTable12[[#This Row],[Price (USD)]],0)</f>
        <v>0</v>
      </c>
      <c r="Y185" s="121">
        <f>MouserListTable12[[#This Row],[Tot '#]]*MouserListTable12[[#This Row],[Price (USD)]]</f>
        <v>0</v>
      </c>
      <c r="Z185"/>
    </row>
    <row r="186" spans="1:26" s="146" customFormat="1" hidden="1" x14ac:dyDescent="0.3">
      <c r="A186" s="126" t="s">
        <v>895</v>
      </c>
      <c r="B186" s="126" t="s">
        <v>899</v>
      </c>
      <c r="C186" s="103" t="s">
        <v>1906</v>
      </c>
      <c r="D186" s="106" t="str">
        <f>IF(MouserListTable12[[#This Row],[Vendor]]=FilterSpecs!$A$8,MouserListTable12[[#This Row],[Mouser SKU]], MouserListTable12[[#This Row],[Supplier SKU]])</f>
        <v>474-SPX-14257</v>
      </c>
      <c r="E186" s="121">
        <f>MouserListTable12[[#This Row],[Tot '#]]-MouserListTable12[[#This Row],['# Initial]]</f>
        <v>0</v>
      </c>
      <c r="F186" s="121">
        <f>IF(AND(MouserListTable12[[#This Row],[Tag]]&lt;&gt;FilterSpecs!$F$12, MouserListTable12[[#This Row],[Tag]]&lt;&gt;FilterSpecs!$F$9), MouserListTable12[[#This Row],['#/Unit]]*FilterSpecs!$B$3+MouserListTable12[[#This Row],[Extra Initial]],0)</f>
        <v>0</v>
      </c>
      <c r="G186" s="103" t="s">
        <v>1186</v>
      </c>
      <c r="H186" s="103" t="s">
        <v>1187</v>
      </c>
      <c r="I186" s="103" t="s">
        <v>1188</v>
      </c>
      <c r="J186" s="103">
        <v>1</v>
      </c>
      <c r="K186" s="157">
        <v>9.9499999999999993</v>
      </c>
      <c r="L186" s="103" t="s">
        <v>2487</v>
      </c>
      <c r="N186" s="157">
        <f>MouserListTable12[[#This Row],['# Initial]]*MouserListTable12[[#This Row],[Price (USD)]]</f>
        <v>0</v>
      </c>
      <c r="O186" s="106" t="s">
        <v>1185</v>
      </c>
      <c r="P186" s="103">
        <f t="shared" si="2"/>
        <v>168</v>
      </c>
      <c r="Q186" s="103" t="s">
        <v>8</v>
      </c>
      <c r="R18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474-SPX-14257</v>
      </c>
      <c r="S186" s="195" t="str">
        <f>HYPERLINK("https://www.mouser.com/ProductDetail/" &amp;MouserListTable12[[#This Row],[Mouser SKU]])</f>
        <v>https://www.mouser.com/ProductDetail/474-SPX-14257</v>
      </c>
      <c r="T186" s="121">
        <v>0</v>
      </c>
      <c r="U186" s="121">
        <v>0</v>
      </c>
      <c r="V186" s="121">
        <v>0</v>
      </c>
      <c r="W186" s="121">
        <f>MouserListTable12[[#This Row],['#/Unit]]*FilterSpecs!$C$3+MouserListTable12[[#This Row],[Extra]]</f>
        <v>0</v>
      </c>
      <c r="X186" s="121">
        <f>IF(MouserListTable12[[#This Row],[Tag]]=FilterSpecs!$F$7,MouserListTable12[[#This Row],['#/Unit]]*MouserListTable12[[#This Row],[Price (USD)]],0)</f>
        <v>0</v>
      </c>
      <c r="Y186" s="121">
        <f>MouserListTable12[[#This Row],[Tot '#]]*MouserListTable12[[#This Row],[Price (USD)]]</f>
        <v>0</v>
      </c>
      <c r="Z186"/>
    </row>
    <row r="187" spans="1:26" s="146" customFormat="1" hidden="1" x14ac:dyDescent="0.3">
      <c r="A187" s="103" t="s">
        <v>895</v>
      </c>
      <c r="B187" s="103" t="s">
        <v>899</v>
      </c>
      <c r="C187" s="103" t="s">
        <v>1906</v>
      </c>
      <c r="D187" s="106" t="str">
        <f>IF(MouserListTable12[[#This Row],[Vendor]]=FilterSpecs!$A$8,MouserListTable12[[#This Row],[Mouser SKU]], MouserListTable12[[#This Row],[Supplier SKU]])</f>
        <v>474-SPX-14293</v>
      </c>
      <c r="E187" s="121">
        <f>MouserListTable12[[#This Row],[Tot '#]]-MouserListTable12[[#This Row],['# Initial]]</f>
        <v>1</v>
      </c>
      <c r="F187" s="121">
        <f>IF(AND(MouserListTable12[[#This Row],[Tag]]&lt;&gt;FilterSpecs!$F$12, MouserListTable12[[#This Row],[Tag]]&lt;&gt;FilterSpecs!$F$9), MouserListTable12[[#This Row],['#/Unit]]*FilterSpecs!$B$3+MouserListTable12[[#This Row],[Extra Initial]],0)</f>
        <v>0</v>
      </c>
      <c r="G187" s="103" t="s">
        <v>1190</v>
      </c>
      <c r="H187" s="103" t="s">
        <v>1191</v>
      </c>
      <c r="I187" s="103" t="s">
        <v>1192</v>
      </c>
      <c r="J187" s="103">
        <v>1</v>
      </c>
      <c r="K187" s="157">
        <v>14.95</v>
      </c>
      <c r="L187" s="103" t="s">
        <v>1912</v>
      </c>
      <c r="M187" s="106"/>
      <c r="N187" s="157">
        <f>MouserListTable12[[#This Row],['# Initial]]*MouserListTable12[[#This Row],[Price (USD)]]</f>
        <v>0</v>
      </c>
      <c r="O187" s="106" t="s">
        <v>1189</v>
      </c>
      <c r="P187" s="103">
        <f t="shared" si="2"/>
        <v>169</v>
      </c>
      <c r="Q187" s="103" t="s">
        <v>8</v>
      </c>
      <c r="R18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474-SPX-14293</v>
      </c>
      <c r="S187" s="195" t="str">
        <f>HYPERLINK("https://www.mouser.com/ProductDetail/" &amp;MouserListTable12[[#This Row],[Mouser SKU]])</f>
        <v>https://www.mouser.com/ProductDetail/474-SPX-14293</v>
      </c>
      <c r="T187" s="121">
        <v>0</v>
      </c>
      <c r="U187" s="121">
        <v>1</v>
      </c>
      <c r="V187" s="121">
        <v>0</v>
      </c>
      <c r="W187" s="121">
        <f>MouserListTable12[[#This Row],['#/Unit]]*FilterSpecs!$C$3+MouserListTable12[[#This Row],[Extra]]</f>
        <v>1</v>
      </c>
      <c r="X187" s="121">
        <f>IF(MouserListTable12[[#This Row],[Tag]]=FilterSpecs!$F$7,MouserListTable12[[#This Row],['#/Unit]]*MouserListTable12[[#This Row],[Price (USD)]],0)</f>
        <v>0</v>
      </c>
      <c r="Y187" s="121">
        <f>MouserListTable12[[#This Row],[Tot '#]]*MouserListTable12[[#This Row],[Price (USD)]]</f>
        <v>14.95</v>
      </c>
      <c r="Z187"/>
    </row>
    <row r="188" spans="1:26" s="146" customFormat="1" hidden="1" x14ac:dyDescent="0.3">
      <c r="A188" s="126" t="s">
        <v>895</v>
      </c>
      <c r="B188" s="126" t="s">
        <v>899</v>
      </c>
      <c r="C188" s="103" t="s">
        <v>1906</v>
      </c>
      <c r="D188" s="106" t="str">
        <f>IF(MouserListTable12[[#This Row],[Vendor]]=FilterSpecs!$A$8,MouserListTable12[[#This Row],[Mouser SKU]], MouserListTable12[[#This Row],[Supplier SKU]])</f>
        <v>474-SPX-14289</v>
      </c>
      <c r="E188" s="121">
        <f>MouserListTable12[[#This Row],[Tot '#]]-MouserListTable12[[#This Row],['# Initial]]</f>
        <v>0</v>
      </c>
      <c r="F188" s="121">
        <f>IF(AND(MouserListTable12[[#This Row],[Tag]]&lt;&gt;FilterSpecs!$F$12, MouserListTable12[[#This Row],[Tag]]&lt;&gt;FilterSpecs!$F$9), MouserListTable12[[#This Row],['#/Unit]]*FilterSpecs!$B$3+MouserListTable12[[#This Row],[Extra Initial]],0)</f>
        <v>0</v>
      </c>
      <c r="G188" s="103" t="s">
        <v>1828</v>
      </c>
      <c r="H188" s="103" t="s">
        <v>1829</v>
      </c>
      <c r="I188" s="103" t="s">
        <v>1830</v>
      </c>
      <c r="J188" s="103">
        <v>1</v>
      </c>
      <c r="K188" s="157">
        <v>39.950000000000003</v>
      </c>
      <c r="L188" s="103" t="s">
        <v>2487</v>
      </c>
      <c r="N188" s="157">
        <f>MouserListTable12[[#This Row],['# Initial]]*MouserListTable12[[#This Row],[Price (USD)]]</f>
        <v>0</v>
      </c>
      <c r="O188" s="106" t="s">
        <v>1827</v>
      </c>
      <c r="P188" s="103">
        <f t="shared" si="2"/>
        <v>170</v>
      </c>
      <c r="Q188" s="103" t="s">
        <v>8</v>
      </c>
      <c r="R18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474-SPX-14289</v>
      </c>
      <c r="S188" s="195" t="str">
        <f>HYPERLINK("https://www.mouser.com/ProductDetail/" &amp;MouserListTable12[[#This Row],[Mouser SKU]])</f>
        <v>https://www.mouser.com/ProductDetail/474-SPX-14289</v>
      </c>
      <c r="T188" s="121">
        <v>0</v>
      </c>
      <c r="U188" s="121">
        <v>0</v>
      </c>
      <c r="V188" s="121">
        <v>0</v>
      </c>
      <c r="W188" s="121">
        <f>MouserListTable12[[#This Row],['#/Unit]]*FilterSpecs!$C$3+MouserListTable12[[#This Row],[Extra]]</f>
        <v>0</v>
      </c>
      <c r="X188" s="121">
        <f>IF(MouserListTable12[[#This Row],[Tag]]=FilterSpecs!$F$7,MouserListTable12[[#This Row],['#/Unit]]*MouserListTable12[[#This Row],[Price (USD)]],0)</f>
        <v>0</v>
      </c>
      <c r="Y188" s="121">
        <f>MouserListTable12[[#This Row],[Tot '#]]*MouserListTable12[[#This Row],[Price (USD)]]</f>
        <v>0</v>
      </c>
      <c r="Z188"/>
    </row>
    <row r="189" spans="1:26" s="146" customFormat="1" hidden="1" x14ac:dyDescent="0.3">
      <c r="A189" s="126" t="s">
        <v>895</v>
      </c>
      <c r="B189" s="126" t="s">
        <v>899</v>
      </c>
      <c r="C189" s="103" t="s">
        <v>1906</v>
      </c>
      <c r="D189" s="106" t="str">
        <f>IF(MouserListTable12[[#This Row],[Vendor]]=FilterSpecs!$A$8,MouserListTable12[[#This Row],[Mouser SKU]], MouserListTable12[[#This Row],[Supplier SKU]])</f>
        <v>474-SPX-14269</v>
      </c>
      <c r="E189" s="121">
        <f>MouserListTable12[[#This Row],[Tot '#]]-MouserListTable12[[#This Row],['# Initial]]</f>
        <v>0</v>
      </c>
      <c r="F189" s="121">
        <f>IF(AND(MouserListTable12[[#This Row],[Tag]]&lt;&gt;FilterSpecs!$F$12, MouserListTable12[[#This Row],[Tag]]&lt;&gt;FilterSpecs!$F$9), MouserListTable12[[#This Row],['#/Unit]]*FilterSpecs!$B$3+MouserListTable12[[#This Row],[Extra Initial]],0)</f>
        <v>0</v>
      </c>
      <c r="G189" s="103" t="s">
        <v>1788</v>
      </c>
      <c r="H189" s="103" t="s">
        <v>1789</v>
      </c>
      <c r="I189" s="103" t="s">
        <v>1790</v>
      </c>
      <c r="J189" s="103">
        <v>1</v>
      </c>
      <c r="K189" s="157">
        <v>14.95</v>
      </c>
      <c r="L189" s="103" t="s">
        <v>2487</v>
      </c>
      <c r="N189" s="157">
        <f>MouserListTable12[[#This Row],['# Initial]]*MouserListTable12[[#This Row],[Price (USD)]]</f>
        <v>0</v>
      </c>
      <c r="O189" s="106" t="s">
        <v>1787</v>
      </c>
      <c r="P189" s="103">
        <f t="shared" si="2"/>
        <v>171</v>
      </c>
      <c r="Q189" s="103" t="s">
        <v>8</v>
      </c>
      <c r="R18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474-SPX-14269</v>
      </c>
      <c r="S189" s="195" t="str">
        <f>HYPERLINK("https://www.mouser.com/ProductDetail/" &amp;MouserListTable12[[#This Row],[Mouser SKU]])</f>
        <v>https://www.mouser.com/ProductDetail/474-SPX-14269</v>
      </c>
      <c r="T189" s="121">
        <v>0</v>
      </c>
      <c r="U189" s="121">
        <v>0</v>
      </c>
      <c r="V189" s="121">
        <v>0</v>
      </c>
      <c r="W189" s="121">
        <f>MouserListTable12[[#This Row],['#/Unit]]*FilterSpecs!$C$3+MouserListTable12[[#This Row],[Extra]]</f>
        <v>0</v>
      </c>
      <c r="X189" s="121">
        <f>IF(MouserListTable12[[#This Row],[Tag]]=FilterSpecs!$F$7,MouserListTable12[[#This Row],['#/Unit]]*MouserListTable12[[#This Row],[Price (USD)]],0)</f>
        <v>0</v>
      </c>
      <c r="Y189" s="121">
        <f>MouserListTable12[[#This Row],[Tot '#]]*MouserListTable12[[#This Row],[Price (USD)]]</f>
        <v>0</v>
      </c>
      <c r="Z189"/>
    </row>
    <row r="190" spans="1:26" s="146" customFormat="1" hidden="1" x14ac:dyDescent="0.3">
      <c r="A190" s="103" t="s">
        <v>895</v>
      </c>
      <c r="B190" s="103" t="s">
        <v>899</v>
      </c>
      <c r="C190" s="103" t="s">
        <v>1906</v>
      </c>
      <c r="D190" s="106" t="str">
        <f>IF(MouserListTable12[[#This Row],[Vendor]]=FilterSpecs!$A$8,MouserListTable12[[#This Row],[Mouser SKU]], MouserListTable12[[#This Row],[Supplier SKU]])</f>
        <v>474-PRT-14426</v>
      </c>
      <c r="E190" s="121">
        <f>MouserListTable12[[#This Row],[Tot '#]]-MouserListTable12[[#This Row],['# Initial]]</f>
        <v>0</v>
      </c>
      <c r="F190" s="121">
        <f>IF(AND(MouserListTable12[[#This Row],[Tag]]&lt;&gt;FilterSpecs!$F$12, MouserListTable12[[#This Row],[Tag]]&lt;&gt;FilterSpecs!$F$9), MouserListTable12[[#This Row],['#/Unit]]*FilterSpecs!$B$3+MouserListTable12[[#This Row],[Extra Initial]],0)</f>
        <v>0</v>
      </c>
      <c r="G190" s="103" t="s">
        <v>273</v>
      </c>
      <c r="H190" s="103" t="s">
        <v>274</v>
      </c>
      <c r="I190" s="103" t="s">
        <v>275</v>
      </c>
      <c r="J190" s="103"/>
      <c r="K190" s="157">
        <v>0.95</v>
      </c>
      <c r="L190" s="103" t="s">
        <v>1911</v>
      </c>
      <c r="M190" s="103"/>
      <c r="N190" s="157">
        <f>MouserListTable12[[#This Row],['# Initial]]*MouserListTable12[[#This Row],[Price (USD)]]</f>
        <v>0</v>
      </c>
      <c r="O190" s="106" t="s">
        <v>272</v>
      </c>
      <c r="P190" s="103">
        <f t="shared" si="2"/>
        <v>172</v>
      </c>
      <c r="Q190" s="103" t="s">
        <v>8</v>
      </c>
      <c r="R19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474-PRT-14426</v>
      </c>
      <c r="S190" s="195" t="str">
        <f>HYPERLINK("https://www.mouser.com/ProductDetail/" &amp;MouserListTable12[[#This Row],[Mouser SKU]])</f>
        <v>https://www.mouser.com/ProductDetail/474-PRT-14426</v>
      </c>
      <c r="T190" s="121">
        <v>0</v>
      </c>
      <c r="U190" s="121">
        <v>0</v>
      </c>
      <c r="V190" s="121">
        <v>0</v>
      </c>
      <c r="W190" s="121">
        <f>MouserListTable12[[#This Row],['#/Unit]]*FilterSpecs!$C$3+MouserListTable12[[#This Row],[Extra]]</f>
        <v>0</v>
      </c>
      <c r="X190" s="121">
        <f>IF(MouserListTable12[[#This Row],[Tag]]=FilterSpecs!$F$7,MouserListTable12[[#This Row],['#/Unit]]*MouserListTable12[[#This Row],[Price (USD)]],0)</f>
        <v>0</v>
      </c>
      <c r="Y190" s="121">
        <f>MouserListTable12[[#This Row],[Tot '#]]*MouserListTable12[[#This Row],[Price (USD)]]</f>
        <v>0</v>
      </c>
      <c r="Z190"/>
    </row>
    <row r="191" spans="1:26" s="146" customFormat="1" hidden="1" x14ac:dyDescent="0.3">
      <c r="A191" s="103" t="s">
        <v>895</v>
      </c>
      <c r="B191" s="103" t="s">
        <v>899</v>
      </c>
      <c r="C191" s="103" t="s">
        <v>1906</v>
      </c>
      <c r="D191" s="106" t="str">
        <f>IF(MouserListTable12[[#This Row],[Vendor]]=FilterSpecs!$A$8,MouserListTable12[[#This Row],[Mouser SKU]], MouserListTable12[[#This Row],[Supplier SKU]])</f>
        <v>474-PRT-14427</v>
      </c>
      <c r="E191" s="121">
        <f>MouserListTable12[[#This Row],[Tot '#]]-MouserListTable12[[#This Row],['# Initial]]</f>
        <v>0</v>
      </c>
      <c r="F191" s="121">
        <f>IF(AND(MouserListTable12[[#This Row],[Tag]]&lt;&gt;FilterSpecs!$F$12, MouserListTable12[[#This Row],[Tag]]&lt;&gt;FilterSpecs!$F$9), MouserListTable12[[#This Row],['#/Unit]]*FilterSpecs!$B$3+MouserListTable12[[#This Row],[Extra Initial]],0)</f>
        <v>0</v>
      </c>
      <c r="G191" s="103" t="s">
        <v>277</v>
      </c>
      <c r="H191" s="103" t="s">
        <v>278</v>
      </c>
      <c r="I191" s="103" t="s">
        <v>279</v>
      </c>
      <c r="J191" s="103"/>
      <c r="K191" s="157">
        <v>1.5</v>
      </c>
      <c r="L191" s="103" t="s">
        <v>1911</v>
      </c>
      <c r="M191" s="103"/>
      <c r="N191" s="157">
        <f>MouserListTable12[[#This Row],['# Initial]]*MouserListTable12[[#This Row],[Price (USD)]]</f>
        <v>0</v>
      </c>
      <c r="O191" s="106" t="s">
        <v>276</v>
      </c>
      <c r="P191" s="103">
        <f t="shared" si="2"/>
        <v>173</v>
      </c>
      <c r="Q191" s="103" t="s">
        <v>8</v>
      </c>
      <c r="R19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474-PRT-14427</v>
      </c>
      <c r="S191" s="195" t="str">
        <f>HYPERLINK("https://www.mouser.com/ProductDetail/" &amp;MouserListTable12[[#This Row],[Mouser SKU]])</f>
        <v>https://www.mouser.com/ProductDetail/474-PRT-14427</v>
      </c>
      <c r="T191" s="121">
        <v>0</v>
      </c>
      <c r="U191" s="121">
        <v>0</v>
      </c>
      <c r="V191" s="121">
        <v>0</v>
      </c>
      <c r="W191" s="121">
        <f>MouserListTable12[[#This Row],['#/Unit]]*FilterSpecs!$C$3+MouserListTable12[[#This Row],[Extra]]</f>
        <v>0</v>
      </c>
      <c r="X191" s="121">
        <f>IF(MouserListTable12[[#This Row],[Tag]]=FilterSpecs!$F$7,MouserListTable12[[#This Row],['#/Unit]]*MouserListTable12[[#This Row],[Price (USD)]],0)</f>
        <v>0</v>
      </c>
      <c r="Y191" s="121">
        <f>MouserListTable12[[#This Row],[Tot '#]]*MouserListTable12[[#This Row],[Price (USD)]]</f>
        <v>0</v>
      </c>
      <c r="Z191"/>
    </row>
    <row r="192" spans="1:26" s="146" customFormat="1" hidden="1" x14ac:dyDescent="0.3">
      <c r="A192" s="103" t="s">
        <v>895</v>
      </c>
      <c r="B192" s="103" t="s">
        <v>899</v>
      </c>
      <c r="C192" s="103" t="s">
        <v>1906</v>
      </c>
      <c r="D192" s="106" t="str">
        <f>IF(MouserListTable12[[#This Row],[Vendor]]=FilterSpecs!$A$8,MouserListTable12[[#This Row],[Mouser SKU]], MouserListTable12[[#This Row],[Supplier SKU]])</f>
        <v>474-PRT-14428</v>
      </c>
      <c r="E192" s="121">
        <f>MouserListTable12[[#This Row],[Tot '#]]-MouserListTable12[[#This Row],['# Initial]]</f>
        <v>0</v>
      </c>
      <c r="F192" s="121">
        <f>IF(AND(MouserListTable12[[#This Row],[Tag]]&lt;&gt;FilterSpecs!$F$12, MouserListTable12[[#This Row],[Tag]]&lt;&gt;FilterSpecs!$F$9), MouserListTable12[[#This Row],['#/Unit]]*FilterSpecs!$B$3+MouserListTable12[[#This Row],[Extra Initial]],0)</f>
        <v>0</v>
      </c>
      <c r="G192" s="103" t="s">
        <v>269</v>
      </c>
      <c r="H192" s="103" t="s">
        <v>270</v>
      </c>
      <c r="I192" s="103" t="s">
        <v>271</v>
      </c>
      <c r="J192" s="103"/>
      <c r="K192" s="157">
        <v>1.5</v>
      </c>
      <c r="L192" s="103" t="s">
        <v>1911</v>
      </c>
      <c r="M192" s="103"/>
      <c r="N192" s="157">
        <f>MouserListTable12[[#This Row],['# Initial]]*MouserListTable12[[#This Row],[Price (USD)]]</f>
        <v>0</v>
      </c>
      <c r="O192" s="106" t="s">
        <v>268</v>
      </c>
      <c r="P192" s="103">
        <f t="shared" si="2"/>
        <v>174</v>
      </c>
      <c r="Q192" s="103" t="s">
        <v>8</v>
      </c>
      <c r="R19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474-PRT-14428</v>
      </c>
      <c r="S192" s="195" t="str">
        <f>HYPERLINK("https://www.mouser.com/ProductDetail/" &amp;MouserListTable12[[#This Row],[Mouser SKU]])</f>
        <v>https://www.mouser.com/ProductDetail/474-PRT-14428</v>
      </c>
      <c r="T192" s="121">
        <v>0</v>
      </c>
      <c r="U192" s="121">
        <v>0</v>
      </c>
      <c r="V192" s="121">
        <v>0</v>
      </c>
      <c r="W192" s="121">
        <f>MouserListTable12[[#This Row],['#/Unit]]*FilterSpecs!$C$3+MouserListTable12[[#This Row],[Extra]]</f>
        <v>0</v>
      </c>
      <c r="X192" s="121">
        <f>IF(MouserListTable12[[#This Row],[Tag]]=FilterSpecs!$F$7,MouserListTable12[[#This Row],['#/Unit]]*MouserListTable12[[#This Row],[Price (USD)]],0)</f>
        <v>0</v>
      </c>
      <c r="Y192" s="121">
        <f>MouserListTable12[[#This Row],[Tot '#]]*MouserListTable12[[#This Row],[Price (USD)]]</f>
        <v>0</v>
      </c>
      <c r="Z192"/>
    </row>
    <row r="193" spans="1:26" s="146" customFormat="1" hidden="1" x14ac:dyDescent="0.3">
      <c r="A193" s="103" t="s">
        <v>895</v>
      </c>
      <c r="B193" s="103" t="s">
        <v>899</v>
      </c>
      <c r="C193" s="103" t="s">
        <v>1906</v>
      </c>
      <c r="D193" s="106" t="str">
        <f>IF(MouserListTable12[[#This Row],[Vendor]]=FilterSpecs!$A$8,MouserListTable12[[#This Row],[Mouser SKU]], MouserListTable12[[#This Row],[Supplier SKU]])</f>
        <v>474-PRT-14429</v>
      </c>
      <c r="E193" s="121">
        <f>MouserListTable12[[#This Row],[Tot '#]]-MouserListTable12[[#This Row],['# Initial]]</f>
        <v>1</v>
      </c>
      <c r="F193" s="121">
        <f>IF(AND(MouserListTable12[[#This Row],[Tag]]&lt;&gt;FilterSpecs!$F$12, MouserListTable12[[#This Row],[Tag]]&lt;&gt;FilterSpecs!$F$9), MouserListTable12[[#This Row],['#/Unit]]*FilterSpecs!$B$3+MouserListTable12[[#This Row],[Extra Initial]],0)</f>
        <v>0</v>
      </c>
      <c r="G193" s="103" t="s">
        <v>1824</v>
      </c>
      <c r="H193" s="103" t="s">
        <v>1825</v>
      </c>
      <c r="I193" s="103" t="s">
        <v>1826</v>
      </c>
      <c r="J193" s="103"/>
      <c r="K193" s="157">
        <v>1.95</v>
      </c>
      <c r="L193" s="103" t="s">
        <v>1910</v>
      </c>
      <c r="M193" s="106"/>
      <c r="N193" s="157">
        <f>MouserListTable12[[#This Row],['# Initial]]*MouserListTable12[[#This Row],[Price (USD)]]</f>
        <v>0</v>
      </c>
      <c r="O193" s="106" t="s">
        <v>1823</v>
      </c>
      <c r="P193" s="103">
        <f t="shared" si="2"/>
        <v>175</v>
      </c>
      <c r="Q193" s="103" t="s">
        <v>8</v>
      </c>
      <c r="R19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474-PRT-14429</v>
      </c>
      <c r="S193" s="195" t="str">
        <f>HYPERLINK("https://www.mouser.com/ProductDetail/" &amp;MouserListTable12[[#This Row],[Mouser SKU]])</f>
        <v>https://www.mouser.com/ProductDetail/474-PRT-14429</v>
      </c>
      <c r="T193" s="121">
        <v>0</v>
      </c>
      <c r="U193" s="121">
        <v>1</v>
      </c>
      <c r="V193" s="121">
        <v>0</v>
      </c>
      <c r="W193" s="121">
        <f>MouserListTable12[[#This Row],['#/Unit]]*FilterSpecs!$C$3+MouserListTable12[[#This Row],[Extra]]</f>
        <v>1</v>
      </c>
      <c r="X193" s="121">
        <f>IF(MouserListTable12[[#This Row],[Tag]]=FilterSpecs!$F$7,MouserListTable12[[#This Row],['#/Unit]]*MouserListTable12[[#This Row],[Price (USD)]],0)</f>
        <v>0</v>
      </c>
      <c r="Y193" s="121">
        <f>MouserListTable12[[#This Row],[Tot '#]]*MouserListTable12[[#This Row],[Price (USD)]]</f>
        <v>1.95</v>
      </c>
      <c r="Z193"/>
    </row>
    <row r="194" spans="1:26" s="146" customFormat="1" hidden="1" x14ac:dyDescent="0.3">
      <c r="A194" s="103" t="s">
        <v>895</v>
      </c>
      <c r="B194" s="103" t="s">
        <v>899</v>
      </c>
      <c r="C194" s="103" t="s">
        <v>1906</v>
      </c>
      <c r="D194" s="106" t="str">
        <f>IF(MouserListTable12[[#This Row],[Vendor]]=FilterSpecs!$A$8,MouserListTable12[[#This Row],[Mouser SKU]], MouserListTable12[[#This Row],[Supplier SKU]])</f>
        <v>474-SPX-14323</v>
      </c>
      <c r="E194" s="121">
        <f>MouserListTable12[[#This Row],[Tot '#]]-MouserListTable12[[#This Row],['# Initial]]</f>
        <v>2</v>
      </c>
      <c r="F194" s="121">
        <f>IF(AND(MouserListTable12[[#This Row],[Tag]]&lt;&gt;FilterSpecs!$F$12, MouserListTable12[[#This Row],[Tag]]&lt;&gt;FilterSpecs!$F$9), MouserListTable12[[#This Row],['#/Unit]]*FilterSpecs!$B$3+MouserListTable12[[#This Row],[Extra Initial]],0)</f>
        <v>0</v>
      </c>
      <c r="G194" s="103" t="s">
        <v>736</v>
      </c>
      <c r="H194" s="103" t="s">
        <v>737</v>
      </c>
      <c r="I194" s="103" t="s">
        <v>738</v>
      </c>
      <c r="J194" s="103"/>
      <c r="K194" s="157">
        <v>2.95</v>
      </c>
      <c r="L194" s="103" t="s">
        <v>2487</v>
      </c>
      <c r="M194" s="103"/>
      <c r="N194" s="157">
        <f>MouserListTable12[[#This Row],['# Initial]]*MouserListTable12[[#This Row],[Price (USD)]]</f>
        <v>0</v>
      </c>
      <c r="O194" s="106" t="s">
        <v>735</v>
      </c>
      <c r="P194" s="103">
        <f t="shared" si="2"/>
        <v>176</v>
      </c>
      <c r="Q194" s="103" t="s">
        <v>8</v>
      </c>
      <c r="R19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474-SPX-14323</v>
      </c>
      <c r="S194" s="195" t="str">
        <f>HYPERLINK("https://www.mouser.com/ProductDetail/" &amp;MouserListTable12[[#This Row],[Mouser SKU]])</f>
        <v>https://www.mouser.com/ProductDetail/474-SPX-14323</v>
      </c>
      <c r="T194" s="121">
        <v>0</v>
      </c>
      <c r="U194" s="121">
        <v>2</v>
      </c>
      <c r="V194" s="121">
        <v>0</v>
      </c>
      <c r="W194" s="121">
        <f>MouserListTable12[[#This Row],['#/Unit]]*FilterSpecs!$C$3+MouserListTable12[[#This Row],[Extra]]</f>
        <v>2</v>
      </c>
      <c r="X194" s="121">
        <f>IF(MouserListTable12[[#This Row],[Tag]]=FilterSpecs!$F$7,MouserListTable12[[#This Row],['#/Unit]]*MouserListTable12[[#This Row],[Price (USD)]],0)</f>
        <v>0</v>
      </c>
      <c r="Y194" s="121">
        <f>MouserListTable12[[#This Row],[Tot '#]]*MouserListTable12[[#This Row],[Price (USD)]]</f>
        <v>5.9</v>
      </c>
      <c r="Z194"/>
    </row>
    <row r="195" spans="1:26" s="144" customFormat="1" hidden="1" x14ac:dyDescent="0.3">
      <c r="A195" s="103" t="s">
        <v>895</v>
      </c>
      <c r="B195" s="103" t="s">
        <v>899</v>
      </c>
      <c r="C195" s="103" t="s">
        <v>1906</v>
      </c>
      <c r="D195" s="106" t="str">
        <f>IF(MouserListTable12[[#This Row],[Vendor]]=FilterSpecs!$A$8,MouserListTable12[[#This Row],[Mouser SKU]], MouserListTable12[[#This Row],[Supplier SKU]])</f>
        <v>474-SPX-14324</v>
      </c>
      <c r="E195" s="121">
        <f>MouserListTable12[[#This Row],[Tot '#]]-MouserListTable12[[#This Row],['# Initial]]</f>
        <v>1</v>
      </c>
      <c r="F195" s="121">
        <f>IF(AND(MouserListTable12[[#This Row],[Tag]]&lt;&gt;FilterSpecs!$F$12, MouserListTable12[[#This Row],[Tag]]&lt;&gt;FilterSpecs!$F$9), MouserListTable12[[#This Row],['#/Unit]]*FilterSpecs!$B$3+MouserListTable12[[#This Row],[Extra Initial]],0)</f>
        <v>0</v>
      </c>
      <c r="G195" s="103" t="s">
        <v>1808</v>
      </c>
      <c r="H195" s="103" t="s">
        <v>1809</v>
      </c>
      <c r="I195" s="103" t="s">
        <v>1810</v>
      </c>
      <c r="J195" s="103"/>
      <c r="K195" s="157">
        <v>2.95</v>
      </c>
      <c r="L195" s="103" t="s">
        <v>1910</v>
      </c>
      <c r="M195" s="106"/>
      <c r="N195" s="157">
        <f>MouserListTable12[[#This Row],['# Initial]]*MouserListTable12[[#This Row],[Price (USD)]]</f>
        <v>0</v>
      </c>
      <c r="O195" s="106" t="s">
        <v>1807</v>
      </c>
      <c r="P195" s="103">
        <f t="shared" si="2"/>
        <v>177</v>
      </c>
      <c r="Q195" s="103" t="s">
        <v>8</v>
      </c>
      <c r="R19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474-SPX-14324</v>
      </c>
      <c r="S195" s="195" t="str">
        <f>HYPERLINK("https://www.mouser.com/ProductDetail/" &amp;MouserListTable12[[#This Row],[Mouser SKU]])</f>
        <v>https://www.mouser.com/ProductDetail/474-SPX-14324</v>
      </c>
      <c r="T195" s="121">
        <v>0</v>
      </c>
      <c r="U195" s="121">
        <v>1</v>
      </c>
      <c r="V195" s="121">
        <v>0</v>
      </c>
      <c r="W195" s="121">
        <f>MouserListTable12[[#This Row],['#/Unit]]*FilterSpecs!$C$3+MouserListTable12[[#This Row],[Extra]]</f>
        <v>1</v>
      </c>
      <c r="X195" s="121">
        <f>IF(MouserListTable12[[#This Row],[Tag]]=FilterSpecs!$F$7,MouserListTable12[[#This Row],['#/Unit]]*MouserListTable12[[#This Row],[Price (USD)]],0)</f>
        <v>0</v>
      </c>
      <c r="Y195" s="121">
        <f>MouserListTable12[[#This Row],[Tot '#]]*MouserListTable12[[#This Row],[Price (USD)]]</f>
        <v>2.95</v>
      </c>
      <c r="Z195"/>
    </row>
    <row r="196" spans="1:26" s="144" customFormat="1" hidden="1" x14ac:dyDescent="0.3">
      <c r="A196" s="103" t="s">
        <v>895</v>
      </c>
      <c r="B196" s="103" t="s">
        <v>1607</v>
      </c>
      <c r="C196" s="103" t="s">
        <v>1906</v>
      </c>
      <c r="D196" s="106" t="str">
        <f>IF(MouserListTable12[[#This Row],[Vendor]]=FilterSpecs!$A$8,MouserListTable12[[#This Row],[Mouser SKU]], MouserListTable12[[#This Row],[Supplier SKU]])</f>
        <v>474-DEV-11723</v>
      </c>
      <c r="E196" s="121">
        <f>MouserListTable12[[#This Row],[Tot '#]]-MouserListTable12[[#This Row],['# Initial]]</f>
        <v>1</v>
      </c>
      <c r="F196" s="121">
        <f>IF(AND(MouserListTable12[[#This Row],[Tag]]&lt;&gt;FilterSpecs!$F$12, MouserListTable12[[#This Row],[Tag]]&lt;&gt;FilterSpecs!$F$9), MouserListTable12[[#This Row],['#/Unit]]*FilterSpecs!$B$3+MouserListTable12[[#This Row],[Extra Initial]],0)</f>
        <v>0</v>
      </c>
      <c r="G196" s="103" t="s">
        <v>1109</v>
      </c>
      <c r="H196" s="103" t="s">
        <v>1110</v>
      </c>
      <c r="I196" s="103" t="s">
        <v>1111</v>
      </c>
      <c r="J196" s="103"/>
      <c r="K196" s="157">
        <v>24.95</v>
      </c>
      <c r="L196" s="103" t="s">
        <v>1910</v>
      </c>
      <c r="M196" s="106"/>
      <c r="N196" s="157">
        <f>MouserListTable12[[#This Row],['# Initial]]*MouserListTable12[[#This Row],[Price (USD)]]</f>
        <v>0</v>
      </c>
      <c r="O196" s="106" t="s">
        <v>1108</v>
      </c>
      <c r="P196" s="103">
        <f t="shared" si="2"/>
        <v>178</v>
      </c>
      <c r="Q196" s="103" t="s">
        <v>8</v>
      </c>
      <c r="R19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474-DEV-11723</v>
      </c>
      <c r="S196" s="195" t="str">
        <f>HYPERLINK("https://www.mouser.com/ProductDetail/" &amp;MouserListTable12[[#This Row],[Mouser SKU]])</f>
        <v>https://www.mouser.com/ProductDetail/474-DEV-11723</v>
      </c>
      <c r="T196" s="121">
        <v>0</v>
      </c>
      <c r="U196" s="121">
        <v>1</v>
      </c>
      <c r="V196" s="121">
        <v>0</v>
      </c>
      <c r="W196" s="121">
        <f>MouserListTable12[[#This Row],['#/Unit]]*FilterSpecs!$C$3+MouserListTable12[[#This Row],[Extra]]</f>
        <v>1</v>
      </c>
      <c r="X196" s="121">
        <f>IF(MouserListTable12[[#This Row],[Tag]]=FilterSpecs!$F$7,MouserListTable12[[#This Row],['#/Unit]]*MouserListTable12[[#This Row],[Price (USD)]],0)</f>
        <v>0</v>
      </c>
      <c r="Y196" s="121">
        <f>MouserListTable12[[#This Row],[Tot '#]]*MouserListTable12[[#This Row],[Price (USD)]]</f>
        <v>24.95</v>
      </c>
      <c r="Z196"/>
    </row>
    <row r="197" spans="1:26" s="144" customFormat="1" x14ac:dyDescent="0.3">
      <c r="A197" s="103" t="s">
        <v>895</v>
      </c>
      <c r="B197" s="103" t="s">
        <v>1607</v>
      </c>
      <c r="C197" s="103" t="s">
        <v>1906</v>
      </c>
      <c r="D197" s="106" t="str">
        <f>IF(MouserListTable12[[#This Row],[Vendor]]=FilterSpecs!$A$8,MouserListTable12[[#This Row],[Mouser SKU]], MouserListTable12[[#This Row],[Supplier SKU]])</f>
        <v>474-BOB-09056</v>
      </c>
      <c r="E197" s="121">
        <f>MouserListTable12[[#This Row],[Tot '#]]-MouserListTable12[[#This Row],['# Initial]]</f>
        <v>1</v>
      </c>
      <c r="F197" s="121">
        <f>IF(AND(MouserListTable12[[#This Row],[Tag]]&lt;&gt;FilterSpecs!$F$12, MouserListTable12[[#This Row],[Tag]]&lt;&gt;FilterSpecs!$F$9), MouserListTable12[[#This Row],['#/Unit]]*FilterSpecs!$B$3+MouserListTable12[[#This Row],[Extra Initial]],0)</f>
        <v>5</v>
      </c>
      <c r="G197" s="103" t="s">
        <v>494</v>
      </c>
      <c r="H197" s="103" t="s">
        <v>495</v>
      </c>
      <c r="I197" s="103" t="s">
        <v>218</v>
      </c>
      <c r="J197" s="103">
        <v>1</v>
      </c>
      <c r="K197" s="157">
        <v>4.95</v>
      </c>
      <c r="L197" s="103" t="s">
        <v>1911</v>
      </c>
      <c r="M197" s="103"/>
      <c r="N197" s="157">
        <f>MouserListTable12[[#This Row],['# Initial]]*MouserListTable12[[#This Row],[Price (USD)]]</f>
        <v>24.75</v>
      </c>
      <c r="O197" s="106" t="s">
        <v>493</v>
      </c>
      <c r="P197" s="103">
        <f t="shared" si="2"/>
        <v>179</v>
      </c>
      <c r="Q197" s="103" t="s">
        <v>8</v>
      </c>
      <c r="R19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474-BOB-09056</v>
      </c>
      <c r="S197" s="195" t="str">
        <f>HYPERLINK("https://www.mouser.com/ProductDetail/" &amp;MouserListTable12[[#This Row],[Mouser SKU]])</f>
        <v>https://www.mouser.com/ProductDetail/474-BOB-09056</v>
      </c>
      <c r="T197" s="121">
        <v>1</v>
      </c>
      <c r="U197" s="121">
        <v>1</v>
      </c>
      <c r="V197" s="121">
        <v>0</v>
      </c>
      <c r="W197" s="121">
        <f>MouserListTable12[[#This Row],['#/Unit]]*FilterSpecs!$C$3+MouserListTable12[[#This Row],[Extra]]</f>
        <v>6</v>
      </c>
      <c r="X197" s="121">
        <f>IF(MouserListTable12[[#This Row],[Tag]]=FilterSpecs!$F$7,MouserListTable12[[#This Row],['#/Unit]]*MouserListTable12[[#This Row],[Price (USD)]],0)</f>
        <v>4.95</v>
      </c>
      <c r="Y197" s="121">
        <f>MouserListTable12[[#This Row],[Tot '#]]*MouserListTable12[[#This Row],[Price (USD)]]</f>
        <v>29.700000000000003</v>
      </c>
      <c r="Z197"/>
    </row>
    <row r="198" spans="1:26" s="144" customFormat="1" hidden="1" x14ac:dyDescent="0.3">
      <c r="A198" s="103" t="s">
        <v>895</v>
      </c>
      <c r="B198" s="103" t="s">
        <v>1607</v>
      </c>
      <c r="C198" s="103" t="s">
        <v>1906</v>
      </c>
      <c r="D198" s="106" t="str">
        <f>IF(MouserListTable12[[#This Row],[Vendor]]=FilterSpecs!$A$8,MouserListTable12[[#This Row],[Mouser SKU]], MouserListTable12[[#This Row],[Supplier SKU]])</f>
        <v>485-2717</v>
      </c>
      <c r="E198" s="121">
        <f>MouserListTable12[[#This Row],[Tot '#]]-MouserListTable12[[#This Row],['# Initial]]</f>
        <v>0</v>
      </c>
      <c r="F198" s="121">
        <f>IF(AND(MouserListTable12[[#This Row],[Tag]]&lt;&gt;FilterSpecs!$F$12, MouserListTable12[[#This Row],[Tag]]&lt;&gt;FilterSpecs!$F$9), MouserListTable12[[#This Row],['#/Unit]]*FilterSpecs!$B$3+MouserListTable12[[#This Row],[Extra Initial]],0)</f>
        <v>0</v>
      </c>
      <c r="G198" s="103"/>
      <c r="H198" s="103"/>
      <c r="I198" s="126" t="s">
        <v>2365</v>
      </c>
      <c r="J198" s="146"/>
      <c r="K198" s="158">
        <v>6.95</v>
      </c>
      <c r="L198" s="126" t="s">
        <v>1910</v>
      </c>
      <c r="M198" s="146"/>
      <c r="N198" s="157">
        <f>MouserListTable12[[#This Row],['# Initial]]*MouserListTable12[[#This Row],[Price (USD)]]</f>
        <v>0</v>
      </c>
      <c r="O198" s="106" t="s">
        <v>2364</v>
      </c>
      <c r="P198" s="103">
        <f t="shared" si="2"/>
        <v>180</v>
      </c>
      <c r="Q198" s="103" t="s">
        <v>1898</v>
      </c>
      <c r="R19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485-2717</v>
      </c>
      <c r="S198" s="195" t="str">
        <f>HYPERLINK("https://www.mouser.com/ProductDetail/" &amp;MouserListTable12[[#This Row],[Mouser SKU]])</f>
        <v>https://www.mouser.com/ProductDetail/485-2717</v>
      </c>
      <c r="T198" s="121">
        <v>0</v>
      </c>
      <c r="U198" s="121">
        <v>0</v>
      </c>
      <c r="V198" s="121">
        <v>0</v>
      </c>
      <c r="W198" s="121">
        <f>MouserListTable12[[#This Row],['#/Unit]]*FilterSpecs!$C$3+MouserListTable12[[#This Row],[Extra]]</f>
        <v>0</v>
      </c>
      <c r="X198" s="121">
        <f>IF(MouserListTable12[[#This Row],[Tag]]=FilterSpecs!$F$7,MouserListTable12[[#This Row],['#/Unit]]*MouserListTable12[[#This Row],[Price (USD)]],0)</f>
        <v>0</v>
      </c>
      <c r="Y198" s="121">
        <f>MouserListTable12[[#This Row],[Tot '#]]*MouserListTable12[[#This Row],[Price (USD)]]</f>
        <v>0</v>
      </c>
      <c r="Z198"/>
    </row>
    <row r="199" spans="1:26" s="144" customFormat="1" x14ac:dyDescent="0.3">
      <c r="A199" s="103" t="s">
        <v>895</v>
      </c>
      <c r="B199" s="103" t="s">
        <v>1607</v>
      </c>
      <c r="C199" s="103" t="s">
        <v>1906</v>
      </c>
      <c r="D199" s="106" t="str">
        <f>IF(MouserListTable12[[#This Row],[Vendor]]=FilterSpecs!$A$8,MouserListTable12[[#This Row],[Mouser SKU]], MouserListTable12[[#This Row],[Supplier SKU]])</f>
        <v>474-BOB-09118</v>
      </c>
      <c r="E199" s="121">
        <f>MouserListTable12[[#This Row],[Tot '#]]-MouserListTable12[[#This Row],['# Initial]]</f>
        <v>3</v>
      </c>
      <c r="F199" s="121">
        <f>IF(AND(MouserListTable12[[#This Row],[Tag]]&lt;&gt;FilterSpecs!$F$12, MouserListTable12[[#This Row],[Tag]]&lt;&gt;FilterSpecs!$F$9), MouserListTable12[[#This Row],['#/Unit]]*FilterSpecs!$B$3+MouserListTable12[[#This Row],[Extra Initial]],0)</f>
        <v>5</v>
      </c>
      <c r="G199" s="103" t="s">
        <v>497</v>
      </c>
      <c r="H199" s="103" t="s">
        <v>498</v>
      </c>
      <c r="I199" s="103" t="s">
        <v>214</v>
      </c>
      <c r="J199" s="103">
        <v>1</v>
      </c>
      <c r="K199" s="157">
        <v>4.95</v>
      </c>
      <c r="L199" s="103" t="s">
        <v>1911</v>
      </c>
      <c r="M199" s="103"/>
      <c r="N199" s="157">
        <f>MouserListTable12[[#This Row],['# Initial]]*MouserListTable12[[#This Row],[Price (USD)]]</f>
        <v>24.75</v>
      </c>
      <c r="O199" s="106" t="s">
        <v>496</v>
      </c>
      <c r="P199" s="103">
        <f t="shared" si="2"/>
        <v>181</v>
      </c>
      <c r="Q199" s="103" t="s">
        <v>8</v>
      </c>
      <c r="R19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474-BOB-09118</v>
      </c>
      <c r="S199" s="195" t="str">
        <f>HYPERLINK("https://www.mouser.com/ProductDetail/" &amp;MouserListTable12[[#This Row],[Mouser SKU]])</f>
        <v>https://www.mouser.com/ProductDetail/474-BOB-09118</v>
      </c>
      <c r="T199" s="121">
        <v>1</v>
      </c>
      <c r="U199" s="121">
        <v>3</v>
      </c>
      <c r="V199" s="121">
        <v>0</v>
      </c>
      <c r="W199" s="121">
        <f>MouserListTable12[[#This Row],['#/Unit]]*FilterSpecs!$C$3+MouserListTable12[[#This Row],[Extra]]</f>
        <v>8</v>
      </c>
      <c r="X199" s="121">
        <f>IF(MouserListTable12[[#This Row],[Tag]]=FilterSpecs!$F$7,MouserListTable12[[#This Row],['#/Unit]]*MouserListTable12[[#This Row],[Price (USD)]],0)</f>
        <v>4.95</v>
      </c>
      <c r="Y199" s="121">
        <f>MouserListTable12[[#This Row],[Tot '#]]*MouserListTable12[[#This Row],[Price (USD)]]</f>
        <v>39.6</v>
      </c>
      <c r="Z199"/>
    </row>
    <row r="200" spans="1:26" s="144" customFormat="1" hidden="1" x14ac:dyDescent="0.3">
      <c r="A200" s="103" t="s">
        <v>895</v>
      </c>
      <c r="B200" s="103" t="s">
        <v>1607</v>
      </c>
      <c r="C200" s="103" t="s">
        <v>1906</v>
      </c>
      <c r="D200" s="106" t="str">
        <f>IF(MouserListTable12[[#This Row],[Vendor]]=FilterSpecs!$A$8,MouserListTable12[[#This Row],[Mouser SKU]], MouserListTable12[[#This Row],[Supplier SKU]])</f>
        <v>485-1085</v>
      </c>
      <c r="E200" s="121">
        <f>MouserListTable12[[#This Row],[Tot '#]]-MouserListTable12[[#This Row],['# Initial]]</f>
        <v>0</v>
      </c>
      <c r="F200" s="121">
        <f>IF(AND(MouserListTable12[[#This Row],[Tag]]&lt;&gt;FilterSpecs!$F$12, MouserListTable12[[#This Row],[Tag]]&lt;&gt;FilterSpecs!$F$9), MouserListTable12[[#This Row],['#/Unit]]*FilterSpecs!$B$3+MouserListTable12[[#This Row],[Extra Initial]],0)</f>
        <v>0</v>
      </c>
      <c r="G200" s="103"/>
      <c r="H200" s="103"/>
      <c r="I200" s="126" t="s">
        <v>2361</v>
      </c>
      <c r="J200" s="146"/>
      <c r="K200" s="158">
        <v>14.95</v>
      </c>
      <c r="L200" s="126" t="s">
        <v>1910</v>
      </c>
      <c r="M200" s="146"/>
      <c r="N200" s="157">
        <f>MouserListTable12[[#This Row],['# Initial]]*MouserListTable12[[#This Row],[Price (USD)]]</f>
        <v>0</v>
      </c>
      <c r="O200" s="106" t="s">
        <v>2360</v>
      </c>
      <c r="P200" s="103">
        <f t="shared" si="2"/>
        <v>182</v>
      </c>
      <c r="Q200" s="103" t="s">
        <v>1898</v>
      </c>
      <c r="R20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485-1085</v>
      </c>
      <c r="S200" s="195" t="str">
        <f>HYPERLINK("https://www.mouser.com/ProductDetail/" &amp;MouserListTable12[[#This Row],[Mouser SKU]])</f>
        <v>https://www.mouser.com/ProductDetail/485-1085</v>
      </c>
      <c r="T200" s="121">
        <v>0</v>
      </c>
      <c r="U200" s="121">
        <v>0</v>
      </c>
      <c r="V200" s="121">
        <v>0</v>
      </c>
      <c r="W200" s="121">
        <f>MouserListTable12[[#This Row],['#/Unit]]*FilterSpecs!$C$3+MouserListTable12[[#This Row],[Extra]]</f>
        <v>0</v>
      </c>
      <c r="X200" s="121">
        <f>IF(MouserListTable12[[#This Row],[Tag]]=FilterSpecs!$F$7,MouserListTable12[[#This Row],['#/Unit]]*MouserListTable12[[#This Row],[Price (USD)]],0)</f>
        <v>0</v>
      </c>
      <c r="Y200" s="121">
        <f>MouserListTable12[[#This Row],[Tot '#]]*MouserListTable12[[#This Row],[Price (USD)]]</f>
        <v>0</v>
      </c>
      <c r="Z200"/>
    </row>
    <row r="201" spans="1:26" s="144" customFormat="1" hidden="1" x14ac:dyDescent="0.3">
      <c r="A201" s="103" t="s">
        <v>895</v>
      </c>
      <c r="B201" s="103" t="s">
        <v>1607</v>
      </c>
      <c r="C201" s="103" t="s">
        <v>1906</v>
      </c>
      <c r="D201" s="106" t="str">
        <f>IF(MouserListTable12[[#This Row],[Vendor]]=FilterSpecs!$A$8,MouserListTable12[[#This Row],[Mouser SKU]], MouserListTable12[[#This Row],[Supplier SKU]])</f>
        <v>485-856</v>
      </c>
      <c r="E201" s="121">
        <f>MouserListTable12[[#This Row],[Tot '#]]-MouserListTable12[[#This Row],['# Initial]]</f>
        <v>0</v>
      </c>
      <c r="F201" s="121">
        <f>IF(AND(MouserListTable12[[#This Row],[Tag]]&lt;&gt;FilterSpecs!$F$12, MouserListTable12[[#This Row],[Tag]]&lt;&gt;FilterSpecs!$F$9), MouserListTable12[[#This Row],['#/Unit]]*FilterSpecs!$B$3+MouserListTable12[[#This Row],[Extra Initial]],0)</f>
        <v>0</v>
      </c>
      <c r="G201" s="103"/>
      <c r="H201" s="103"/>
      <c r="I201" s="126" t="s">
        <v>2363</v>
      </c>
      <c r="J201" s="146"/>
      <c r="K201" s="158">
        <v>3.75</v>
      </c>
      <c r="L201" s="126" t="s">
        <v>1910</v>
      </c>
      <c r="M201" s="146"/>
      <c r="N201" s="157">
        <f>MouserListTable12[[#This Row],['# Initial]]*MouserListTable12[[#This Row],[Price (USD)]]</f>
        <v>0</v>
      </c>
      <c r="O201" s="106" t="s">
        <v>2362</v>
      </c>
      <c r="P201" s="103">
        <f t="shared" si="2"/>
        <v>183</v>
      </c>
      <c r="Q201" s="103" t="s">
        <v>1898</v>
      </c>
      <c r="R20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485-856</v>
      </c>
      <c r="S201" s="195" t="str">
        <f>HYPERLINK("https://www.mouser.com/ProductDetail/" &amp;MouserListTable12[[#This Row],[Mouser SKU]])</f>
        <v>https://www.mouser.com/ProductDetail/485-856</v>
      </c>
      <c r="T201" s="121">
        <v>0</v>
      </c>
      <c r="U201" s="121">
        <v>0</v>
      </c>
      <c r="V201" s="121">
        <v>0</v>
      </c>
      <c r="W201" s="121">
        <f>MouserListTable12[[#This Row],['#/Unit]]*FilterSpecs!$C$3+MouserListTable12[[#This Row],[Extra]]</f>
        <v>0</v>
      </c>
      <c r="X201" s="121">
        <f>IF(MouserListTable12[[#This Row],[Tag]]=FilterSpecs!$F$7,MouserListTable12[[#This Row],['#/Unit]]*MouserListTable12[[#This Row],[Price (USD)]],0)</f>
        <v>0</v>
      </c>
      <c r="Y201" s="121">
        <f>MouserListTable12[[#This Row],[Tot '#]]*MouserListTable12[[#This Row],[Price (USD)]]</f>
        <v>0</v>
      </c>
      <c r="Z201"/>
    </row>
    <row r="202" spans="1:26" s="144" customFormat="1" hidden="1" x14ac:dyDescent="0.3">
      <c r="A202" s="126" t="s">
        <v>895</v>
      </c>
      <c r="B202" s="126" t="s">
        <v>2041</v>
      </c>
      <c r="C202" s="103" t="s">
        <v>1906</v>
      </c>
      <c r="D202" s="106" t="str">
        <f>IF(MouserListTable12[[#This Row],[Vendor]]=FilterSpecs!$A$8,MouserListTable12[[#This Row],[Mouser SKU]], MouserListTable12[[#This Row],[Supplier SKU]])</f>
        <v>474-CAB-11604</v>
      </c>
      <c r="E202" s="121">
        <f>MouserListTable12[[#This Row],[Tot '#]]-MouserListTable12[[#This Row],['# Initial]]</f>
        <v>0</v>
      </c>
      <c r="F202" s="121">
        <f>IF(AND(MouserListTable12[[#This Row],[Tag]]&lt;&gt;FilterSpecs!$F$12, MouserListTable12[[#This Row],[Tag]]&lt;&gt;FilterSpecs!$F$9), MouserListTable12[[#This Row],['#/Unit]]*FilterSpecs!$B$3+MouserListTable12[[#This Row],[Extra Initial]],0)</f>
        <v>0</v>
      </c>
      <c r="G202" s="103" t="s">
        <v>1504</v>
      </c>
      <c r="H202" s="103" t="s">
        <v>1505</v>
      </c>
      <c r="I202" s="103" t="s">
        <v>1506</v>
      </c>
      <c r="J202" s="103">
        <v>1</v>
      </c>
      <c r="K202" s="157">
        <v>2.95</v>
      </c>
      <c r="L202" s="103" t="s">
        <v>1910</v>
      </c>
      <c r="M202" s="146"/>
      <c r="N202" s="157">
        <f>MouserListTable12[[#This Row],['# Initial]]*MouserListTable12[[#This Row],[Price (USD)]]</f>
        <v>0</v>
      </c>
      <c r="O202" s="106" t="s">
        <v>1503</v>
      </c>
      <c r="P202" s="103">
        <f t="shared" si="2"/>
        <v>184</v>
      </c>
      <c r="Q202" s="103" t="s">
        <v>8</v>
      </c>
      <c r="R20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474-CAB-11604</v>
      </c>
      <c r="S202" s="195" t="str">
        <f>HYPERLINK("https://www.mouser.com/ProductDetail/" &amp;MouserListTable12[[#This Row],[Mouser SKU]])</f>
        <v>https://www.mouser.com/ProductDetail/474-CAB-11604</v>
      </c>
      <c r="T202" s="121">
        <v>0</v>
      </c>
      <c r="U202" s="121">
        <v>0</v>
      </c>
      <c r="V202" s="121">
        <v>0</v>
      </c>
      <c r="W202" s="121">
        <f>MouserListTable12[[#This Row],['#/Unit]]*FilterSpecs!$C$3+MouserListTable12[[#This Row],[Extra]]</f>
        <v>0</v>
      </c>
      <c r="X202" s="121">
        <f>IF(MouserListTable12[[#This Row],[Tag]]=FilterSpecs!$F$7,MouserListTable12[[#This Row],['#/Unit]]*MouserListTable12[[#This Row],[Price (USD)]],0)</f>
        <v>0</v>
      </c>
      <c r="Y202" s="121">
        <f>MouserListTable12[[#This Row],[Tot '#]]*MouserListTable12[[#This Row],[Price (USD)]]</f>
        <v>0</v>
      </c>
      <c r="Z202"/>
    </row>
    <row r="203" spans="1:26" s="144" customFormat="1" hidden="1" x14ac:dyDescent="0.3">
      <c r="A203" s="126" t="s">
        <v>895</v>
      </c>
      <c r="B203" s="126" t="s">
        <v>2041</v>
      </c>
      <c r="C203" s="103" t="s">
        <v>1906</v>
      </c>
      <c r="D203" s="106" t="str">
        <f>IF(MouserListTable12[[#This Row],[Vendor]]=FilterSpecs!$A$8,MouserListTable12[[#This Row],[Mouser SKU]], MouserListTable12[[#This Row],[Supplier SKU]])</f>
        <v>474-CAB-14276</v>
      </c>
      <c r="E203" s="121">
        <f>MouserListTable12[[#This Row],[Tot '#]]-MouserListTable12[[#This Row],['# Initial]]</f>
        <v>0</v>
      </c>
      <c r="F203" s="121">
        <f>IF(AND(MouserListTable12[[#This Row],[Tag]]&lt;&gt;FilterSpecs!$F$12, MouserListTable12[[#This Row],[Tag]]&lt;&gt;FilterSpecs!$F$9), MouserListTable12[[#This Row],['#/Unit]]*FilterSpecs!$B$3+MouserListTable12[[#This Row],[Extra Initial]],0)</f>
        <v>0</v>
      </c>
      <c r="G203" s="103" t="s">
        <v>1516</v>
      </c>
      <c r="H203" s="103" t="s">
        <v>1517</v>
      </c>
      <c r="I203" s="103" t="s">
        <v>1518</v>
      </c>
      <c r="J203" s="103"/>
      <c r="K203" s="157">
        <v>2.95</v>
      </c>
      <c r="L203" s="103" t="s">
        <v>1910</v>
      </c>
      <c r="M203" s="146"/>
      <c r="N203" s="157">
        <f>MouserListTable12[[#This Row],['# Initial]]*MouserListTable12[[#This Row],[Price (USD)]]</f>
        <v>0</v>
      </c>
      <c r="O203" s="106" t="s">
        <v>1515</v>
      </c>
      <c r="P203" s="103">
        <f t="shared" si="2"/>
        <v>185</v>
      </c>
      <c r="Q203" s="103" t="s">
        <v>8</v>
      </c>
      <c r="R20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474-CAB-14276</v>
      </c>
      <c r="S203" s="195" t="str">
        <f>HYPERLINK("https://www.mouser.com/ProductDetail/" &amp;MouserListTable12[[#This Row],[Mouser SKU]])</f>
        <v>https://www.mouser.com/ProductDetail/474-CAB-14276</v>
      </c>
      <c r="T203" s="121">
        <v>0</v>
      </c>
      <c r="U203" s="121">
        <v>0</v>
      </c>
      <c r="V203" s="121">
        <v>0</v>
      </c>
      <c r="W203" s="121">
        <f>MouserListTable12[[#This Row],['#/Unit]]*FilterSpecs!$C$3+MouserListTable12[[#This Row],[Extra]]</f>
        <v>0</v>
      </c>
      <c r="X203" s="121">
        <f>IF(MouserListTable12[[#This Row],[Tag]]=FilterSpecs!$F$7,MouserListTable12[[#This Row],['#/Unit]]*MouserListTable12[[#This Row],[Price (USD)]],0)</f>
        <v>0</v>
      </c>
      <c r="Y203" s="121">
        <f>MouserListTable12[[#This Row],[Tot '#]]*MouserListTable12[[#This Row],[Price (USD)]]</f>
        <v>0</v>
      </c>
      <c r="Z203"/>
    </row>
    <row r="204" spans="1:26" s="144" customFormat="1" hidden="1" x14ac:dyDescent="0.3">
      <c r="A204" s="126" t="s">
        <v>895</v>
      </c>
      <c r="B204" s="126" t="s">
        <v>2041</v>
      </c>
      <c r="C204" s="103" t="s">
        <v>1906</v>
      </c>
      <c r="D204" s="106" t="str">
        <f>IF(MouserListTable12[[#This Row],[Vendor]]=FilterSpecs!$A$8,MouserListTable12[[#This Row],[Mouser SKU]], MouserListTable12[[#This Row],[Supplier SKU]])</f>
        <v>485-1099</v>
      </c>
      <c r="E204" s="121">
        <f>MouserListTable12[[#This Row],[Tot '#]]-MouserListTable12[[#This Row],['# Initial]]</f>
        <v>0</v>
      </c>
      <c r="F204" s="121">
        <f>IF(AND(MouserListTable12[[#This Row],[Tag]]&lt;&gt;FilterSpecs!$F$12, MouserListTable12[[#This Row],[Tag]]&lt;&gt;FilterSpecs!$F$9), MouserListTable12[[#This Row],['#/Unit]]*FilterSpecs!$B$3+MouserListTable12[[#This Row],[Extra Initial]],0)</f>
        <v>0</v>
      </c>
      <c r="G204" s="103"/>
      <c r="H204" s="103"/>
      <c r="I204" s="103" t="s">
        <v>2371</v>
      </c>
      <c r="J204" s="103"/>
      <c r="K204" s="157">
        <v>2.5</v>
      </c>
      <c r="L204" s="103" t="s">
        <v>1910</v>
      </c>
      <c r="M204" s="146"/>
      <c r="N204" s="157">
        <f>MouserListTable12[[#This Row],['# Initial]]*MouserListTable12[[#This Row],[Price (USD)]]</f>
        <v>0</v>
      </c>
      <c r="O204" s="106" t="s">
        <v>2370</v>
      </c>
      <c r="P204" s="103">
        <f t="shared" si="2"/>
        <v>186</v>
      </c>
      <c r="Q204" s="103" t="s">
        <v>1898</v>
      </c>
      <c r="R20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485-1099</v>
      </c>
      <c r="S204" s="195" t="str">
        <f>HYPERLINK("https://www.mouser.com/ProductDetail/" &amp;MouserListTable12[[#This Row],[Mouser SKU]])</f>
        <v>https://www.mouser.com/ProductDetail/485-1099</v>
      </c>
      <c r="T204" s="121">
        <v>0</v>
      </c>
      <c r="U204" s="121">
        <v>0</v>
      </c>
      <c r="V204" s="121">
        <v>0</v>
      </c>
      <c r="W204" s="121">
        <f>MouserListTable12[[#This Row],['#/Unit]]*FilterSpecs!$C$3+MouserListTable12[[#This Row],[Extra]]</f>
        <v>0</v>
      </c>
      <c r="X204" s="121">
        <f>IF(MouserListTable12[[#This Row],[Tag]]=FilterSpecs!$F$7,MouserListTable12[[#This Row],['#/Unit]]*MouserListTable12[[#This Row],[Price (USD)]],0)</f>
        <v>0</v>
      </c>
      <c r="Y204" s="121">
        <f>MouserListTable12[[#This Row],[Tot '#]]*MouserListTable12[[#This Row],[Price (USD)]]</f>
        <v>0</v>
      </c>
      <c r="Z204"/>
    </row>
    <row r="205" spans="1:26" s="144" customFormat="1" x14ac:dyDescent="0.3">
      <c r="A205" s="103" t="s">
        <v>895</v>
      </c>
      <c r="B205" s="103" t="s">
        <v>2041</v>
      </c>
      <c r="C205" s="103" t="s">
        <v>1906</v>
      </c>
      <c r="D205" s="106" t="str">
        <f>IF(MouserListTable12[[#This Row],[Vendor]]=FilterSpecs!$A$8,MouserListTable12[[#This Row],[Mouser SKU]], MouserListTable12[[#This Row],[Supplier SKU]])</f>
        <v>485-2910</v>
      </c>
      <c r="E205" s="121">
        <f>MouserListTable12[[#This Row],[Tot '#]]-MouserListTable12[[#This Row],['# Initial]]</f>
        <v>0</v>
      </c>
      <c r="F205" s="121">
        <f>IF(AND(MouserListTable12[[#This Row],[Tag]]&lt;&gt;FilterSpecs!$F$12, MouserListTable12[[#This Row],[Tag]]&lt;&gt;FilterSpecs!$F$9), MouserListTable12[[#This Row],['#/Unit]]*FilterSpecs!$B$3+MouserListTable12[[#This Row],[Extra Initial]],0)</f>
        <v>5</v>
      </c>
      <c r="G205" s="103"/>
      <c r="H205" s="103"/>
      <c r="I205" s="103" t="s">
        <v>2367</v>
      </c>
      <c r="J205" s="103"/>
      <c r="K205" s="157">
        <v>2.95</v>
      </c>
      <c r="L205" s="103" t="s">
        <v>1911</v>
      </c>
      <c r="M205" s="106"/>
      <c r="N205" s="157">
        <f>MouserListTable12[[#This Row],['# Initial]]*MouserListTable12[[#This Row],[Price (USD)]]</f>
        <v>14.75</v>
      </c>
      <c r="O205" s="106" t="s">
        <v>2366</v>
      </c>
      <c r="P205" s="103">
        <f t="shared" si="2"/>
        <v>187</v>
      </c>
      <c r="Q205" s="103" t="s">
        <v>1898</v>
      </c>
      <c r="R20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485-2910</v>
      </c>
      <c r="S205" s="195" t="str">
        <f>HYPERLINK("https://www.mouser.com/ProductDetail/" &amp;MouserListTable12[[#This Row],[Mouser SKU]])</f>
        <v>https://www.mouser.com/ProductDetail/485-2910</v>
      </c>
      <c r="T205" s="121">
        <v>1</v>
      </c>
      <c r="U205" s="121">
        <v>0</v>
      </c>
      <c r="V205" s="121">
        <v>0</v>
      </c>
      <c r="W205" s="121">
        <f>MouserListTable12[[#This Row],['#/Unit]]*FilterSpecs!$C$3+MouserListTable12[[#This Row],[Extra]]</f>
        <v>5</v>
      </c>
      <c r="X205" s="121">
        <f>IF(MouserListTable12[[#This Row],[Tag]]=FilterSpecs!$F$7,MouserListTable12[[#This Row],['#/Unit]]*MouserListTable12[[#This Row],[Price (USD)]],0)</f>
        <v>2.95</v>
      </c>
      <c r="Y205" s="121">
        <f>MouserListTable12[[#This Row],[Tot '#]]*MouserListTable12[[#This Row],[Price (USD)]]</f>
        <v>14.75</v>
      </c>
      <c r="Z205"/>
    </row>
    <row r="206" spans="1:26" s="144" customFormat="1" hidden="1" x14ac:dyDescent="0.3">
      <c r="A206" s="103" t="s">
        <v>895</v>
      </c>
      <c r="B206" s="103" t="s">
        <v>2041</v>
      </c>
      <c r="C206" s="103" t="s">
        <v>1906</v>
      </c>
      <c r="D206" s="106" t="str">
        <f>IF(MouserListTable12[[#This Row],[Vendor]]=FilterSpecs!$A$8,MouserListTable12[[#This Row],[Mouser SKU]], MouserListTable12[[#This Row],[Supplier SKU]])</f>
        <v>474-CAB-12977</v>
      </c>
      <c r="E206" s="121">
        <f>MouserListTable12[[#This Row],[Tot '#]]-MouserListTable12[[#This Row],['# Initial]]</f>
        <v>1</v>
      </c>
      <c r="F206" s="121">
        <f>IF(AND(MouserListTable12[[#This Row],[Tag]]&lt;&gt;FilterSpecs!$F$12, MouserListTable12[[#This Row],[Tag]]&lt;&gt;FilterSpecs!$F$9), MouserListTable12[[#This Row],['#/Unit]]*FilterSpecs!$B$3+MouserListTable12[[#This Row],[Extra Initial]],0)</f>
        <v>0</v>
      </c>
      <c r="G206" s="103" t="s">
        <v>245</v>
      </c>
      <c r="H206" s="103" t="s">
        <v>246</v>
      </c>
      <c r="I206" s="103" t="s">
        <v>247</v>
      </c>
      <c r="J206" s="103"/>
      <c r="K206" s="157">
        <v>9.9499999999999993</v>
      </c>
      <c r="L206" s="103" t="s">
        <v>1910</v>
      </c>
      <c r="M206" s="103"/>
      <c r="N206" s="157">
        <f>MouserListTable12[[#This Row],['# Initial]]*MouserListTable12[[#This Row],[Price (USD)]]</f>
        <v>0</v>
      </c>
      <c r="O206" s="106" t="s">
        <v>244</v>
      </c>
      <c r="P206" s="103">
        <f t="shared" si="2"/>
        <v>188</v>
      </c>
      <c r="Q206" s="103" t="s">
        <v>8</v>
      </c>
      <c r="R20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474-CAB-12977</v>
      </c>
      <c r="S206" s="195" t="str">
        <f>HYPERLINK("https://www.mouser.com/ProductDetail/" &amp;MouserListTable12[[#This Row],[Mouser SKU]])</f>
        <v>https://www.mouser.com/ProductDetail/474-CAB-12977</v>
      </c>
      <c r="T206" s="121">
        <v>0</v>
      </c>
      <c r="U206" s="121">
        <v>1</v>
      </c>
      <c r="V206" s="121">
        <v>0</v>
      </c>
      <c r="W206" s="121">
        <f>MouserListTable12[[#This Row],['#/Unit]]*FilterSpecs!$C$3+MouserListTable12[[#This Row],[Extra]]</f>
        <v>1</v>
      </c>
      <c r="X206" s="121">
        <f>IF(MouserListTable12[[#This Row],[Tag]]=FilterSpecs!$F$7,MouserListTable12[[#This Row],['#/Unit]]*MouserListTable12[[#This Row],[Price (USD)]],0)</f>
        <v>0</v>
      </c>
      <c r="Y206" s="121">
        <f>MouserListTable12[[#This Row],[Tot '#]]*MouserListTable12[[#This Row],[Price (USD)]]</f>
        <v>9.9499999999999993</v>
      </c>
      <c r="Z206"/>
    </row>
    <row r="207" spans="1:26" s="144" customFormat="1" hidden="1" x14ac:dyDescent="0.3">
      <c r="A207" s="103" t="s">
        <v>895</v>
      </c>
      <c r="B207" s="103" t="s">
        <v>2041</v>
      </c>
      <c r="C207" s="103" t="s">
        <v>1906</v>
      </c>
      <c r="D207" s="106" t="str">
        <f>IF(MouserListTable12[[#This Row],[Vendor]]=FilterSpecs!$A$8,MouserListTable12[[#This Row],[Mouser SKU]], MouserListTable12[[#This Row],[Supplier SKU]])</f>
        <v>485-1620</v>
      </c>
      <c r="E207" s="121">
        <f>MouserListTable12[[#This Row],[Tot '#]]-MouserListTable12[[#This Row],['# Initial]]</f>
        <v>0</v>
      </c>
      <c r="F207" s="121">
        <f>IF(AND(MouserListTable12[[#This Row],[Tag]]&lt;&gt;FilterSpecs!$F$12, MouserListTable12[[#This Row],[Tag]]&lt;&gt;FilterSpecs!$F$9), MouserListTable12[[#This Row],['#/Unit]]*FilterSpecs!$B$3+MouserListTable12[[#This Row],[Extra Initial]],0)</f>
        <v>0</v>
      </c>
      <c r="G207" s="103"/>
      <c r="H207" s="103"/>
      <c r="I207" s="126" t="s">
        <v>2369</v>
      </c>
      <c r="J207" s="146"/>
      <c r="K207" s="158">
        <v>2.95</v>
      </c>
      <c r="L207" s="126" t="s">
        <v>1910</v>
      </c>
      <c r="M207" s="146"/>
      <c r="N207" s="157">
        <f>MouserListTable12[[#This Row],['# Initial]]*MouserListTable12[[#This Row],[Price (USD)]]</f>
        <v>0</v>
      </c>
      <c r="O207" s="106" t="s">
        <v>2368</v>
      </c>
      <c r="P207" s="103">
        <f t="shared" si="2"/>
        <v>189</v>
      </c>
      <c r="Q207" s="103" t="s">
        <v>1898</v>
      </c>
      <c r="R20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485-1620</v>
      </c>
      <c r="S207" s="195" t="str">
        <f>HYPERLINK("https://www.mouser.com/ProductDetail/" &amp;MouserListTable12[[#This Row],[Mouser SKU]])</f>
        <v>https://www.mouser.com/ProductDetail/485-1620</v>
      </c>
      <c r="T207" s="121">
        <v>0</v>
      </c>
      <c r="U207" s="121">
        <v>0</v>
      </c>
      <c r="V207" s="121">
        <v>0</v>
      </c>
      <c r="W207" s="121">
        <f>MouserListTable12[[#This Row],['#/Unit]]*FilterSpecs!$C$3+MouserListTable12[[#This Row],[Extra]]</f>
        <v>0</v>
      </c>
      <c r="X207" s="121">
        <f>IF(MouserListTable12[[#This Row],[Tag]]=FilterSpecs!$F$7,MouserListTable12[[#This Row],['#/Unit]]*MouserListTable12[[#This Row],[Price (USD)]],0)</f>
        <v>0</v>
      </c>
      <c r="Y207" s="121">
        <f>MouserListTable12[[#This Row],[Tot '#]]*MouserListTable12[[#This Row],[Price (USD)]]</f>
        <v>0</v>
      </c>
      <c r="Z207"/>
    </row>
    <row r="208" spans="1:26" s="146" customFormat="1" x14ac:dyDescent="0.3">
      <c r="A208" s="103" t="s">
        <v>895</v>
      </c>
      <c r="B208" s="103" t="s">
        <v>2041</v>
      </c>
      <c r="C208" s="103" t="s">
        <v>1906</v>
      </c>
      <c r="D208" s="106" t="str">
        <f>IF(MouserListTable12[[#This Row],[Vendor]]=FilterSpecs!$A$8,MouserListTable12[[#This Row],[Mouser SKU]], MouserListTable12[[#This Row],[Supplier SKU]])</f>
        <v>474-CAB-12016</v>
      </c>
      <c r="E208" s="121">
        <f>MouserListTable12[[#This Row],[Tot '#]]-MouserListTable12[[#This Row],['# Initial]]</f>
        <v>0</v>
      </c>
      <c r="F208" s="121">
        <f>IF(AND(MouserListTable12[[#This Row],[Tag]]&lt;&gt;FilterSpecs!$F$12, MouserListTable12[[#This Row],[Tag]]&lt;&gt;FilterSpecs!$F$9), MouserListTable12[[#This Row],['#/Unit]]*FilterSpecs!$B$3+MouserListTable12[[#This Row],[Extra Initial]],0)</f>
        <v>1</v>
      </c>
      <c r="G208" s="103" t="s">
        <v>253</v>
      </c>
      <c r="H208" s="103" t="s">
        <v>254</v>
      </c>
      <c r="I208" s="103" t="s">
        <v>255</v>
      </c>
      <c r="K208" s="157">
        <v>6.97</v>
      </c>
      <c r="L208" s="103" t="s">
        <v>1910</v>
      </c>
      <c r="M208" s="106"/>
      <c r="N208" s="157">
        <f>MouserListTable12[[#This Row],['# Initial]]*MouserListTable12[[#This Row],[Price (USD)]]</f>
        <v>6.97</v>
      </c>
      <c r="O208" s="106" t="s">
        <v>252</v>
      </c>
      <c r="P208" s="103">
        <f t="shared" si="2"/>
        <v>190</v>
      </c>
      <c r="Q208" s="103" t="s">
        <v>8</v>
      </c>
      <c r="R20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474-CAB-12016</v>
      </c>
      <c r="S208" s="195" t="str">
        <f>HYPERLINK("https://www.mouser.com/ProductDetail/" &amp;MouserListTable12[[#This Row],[Mouser SKU]])</f>
        <v>https://www.mouser.com/ProductDetail/474-CAB-12016</v>
      </c>
      <c r="T208" s="121">
        <v>0</v>
      </c>
      <c r="U208" s="121">
        <v>1</v>
      </c>
      <c r="V208" s="121">
        <v>1</v>
      </c>
      <c r="W208" s="121">
        <f>MouserListTable12[[#This Row],['#/Unit]]*FilterSpecs!$C$3+MouserListTable12[[#This Row],[Extra]]</f>
        <v>1</v>
      </c>
      <c r="X208" s="121">
        <f>IF(MouserListTable12[[#This Row],[Tag]]=FilterSpecs!$F$7,MouserListTable12[[#This Row],['#/Unit]]*MouserListTable12[[#This Row],[Price (USD)]],0)</f>
        <v>0</v>
      </c>
      <c r="Y208" s="121">
        <f>MouserListTable12[[#This Row],[Tot '#]]*MouserListTable12[[#This Row],[Price (USD)]]</f>
        <v>6.97</v>
      </c>
      <c r="Z208"/>
    </row>
    <row r="209" spans="1:26" s="146" customFormat="1" x14ac:dyDescent="0.3">
      <c r="A209" s="103" t="s">
        <v>895</v>
      </c>
      <c r="B209" s="103" t="s">
        <v>1604</v>
      </c>
      <c r="C209" s="103" t="s">
        <v>1906</v>
      </c>
      <c r="D209" s="106" t="str">
        <f>IF(MouserListTable12[[#This Row],[Vendor]]=FilterSpecs!$A$8,MouserListTable12[[#This Row],[Mouser SKU]], MouserListTable12[[#This Row],[Supplier SKU]])</f>
        <v>474-DEV-14050</v>
      </c>
      <c r="E209" s="121">
        <f>MouserListTable12[[#This Row],[Tot '#]]-MouserListTable12[[#This Row],['# Initial]]</f>
        <v>0</v>
      </c>
      <c r="F209" s="121">
        <f>IF(AND(MouserListTable12[[#This Row],[Tag]]&lt;&gt;FilterSpecs!$F$12, MouserListTable12[[#This Row],[Tag]]&lt;&gt;FilterSpecs!$F$9), MouserListTable12[[#This Row],['#/Unit]]*FilterSpecs!$B$3+MouserListTable12[[#This Row],[Extra Initial]],0)</f>
        <v>5</v>
      </c>
      <c r="G209" s="103" t="s">
        <v>281</v>
      </c>
      <c r="H209" s="103" t="s">
        <v>282</v>
      </c>
      <c r="I209" s="103" t="s">
        <v>224</v>
      </c>
      <c r="J209" s="103"/>
      <c r="K209" s="157">
        <v>7.95</v>
      </c>
      <c r="L209" s="103" t="s">
        <v>1911</v>
      </c>
      <c r="M209" s="103"/>
      <c r="N209" s="157">
        <f>MouserListTable12[[#This Row],['# Initial]]*MouserListTable12[[#This Row],[Price (USD)]]</f>
        <v>39.75</v>
      </c>
      <c r="O209" s="106" t="s">
        <v>280</v>
      </c>
      <c r="P209" s="103">
        <f t="shared" si="2"/>
        <v>191</v>
      </c>
      <c r="Q209" s="103" t="s">
        <v>8</v>
      </c>
      <c r="R20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474-DEV-14050</v>
      </c>
      <c r="S209" s="195" t="str">
        <f>HYPERLINK("https://www.mouser.com/ProductDetail/" &amp;MouserListTable12[[#This Row],[Mouser SKU]])</f>
        <v>https://www.mouser.com/ProductDetail/474-DEV-14050</v>
      </c>
      <c r="T209" s="121">
        <v>1</v>
      </c>
      <c r="U209" s="121">
        <v>0</v>
      </c>
      <c r="V209" s="121">
        <v>0</v>
      </c>
      <c r="W209" s="121">
        <f>MouserListTable12[[#This Row],['#/Unit]]*FilterSpecs!$C$3+MouserListTable12[[#This Row],[Extra]]</f>
        <v>5</v>
      </c>
      <c r="X209" s="121">
        <f>IF(MouserListTable12[[#This Row],[Tag]]=FilterSpecs!$F$7,MouserListTable12[[#This Row],['#/Unit]]*MouserListTable12[[#This Row],[Price (USD)]],0)</f>
        <v>7.95</v>
      </c>
      <c r="Y209" s="121">
        <f>MouserListTable12[[#This Row],[Tot '#]]*MouserListTable12[[#This Row],[Price (USD)]]</f>
        <v>39.75</v>
      </c>
      <c r="Z209"/>
    </row>
    <row r="210" spans="1:26" s="146" customFormat="1" x14ac:dyDescent="0.3">
      <c r="A210" s="103" t="s">
        <v>895</v>
      </c>
      <c r="B210" s="103" t="s">
        <v>1604</v>
      </c>
      <c r="C210" s="103" t="s">
        <v>1906</v>
      </c>
      <c r="D210" s="106" t="str">
        <f>IF(MouserListTable12[[#This Row],[Vendor]]=FilterSpecs!$A$8,MouserListTable12[[#This Row],[Mouser SKU]], MouserListTable12[[#This Row],[Supplier SKU]])</f>
        <v>474-BOB-13830</v>
      </c>
      <c r="E210" s="121">
        <f>MouserListTable12[[#This Row],[Tot '#]]-MouserListTable12[[#This Row],['# Initial]]</f>
        <v>0</v>
      </c>
      <c r="F210" s="121">
        <f>IF(AND(MouserListTable12[[#This Row],[Tag]]&lt;&gt;FilterSpecs!$F$12, MouserListTable12[[#This Row],[Tag]]&lt;&gt;FilterSpecs!$F$9), MouserListTable12[[#This Row],['#/Unit]]*FilterSpecs!$B$3+MouserListTable12[[#This Row],[Extra Initial]],0)</f>
        <v>5</v>
      </c>
      <c r="G210" s="103" t="s">
        <v>284</v>
      </c>
      <c r="H210" s="103" t="s">
        <v>285</v>
      </c>
      <c r="I210" s="103" t="s">
        <v>210</v>
      </c>
      <c r="J210" s="103">
        <v>1</v>
      </c>
      <c r="K210" s="157">
        <v>12.95</v>
      </c>
      <c r="L210" s="103" t="s">
        <v>1911</v>
      </c>
      <c r="M210" s="103"/>
      <c r="N210" s="157">
        <f>MouserListTable12[[#This Row],['# Initial]]*MouserListTable12[[#This Row],[Price (USD)]]</f>
        <v>64.75</v>
      </c>
      <c r="O210" s="106" t="s">
        <v>283</v>
      </c>
      <c r="P210" s="103">
        <f t="shared" ref="P210:P273" si="4">IF($P209="List #",1,$P209+1)</f>
        <v>192</v>
      </c>
      <c r="Q210" s="103" t="s">
        <v>8</v>
      </c>
      <c r="R21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474-BOB-13830</v>
      </c>
      <c r="S210" s="195" t="str">
        <f>HYPERLINK("https://www.mouser.com/ProductDetail/" &amp;MouserListTable12[[#This Row],[Mouser SKU]])</f>
        <v>https://www.mouser.com/ProductDetail/474-BOB-13830</v>
      </c>
      <c r="T210" s="121">
        <v>1</v>
      </c>
      <c r="U210" s="121">
        <v>0</v>
      </c>
      <c r="V210" s="121">
        <v>0</v>
      </c>
      <c r="W210" s="121">
        <f>MouserListTable12[[#This Row],['#/Unit]]*FilterSpecs!$C$3+MouserListTable12[[#This Row],[Extra]]</f>
        <v>5</v>
      </c>
      <c r="X210" s="121">
        <f>IF(MouserListTable12[[#This Row],[Tag]]=FilterSpecs!$F$7,MouserListTable12[[#This Row],['#/Unit]]*MouserListTable12[[#This Row],[Price (USD)]],0)</f>
        <v>12.95</v>
      </c>
      <c r="Y210" s="121">
        <f>MouserListTable12[[#This Row],[Tot '#]]*MouserListTable12[[#This Row],[Price (USD)]]</f>
        <v>64.75</v>
      </c>
      <c r="Z210"/>
    </row>
    <row r="211" spans="1:26" s="146" customFormat="1" hidden="1" x14ac:dyDescent="0.3">
      <c r="A211" s="126" t="s">
        <v>895</v>
      </c>
      <c r="B211" s="126" t="s">
        <v>1604</v>
      </c>
      <c r="C211" s="103" t="s">
        <v>1906</v>
      </c>
      <c r="D211" s="106" t="str">
        <f>IF(MouserListTable12[[#This Row],[Vendor]]=FilterSpecs!$A$8,MouserListTable12[[#This Row],[Mouser SKU]], MouserListTable12[[#This Row],[Supplier SKU]])</f>
        <v>474-BOB-12731</v>
      </c>
      <c r="E211" s="121">
        <f>MouserListTable12[[#This Row],[Tot '#]]-MouserListTable12[[#This Row],['# Initial]]</f>
        <v>0</v>
      </c>
      <c r="F211" s="121">
        <f>IF(AND(MouserListTable12[[#This Row],[Tag]]&lt;&gt;FilterSpecs!$F$12, MouserListTable12[[#This Row],[Tag]]&lt;&gt;FilterSpecs!$F$9), MouserListTable12[[#This Row],['#/Unit]]*FilterSpecs!$B$3+MouserListTable12[[#This Row],[Extra Initial]],0)</f>
        <v>0</v>
      </c>
      <c r="G211" s="103" t="s">
        <v>930</v>
      </c>
      <c r="H211" s="103" t="s">
        <v>931</v>
      </c>
      <c r="I211" s="103" t="s">
        <v>932</v>
      </c>
      <c r="J211" s="103">
        <v>1</v>
      </c>
      <c r="K211" s="157">
        <v>14.95</v>
      </c>
      <c r="L211" s="103" t="s">
        <v>1910</v>
      </c>
      <c r="M211" s="103"/>
      <c r="N211" s="157">
        <f>MouserListTable12[[#This Row],['# Initial]]*MouserListTable12[[#This Row],[Price (USD)]]</f>
        <v>0</v>
      </c>
      <c r="O211" s="106" t="s">
        <v>929</v>
      </c>
      <c r="P211" s="103">
        <f t="shared" si="4"/>
        <v>193</v>
      </c>
      <c r="Q211" s="103" t="s">
        <v>8</v>
      </c>
      <c r="R21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474-BOB-12731</v>
      </c>
      <c r="S211" s="195" t="str">
        <f>HYPERLINK("https://www.mouser.com/ProductDetail/" &amp;MouserListTable12[[#This Row],[Mouser SKU]])</f>
        <v>https://www.mouser.com/ProductDetail/474-BOB-12731</v>
      </c>
      <c r="T211" s="121">
        <v>0</v>
      </c>
      <c r="U211" s="121">
        <v>0</v>
      </c>
      <c r="V211" s="121">
        <v>0</v>
      </c>
      <c r="W211" s="121">
        <f>MouserListTable12[[#This Row],['#/Unit]]*FilterSpecs!$C$3+MouserListTable12[[#This Row],[Extra]]</f>
        <v>0</v>
      </c>
      <c r="X211" s="121">
        <f>IF(MouserListTable12[[#This Row],[Tag]]=FilterSpecs!$F$7,MouserListTable12[[#This Row],['#/Unit]]*MouserListTable12[[#This Row],[Price (USD)]],0)</f>
        <v>0</v>
      </c>
      <c r="Y211" s="121">
        <f>MouserListTable12[[#This Row],[Tot '#]]*MouserListTable12[[#This Row],[Price (USD)]]</f>
        <v>0</v>
      </c>
      <c r="Z211"/>
    </row>
    <row r="212" spans="1:26" s="146" customFormat="1" x14ac:dyDescent="0.3">
      <c r="A212" s="103" t="s">
        <v>895</v>
      </c>
      <c r="B212" s="103" t="s">
        <v>1604</v>
      </c>
      <c r="C212" s="103" t="s">
        <v>1906</v>
      </c>
      <c r="D212" s="106" t="str">
        <f>IF(MouserListTable12[[#This Row],[Vendor]]=FilterSpecs!$A$8,MouserListTable12[[#This Row],[Mouser SKU]], MouserListTable12[[#This Row],[Supplier SKU]])</f>
        <v>474-BOB-13263</v>
      </c>
      <c r="E212" s="121">
        <f>MouserListTable12[[#This Row],[Tot '#]]-MouserListTable12[[#This Row],['# Initial]]</f>
        <v>0</v>
      </c>
      <c r="F212" s="121">
        <f>IF(AND(MouserListTable12[[#This Row],[Tag]]&lt;&gt;FilterSpecs!$F$12, MouserListTable12[[#This Row],[Tag]]&lt;&gt;FilterSpecs!$F$9), MouserListTable12[[#This Row],['#/Unit]]*FilterSpecs!$B$3+MouserListTable12[[#This Row],[Extra Initial]],0)</f>
        <v>1</v>
      </c>
      <c r="G212" s="103" t="s">
        <v>1016</v>
      </c>
      <c r="H212" s="103" t="s">
        <v>1017</v>
      </c>
      <c r="I212" s="103" t="s">
        <v>1018</v>
      </c>
      <c r="J212" s="103">
        <v>1</v>
      </c>
      <c r="K212" s="157">
        <v>11.95</v>
      </c>
      <c r="L212" s="103" t="s">
        <v>1910</v>
      </c>
      <c r="M212" s="103"/>
      <c r="N212" s="157">
        <f>MouserListTable12[[#This Row],['# Initial]]*MouserListTable12[[#This Row],[Price (USD)]]</f>
        <v>11.95</v>
      </c>
      <c r="O212" s="106" t="s">
        <v>1015</v>
      </c>
      <c r="P212" s="103">
        <f t="shared" si="4"/>
        <v>194</v>
      </c>
      <c r="Q212" s="103" t="s">
        <v>8</v>
      </c>
      <c r="R21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474-BOB-13263</v>
      </c>
      <c r="S212" s="195" t="str">
        <f>HYPERLINK("https://www.mouser.com/ProductDetail/" &amp;MouserListTable12[[#This Row],[Mouser SKU]])</f>
        <v>https://www.mouser.com/ProductDetail/474-BOB-13263</v>
      </c>
      <c r="T212" s="121">
        <v>0</v>
      </c>
      <c r="U212" s="121">
        <v>1</v>
      </c>
      <c r="V212" s="121">
        <v>1</v>
      </c>
      <c r="W212" s="121">
        <f>MouserListTable12[[#This Row],['#/Unit]]*FilterSpecs!$C$3+MouserListTable12[[#This Row],[Extra]]</f>
        <v>1</v>
      </c>
      <c r="X212" s="121">
        <f>IF(MouserListTable12[[#This Row],[Tag]]=FilterSpecs!$F$7,MouserListTable12[[#This Row],['#/Unit]]*MouserListTable12[[#This Row],[Price (USD)]],0)</f>
        <v>0</v>
      </c>
      <c r="Y212" s="121">
        <f>MouserListTable12[[#This Row],[Tot '#]]*MouserListTable12[[#This Row],[Price (USD)]]</f>
        <v>11.95</v>
      </c>
      <c r="Z212"/>
    </row>
    <row r="213" spans="1:26" s="146" customFormat="1" x14ac:dyDescent="0.3">
      <c r="A213" s="103" t="s">
        <v>895</v>
      </c>
      <c r="B213" s="103" t="s">
        <v>1604</v>
      </c>
      <c r="C213" s="103" t="s">
        <v>1906</v>
      </c>
      <c r="D213" s="106" t="str">
        <f>IF(MouserListTable12[[#This Row],[Vendor]]=FilterSpecs!$A$8,MouserListTable12[[#This Row],[Mouser SKU]], MouserListTable12[[#This Row],[Supplier SKU]])</f>
        <v>474-DEV-12935</v>
      </c>
      <c r="E213" s="121">
        <f>MouserListTable12[[#This Row],[Tot '#]]-MouserListTable12[[#This Row],['# Initial]]</f>
        <v>0</v>
      </c>
      <c r="F213" s="121">
        <f>IF(AND(MouserListTable12[[#This Row],[Tag]]&lt;&gt;FilterSpecs!$F$12, MouserListTable12[[#This Row],[Tag]]&lt;&gt;FilterSpecs!$F$9), MouserListTable12[[#This Row],['#/Unit]]*FilterSpecs!$B$3+MouserListTable12[[#This Row],[Extra Initial]],0)</f>
        <v>1</v>
      </c>
      <c r="G213" s="103" t="s">
        <v>1020</v>
      </c>
      <c r="H213" s="103" t="s">
        <v>1021</v>
      </c>
      <c r="I213" s="103" t="s">
        <v>1022</v>
      </c>
      <c r="J213" s="103">
        <v>1</v>
      </c>
      <c r="K213" s="157">
        <v>19.95</v>
      </c>
      <c r="L213" s="103" t="s">
        <v>1910</v>
      </c>
      <c r="M213" s="103"/>
      <c r="N213" s="157">
        <f>MouserListTable12[[#This Row],['# Initial]]*MouserListTable12[[#This Row],[Price (USD)]]</f>
        <v>19.95</v>
      </c>
      <c r="O213" s="106" t="s">
        <v>1019</v>
      </c>
      <c r="P213" s="103">
        <f t="shared" si="4"/>
        <v>195</v>
      </c>
      <c r="Q213" s="103" t="s">
        <v>8</v>
      </c>
      <c r="R21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474-DEV-12935</v>
      </c>
      <c r="S213" s="195" t="str">
        <f>HYPERLINK("https://www.mouser.com/ProductDetail/" &amp;MouserListTable12[[#This Row],[Mouser SKU]])</f>
        <v>https://www.mouser.com/ProductDetail/474-DEV-12935</v>
      </c>
      <c r="T213" s="121">
        <v>0</v>
      </c>
      <c r="U213" s="121">
        <v>1</v>
      </c>
      <c r="V213" s="121">
        <v>1</v>
      </c>
      <c r="W213" s="121">
        <f>MouserListTable12[[#This Row],['#/Unit]]*FilterSpecs!$C$3+MouserListTable12[[#This Row],[Extra]]</f>
        <v>1</v>
      </c>
      <c r="X213" s="121">
        <f>IF(MouserListTable12[[#This Row],[Tag]]=FilterSpecs!$F$7,MouserListTable12[[#This Row],['#/Unit]]*MouserListTable12[[#This Row],[Price (USD)]],0)</f>
        <v>0</v>
      </c>
      <c r="Y213" s="121">
        <f>MouserListTable12[[#This Row],[Tot '#]]*MouserListTable12[[#This Row],[Price (USD)]]</f>
        <v>19.95</v>
      </c>
      <c r="Z213"/>
    </row>
    <row r="214" spans="1:26" s="146" customFormat="1" hidden="1" x14ac:dyDescent="0.3">
      <c r="A214" s="103" t="s">
        <v>1070</v>
      </c>
      <c r="B214" s="103" t="s">
        <v>1603</v>
      </c>
      <c r="C214" s="103" t="s">
        <v>1906</v>
      </c>
      <c r="D214" s="106" t="str">
        <f>IF(MouserListTable12[[#This Row],[Vendor]]=FilterSpecs!$A$8,MouserListTable12[[#This Row],[Mouser SKU]], MouserListTable12[[#This Row],[Supplier SKU]])</f>
        <v>474-PRT-12885</v>
      </c>
      <c r="E214" s="121">
        <f>MouserListTable12[[#This Row],[Tot '#]]-MouserListTable12[[#This Row],['# Initial]]</f>
        <v>1</v>
      </c>
      <c r="F214" s="121">
        <f>IF(AND(MouserListTable12[[#This Row],[Tag]]&lt;&gt;FilterSpecs!$F$12, MouserListTable12[[#This Row],[Tag]]&lt;&gt;FilterSpecs!$F$9), MouserListTable12[[#This Row],['#/Unit]]*FilterSpecs!$B$3+MouserListTable12[[#This Row],[Extra Initial]],0)</f>
        <v>0</v>
      </c>
      <c r="G214" s="103" t="s">
        <v>1528</v>
      </c>
      <c r="H214" s="103" t="s">
        <v>1529</v>
      </c>
      <c r="I214" s="103" t="s">
        <v>1530</v>
      </c>
      <c r="J214" s="103">
        <v>1</v>
      </c>
      <c r="K214" s="157">
        <v>24.95</v>
      </c>
      <c r="L214" s="103" t="s">
        <v>1914</v>
      </c>
      <c r="M214" s="106"/>
      <c r="N214" s="157">
        <f>MouserListTable12[[#This Row],['# Initial]]*MouserListTable12[[#This Row],[Price (USD)]]</f>
        <v>0</v>
      </c>
      <c r="O214" s="106" t="s">
        <v>1527</v>
      </c>
      <c r="P214" s="103">
        <f t="shared" si="4"/>
        <v>196</v>
      </c>
      <c r="Q214" s="103" t="s">
        <v>8</v>
      </c>
      <c r="R21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474-PRT-12885</v>
      </c>
      <c r="S214" s="195" t="str">
        <f>HYPERLINK("https://www.mouser.com/ProductDetail/" &amp;MouserListTable12[[#This Row],[Mouser SKU]])</f>
        <v>https://www.mouser.com/ProductDetail/474-PRT-12885</v>
      </c>
      <c r="T214" s="121">
        <v>0</v>
      </c>
      <c r="U214" s="121">
        <v>1</v>
      </c>
      <c r="V214" s="121">
        <v>0</v>
      </c>
      <c r="W214" s="121">
        <f>MouserListTable12[[#This Row],['#/Unit]]*FilterSpecs!$C$3+MouserListTable12[[#This Row],[Extra]]</f>
        <v>1</v>
      </c>
      <c r="X214" s="121">
        <f>IF(MouserListTable12[[#This Row],[Tag]]=FilterSpecs!$F$7,MouserListTable12[[#This Row],['#/Unit]]*MouserListTable12[[#This Row],[Price (USD)]],0)</f>
        <v>0</v>
      </c>
      <c r="Y214" s="121">
        <f>MouserListTable12[[#This Row],[Tot '#]]*MouserListTable12[[#This Row],[Price (USD)]]</f>
        <v>24.95</v>
      </c>
      <c r="Z214"/>
    </row>
    <row r="215" spans="1:26" s="146" customFormat="1" hidden="1" x14ac:dyDescent="0.3">
      <c r="A215" s="103" t="s">
        <v>1070</v>
      </c>
      <c r="B215" s="103" t="s">
        <v>1013</v>
      </c>
      <c r="C215" s="103" t="s">
        <v>1906</v>
      </c>
      <c r="D215" s="106" t="str">
        <f>IF(MouserListTable12[[#This Row],[Vendor]]=FilterSpecs!$A$8,MouserListTable12[[#This Row],[Mouser SKU]], MouserListTable12[[#This Row],[Supplier SKU]])</f>
        <v>474-GPS-00177</v>
      </c>
      <c r="E215" s="121">
        <f>MouserListTable12[[#This Row],[Tot '#]]-MouserListTable12[[#This Row],['# Initial]]</f>
        <v>1</v>
      </c>
      <c r="F215" s="121">
        <f>IF(AND(MouserListTable12[[#This Row],[Tag]]&lt;&gt;FilterSpecs!$F$12, MouserListTable12[[#This Row],[Tag]]&lt;&gt;FilterSpecs!$F$9), MouserListTable12[[#This Row],['#/Unit]]*FilterSpecs!$B$3+MouserListTable12[[#This Row],[Extra Initial]],0)</f>
        <v>0</v>
      </c>
      <c r="G215" s="103" t="s">
        <v>950</v>
      </c>
      <c r="H215" s="103" t="s">
        <v>951</v>
      </c>
      <c r="I215" s="103" t="s">
        <v>952</v>
      </c>
      <c r="J215" s="103"/>
      <c r="K215" s="157">
        <v>11.95</v>
      </c>
      <c r="L215" s="103" t="s">
        <v>1914</v>
      </c>
      <c r="M215" s="103" t="s">
        <v>1063</v>
      </c>
      <c r="N215" s="157">
        <f>MouserListTable12[[#This Row],['# Initial]]*MouserListTable12[[#This Row],[Price (USD)]]</f>
        <v>0</v>
      </c>
      <c r="O215" s="106" t="s">
        <v>949</v>
      </c>
      <c r="P215" s="103">
        <f t="shared" si="4"/>
        <v>197</v>
      </c>
      <c r="Q215" s="103" t="s">
        <v>8</v>
      </c>
      <c r="R21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474-GPS-00177</v>
      </c>
      <c r="S215" s="195" t="str">
        <f>HYPERLINK("https://www.mouser.com/ProductDetail/" &amp;MouserListTable12[[#This Row],[Mouser SKU]])</f>
        <v>https://www.mouser.com/ProductDetail/474-GPS-00177</v>
      </c>
      <c r="T215" s="121">
        <v>0</v>
      </c>
      <c r="U215" s="121">
        <v>1</v>
      </c>
      <c r="V215" s="121">
        <v>0</v>
      </c>
      <c r="W215" s="121">
        <f>MouserListTable12[[#This Row],['#/Unit]]*FilterSpecs!$C$3+MouserListTable12[[#This Row],[Extra]]</f>
        <v>1</v>
      </c>
      <c r="X215" s="121">
        <f>IF(MouserListTable12[[#This Row],[Tag]]=FilterSpecs!$F$7,MouserListTable12[[#This Row],['#/Unit]]*MouserListTable12[[#This Row],[Price (USD)]],0)</f>
        <v>0</v>
      </c>
      <c r="Y215" s="121">
        <f>MouserListTable12[[#This Row],[Tot '#]]*MouserListTable12[[#This Row],[Price (USD)]]</f>
        <v>11.95</v>
      </c>
      <c r="Z215"/>
    </row>
    <row r="216" spans="1:26" s="151" customFormat="1" hidden="1" x14ac:dyDescent="0.3">
      <c r="A216" s="103" t="s">
        <v>1070</v>
      </c>
      <c r="B216" s="103" t="s">
        <v>1013</v>
      </c>
      <c r="C216" s="103" t="s">
        <v>1906</v>
      </c>
      <c r="D216" s="106" t="str">
        <f>IF(MouserListTable12[[#This Row],[Vendor]]=FilterSpecs!$A$8,MouserListTable12[[#This Row],[Mouser SKU]], MouserListTable12[[#This Row],[Supplier SKU]])</f>
        <v>474-SPX-14416</v>
      </c>
      <c r="E216" s="121">
        <f>MouserListTable12[[#This Row],[Tot '#]]-MouserListTable12[[#This Row],['# Initial]]</f>
        <v>1</v>
      </c>
      <c r="F216" s="121">
        <f>IF(AND(MouserListTable12[[#This Row],[Tag]]&lt;&gt;FilterSpecs!$F$12, MouserListTable12[[#This Row],[Tag]]&lt;&gt;FilterSpecs!$F$9), MouserListTable12[[#This Row],['#/Unit]]*FilterSpecs!$B$3+MouserListTable12[[#This Row],[Extra Initial]],0)</f>
        <v>0</v>
      </c>
      <c r="G216" s="103" t="s">
        <v>970</v>
      </c>
      <c r="H216" s="103" t="s">
        <v>971</v>
      </c>
      <c r="I216" s="103" t="s">
        <v>972</v>
      </c>
      <c r="J216" s="103">
        <v>1</v>
      </c>
      <c r="K216" s="157">
        <v>49.95</v>
      </c>
      <c r="L216" s="103" t="s">
        <v>1914</v>
      </c>
      <c r="M216" s="103" t="s">
        <v>1056</v>
      </c>
      <c r="N216" s="157">
        <f>MouserListTable12[[#This Row],['# Initial]]*MouserListTable12[[#This Row],[Price (USD)]]</f>
        <v>0</v>
      </c>
      <c r="O216" s="106" t="s">
        <v>969</v>
      </c>
      <c r="P216" s="103">
        <f t="shared" si="4"/>
        <v>198</v>
      </c>
      <c r="Q216" s="103" t="s">
        <v>8</v>
      </c>
      <c r="R21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474-SPX-14416</v>
      </c>
      <c r="S216" s="195" t="str">
        <f>HYPERLINK("https://www.mouser.com/ProductDetail/" &amp;MouserListTable12[[#This Row],[Mouser SKU]])</f>
        <v>https://www.mouser.com/ProductDetail/474-SPX-14416</v>
      </c>
      <c r="T216" s="121">
        <v>0</v>
      </c>
      <c r="U216" s="121">
        <v>1</v>
      </c>
      <c r="V216" s="121">
        <v>0</v>
      </c>
      <c r="W216" s="121">
        <f>MouserListTable12[[#This Row],['#/Unit]]*FilterSpecs!$C$3+MouserListTable12[[#This Row],[Extra]]</f>
        <v>1</v>
      </c>
      <c r="X216" s="121">
        <f>IF(MouserListTable12[[#This Row],[Tag]]=FilterSpecs!$F$7,MouserListTable12[[#This Row],['#/Unit]]*MouserListTable12[[#This Row],[Price (USD)]],0)</f>
        <v>0</v>
      </c>
      <c r="Y216" s="121">
        <f>MouserListTable12[[#This Row],[Tot '#]]*MouserListTable12[[#This Row],[Price (USD)]]</f>
        <v>49.95</v>
      </c>
      <c r="Z216"/>
    </row>
    <row r="217" spans="1:26" s="151" customFormat="1" hidden="1" x14ac:dyDescent="0.3">
      <c r="A217" s="126" t="s">
        <v>1070</v>
      </c>
      <c r="B217" s="155" t="s">
        <v>1013</v>
      </c>
      <c r="C217" s="103" t="s">
        <v>1906</v>
      </c>
      <c r="D217" s="106" t="str">
        <f>IF(MouserListTable12[[#This Row],[Vendor]]=FilterSpecs!$A$8,MouserListTable12[[#This Row],[Mouser SKU]], MouserListTable12[[#This Row],[Supplier SKU]])</f>
        <v>474-GPS-13750</v>
      </c>
      <c r="E217" s="121">
        <f>MouserListTable12[[#This Row],[Tot '#]]-MouserListTable12[[#This Row],['# Initial]]</f>
        <v>0</v>
      </c>
      <c r="F217" s="121">
        <f>IF(AND(MouserListTable12[[#This Row],[Tag]]&lt;&gt;FilterSpecs!$F$12, MouserListTable12[[#This Row],[Tag]]&lt;&gt;FilterSpecs!$F$9), MouserListTable12[[#This Row],['#/Unit]]*FilterSpecs!$B$3+MouserListTable12[[#This Row],[Extra Initial]],0)</f>
        <v>0</v>
      </c>
      <c r="G217" s="103" t="s">
        <v>990</v>
      </c>
      <c r="H217" s="103" t="s">
        <v>991</v>
      </c>
      <c r="I217" s="103" t="s">
        <v>992</v>
      </c>
      <c r="J217" s="103">
        <v>1</v>
      </c>
      <c r="K217" s="157">
        <v>44.95</v>
      </c>
      <c r="L217" s="103" t="s">
        <v>1914</v>
      </c>
      <c r="M217" s="103" t="s">
        <v>1057</v>
      </c>
      <c r="N217" s="157">
        <f>MouserListTable12[[#This Row],['# Initial]]*MouserListTable12[[#This Row],[Price (USD)]]</f>
        <v>0</v>
      </c>
      <c r="O217" s="106" t="s">
        <v>989</v>
      </c>
      <c r="P217" s="103">
        <f t="shared" si="4"/>
        <v>199</v>
      </c>
      <c r="Q217" s="152" t="s">
        <v>8</v>
      </c>
      <c r="R21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474-GPS-13750</v>
      </c>
      <c r="S217" s="195" t="str">
        <f>HYPERLINK("https://www.mouser.com/ProductDetail/" &amp;MouserListTable12[[#This Row],[Mouser SKU]])</f>
        <v>https://www.mouser.com/ProductDetail/474-GPS-13750</v>
      </c>
      <c r="T217" s="121">
        <v>0</v>
      </c>
      <c r="U217" s="121">
        <v>0</v>
      </c>
      <c r="V217" s="121">
        <v>0</v>
      </c>
      <c r="W217" s="121">
        <f>MouserListTable12[[#This Row],['#/Unit]]*FilterSpecs!$C$3+MouserListTable12[[#This Row],[Extra]]</f>
        <v>0</v>
      </c>
      <c r="X217" s="121">
        <f>IF(MouserListTable12[[#This Row],[Tag]]=FilterSpecs!$F$7,MouserListTable12[[#This Row],['#/Unit]]*MouserListTable12[[#This Row],[Price (USD)]],0)</f>
        <v>0</v>
      </c>
      <c r="Y217" s="121">
        <f>MouserListTable12[[#This Row],[Tot '#]]*MouserListTable12[[#This Row],[Price (USD)]]</f>
        <v>0</v>
      </c>
      <c r="Z217"/>
    </row>
    <row r="218" spans="1:26" s="151" customFormat="1" hidden="1" x14ac:dyDescent="0.3">
      <c r="A218" s="103" t="s">
        <v>1070</v>
      </c>
      <c r="B218" s="103" t="s">
        <v>1013</v>
      </c>
      <c r="C218" s="103" t="s">
        <v>1906</v>
      </c>
      <c r="D218" s="106" t="str">
        <f>IF(MouserListTable12[[#This Row],[Vendor]]=FilterSpecs!$A$8,MouserListTable12[[#This Row],[Mouser SKU]], MouserListTable12[[#This Row],[Supplier SKU]])</f>
        <v>474-GPS-10920</v>
      </c>
      <c r="E218" s="121">
        <f>MouserListTable12[[#This Row],[Tot '#]]-MouserListTable12[[#This Row],['# Initial]]</f>
        <v>1</v>
      </c>
      <c r="F218" s="121">
        <f>IF(AND(MouserListTable12[[#This Row],[Tag]]&lt;&gt;FilterSpecs!$F$12, MouserListTable12[[#This Row],[Tag]]&lt;&gt;FilterSpecs!$F$9), MouserListTable12[[#This Row],['#/Unit]]*FilterSpecs!$B$3+MouserListTable12[[#This Row],[Extra Initial]],0)</f>
        <v>0</v>
      </c>
      <c r="G218" s="103" t="s">
        <v>954</v>
      </c>
      <c r="H218" s="103" t="s">
        <v>955</v>
      </c>
      <c r="I218" s="103" t="s">
        <v>956</v>
      </c>
      <c r="J218" s="103">
        <v>1</v>
      </c>
      <c r="K218" s="157">
        <v>59.95</v>
      </c>
      <c r="L218" s="103" t="s">
        <v>1914</v>
      </c>
      <c r="M218" s="103" t="s">
        <v>1057</v>
      </c>
      <c r="N218" s="157">
        <f>MouserListTable12[[#This Row],['# Initial]]*MouserListTable12[[#This Row],[Price (USD)]]</f>
        <v>0</v>
      </c>
      <c r="O218" s="106" t="s">
        <v>953</v>
      </c>
      <c r="P218" s="103">
        <f t="shared" si="4"/>
        <v>200</v>
      </c>
      <c r="Q218" s="103" t="s">
        <v>8</v>
      </c>
      <c r="R21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474-GPS-10920</v>
      </c>
      <c r="S218" s="195" t="str">
        <f>HYPERLINK("https://www.mouser.com/ProductDetail/" &amp;MouserListTable12[[#This Row],[Mouser SKU]])</f>
        <v>https://www.mouser.com/ProductDetail/474-GPS-10920</v>
      </c>
      <c r="T218" s="121">
        <v>0</v>
      </c>
      <c r="U218" s="121">
        <v>1</v>
      </c>
      <c r="V218" s="121">
        <v>0</v>
      </c>
      <c r="W218" s="121">
        <f>MouserListTable12[[#This Row],['#/Unit]]*FilterSpecs!$C$3+MouserListTable12[[#This Row],[Extra]]</f>
        <v>1</v>
      </c>
      <c r="X218" s="121">
        <f>IF(MouserListTable12[[#This Row],[Tag]]=FilterSpecs!$F$7,MouserListTable12[[#This Row],['#/Unit]]*MouserListTable12[[#This Row],[Price (USD)]],0)</f>
        <v>0</v>
      </c>
      <c r="Y218" s="121">
        <f>MouserListTable12[[#This Row],[Tot '#]]*MouserListTable12[[#This Row],[Price (USD)]]</f>
        <v>59.95</v>
      </c>
      <c r="Z218"/>
    </row>
    <row r="219" spans="1:26" s="144" customFormat="1" hidden="1" x14ac:dyDescent="0.3">
      <c r="A219" s="103" t="s">
        <v>1070</v>
      </c>
      <c r="B219" s="103" t="s">
        <v>1013</v>
      </c>
      <c r="C219" s="103" t="s">
        <v>1906</v>
      </c>
      <c r="D219" s="106" t="str">
        <f>IF(MouserListTable12[[#This Row],[Vendor]]=FilterSpecs!$A$8,MouserListTable12[[#This Row],[Mouser SKU]], MouserListTable12[[#This Row],[Supplier SKU]])</f>
        <v>485-1272</v>
      </c>
      <c r="E219" s="121">
        <f>MouserListTable12[[#This Row],[Tot '#]]-MouserListTable12[[#This Row],['# Initial]]</f>
        <v>0</v>
      </c>
      <c r="F219" s="121">
        <f>IF(AND(MouserListTable12[[#This Row],[Tag]]&lt;&gt;FilterSpecs!$F$12, MouserListTable12[[#This Row],[Tag]]&lt;&gt;FilterSpecs!$F$9), MouserListTable12[[#This Row],['#/Unit]]*FilterSpecs!$B$3+MouserListTable12[[#This Row],[Extra Initial]],0)</f>
        <v>0</v>
      </c>
      <c r="G219" s="103"/>
      <c r="H219" s="103"/>
      <c r="I219" s="103" t="s">
        <v>2095</v>
      </c>
      <c r="J219" s="103"/>
      <c r="K219" s="157">
        <v>44.95</v>
      </c>
      <c r="L219" s="103" t="s">
        <v>1910</v>
      </c>
      <c r="M219" s="146"/>
      <c r="N219" s="157">
        <f>MouserListTable12[[#This Row],['# Initial]]*MouserListTable12[[#This Row],[Price (USD)]]</f>
        <v>0</v>
      </c>
      <c r="O219" s="106" t="s">
        <v>2094</v>
      </c>
      <c r="P219" s="103">
        <f t="shared" si="4"/>
        <v>201</v>
      </c>
      <c r="Q219" s="103" t="s">
        <v>1898</v>
      </c>
      <c r="R21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485-1272</v>
      </c>
      <c r="S219" s="195" t="str">
        <f>HYPERLINK("https://www.mouser.com/ProductDetail/" &amp;MouserListTable12[[#This Row],[Mouser SKU]])</f>
        <v>https://www.mouser.com/ProductDetail/485-1272</v>
      </c>
      <c r="T219" s="121">
        <v>0</v>
      </c>
      <c r="U219" s="121">
        <v>0</v>
      </c>
      <c r="V219" s="121">
        <v>0</v>
      </c>
      <c r="W219" s="121">
        <f>MouserListTable12[[#This Row],['#/Unit]]*FilterSpecs!$C$3+MouserListTable12[[#This Row],[Extra]]</f>
        <v>0</v>
      </c>
      <c r="X219" s="121">
        <f>IF(MouserListTable12[[#This Row],[Tag]]=FilterSpecs!$F$7,MouserListTable12[[#This Row],['#/Unit]]*MouserListTable12[[#This Row],[Price (USD)]],0)</f>
        <v>0</v>
      </c>
      <c r="Y219" s="121">
        <f>MouserListTable12[[#This Row],[Tot '#]]*MouserListTable12[[#This Row],[Price (USD)]]</f>
        <v>0</v>
      </c>
      <c r="Z219"/>
    </row>
    <row r="220" spans="1:26" s="144" customFormat="1" hidden="1" x14ac:dyDescent="0.3">
      <c r="A220" s="103" t="s">
        <v>1070</v>
      </c>
      <c r="B220" s="103" t="s">
        <v>2065</v>
      </c>
      <c r="C220" s="103" t="s">
        <v>1906</v>
      </c>
      <c r="D220" s="106" t="str">
        <f>IF(MouserListTable12[[#This Row],[Vendor]]=FilterSpecs!$A$8,MouserListTable12[[#This Row],[Mouser SKU]], MouserListTable12[[#This Row],[Supplier SKU]])</f>
        <v>485-2468</v>
      </c>
      <c r="E220" s="121">
        <f>MouserListTable12[[#This Row],[Tot '#]]-MouserListTable12[[#This Row],['# Initial]]</f>
        <v>1</v>
      </c>
      <c r="F220" s="121">
        <f>IF(AND(MouserListTable12[[#This Row],[Tag]]&lt;&gt;FilterSpecs!$F$12, MouserListTable12[[#This Row],[Tag]]&lt;&gt;FilterSpecs!$F$9), MouserListTable12[[#This Row],['#/Unit]]*FilterSpecs!$B$3+MouserListTable12[[#This Row],[Extra Initial]],0)</f>
        <v>0</v>
      </c>
      <c r="G220" s="103"/>
      <c r="H220" s="103"/>
      <c r="I220" s="103" t="s">
        <v>2072</v>
      </c>
      <c r="J220" s="103"/>
      <c r="K220" s="157">
        <v>39.950000000000003</v>
      </c>
      <c r="L220" s="103" t="s">
        <v>1910</v>
      </c>
      <c r="M220" s="106"/>
      <c r="N220" s="157">
        <f>MouserListTable12[[#This Row],['# Initial]]*MouserListTable12[[#This Row],[Price (USD)]]</f>
        <v>0</v>
      </c>
      <c r="O220" s="106" t="s">
        <v>2073</v>
      </c>
      <c r="P220" s="103">
        <f t="shared" si="4"/>
        <v>202</v>
      </c>
      <c r="Q220" s="103" t="s">
        <v>1898</v>
      </c>
      <c r="R22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485-2468</v>
      </c>
      <c r="S220" s="195" t="str">
        <f>HYPERLINK("https://www.mouser.com/ProductDetail/" &amp;MouserListTable12[[#This Row],[Mouser SKU]])</f>
        <v>https://www.mouser.com/ProductDetail/485-2468</v>
      </c>
      <c r="T220" s="121">
        <v>0</v>
      </c>
      <c r="U220" s="121">
        <v>1</v>
      </c>
      <c r="V220" s="121">
        <v>0</v>
      </c>
      <c r="W220" s="121">
        <f>MouserListTable12[[#This Row],['#/Unit]]*FilterSpecs!$C$3+MouserListTable12[[#This Row],[Extra]]</f>
        <v>1</v>
      </c>
      <c r="X220" s="121">
        <f>IF(MouserListTable12[[#This Row],[Tag]]=FilterSpecs!$F$7,MouserListTable12[[#This Row],['#/Unit]]*MouserListTable12[[#This Row],[Price (USD)]],0)</f>
        <v>0</v>
      </c>
      <c r="Y220" s="121">
        <f>MouserListTable12[[#This Row],[Tot '#]]*MouserListTable12[[#This Row],[Price (USD)]]</f>
        <v>39.950000000000003</v>
      </c>
      <c r="Z220"/>
    </row>
    <row r="221" spans="1:26" s="144" customFormat="1" hidden="1" x14ac:dyDescent="0.3">
      <c r="A221" s="103" t="s">
        <v>1070</v>
      </c>
      <c r="B221" s="103" t="s">
        <v>2065</v>
      </c>
      <c r="C221" s="103" t="s">
        <v>1906</v>
      </c>
      <c r="D221" s="106" t="str">
        <f>IF(MouserListTable12[[#This Row],[Vendor]]=FilterSpecs!$A$8,MouserListTable12[[#This Row],[Mouser SKU]], MouserListTable12[[#This Row],[Supplier SKU]])</f>
        <v>485-2505</v>
      </c>
      <c r="E221" s="121">
        <f>MouserListTable12[[#This Row],[Tot '#]]-MouserListTable12[[#This Row],['# Initial]]</f>
        <v>1</v>
      </c>
      <c r="F221" s="121">
        <f>IF(AND(MouserListTable12[[#This Row],[Tag]]&lt;&gt;FilterSpecs!$F$12, MouserListTable12[[#This Row],[Tag]]&lt;&gt;FilterSpecs!$F$9), MouserListTable12[[#This Row],['#/Unit]]*FilterSpecs!$B$3+MouserListTable12[[#This Row],[Extra Initial]],0)</f>
        <v>0</v>
      </c>
      <c r="G221" s="103"/>
      <c r="H221" s="103"/>
      <c r="I221" s="103" t="s">
        <v>2070</v>
      </c>
      <c r="J221" s="146"/>
      <c r="K221" s="157">
        <v>9</v>
      </c>
      <c r="L221" s="103" t="s">
        <v>1910</v>
      </c>
      <c r="M221" s="106"/>
      <c r="N221" s="157">
        <f>MouserListTable12[[#This Row],['# Initial]]*MouserListTable12[[#This Row],[Price (USD)]]</f>
        <v>0</v>
      </c>
      <c r="O221" s="106" t="s">
        <v>2071</v>
      </c>
      <c r="P221" s="103">
        <f t="shared" si="4"/>
        <v>203</v>
      </c>
      <c r="Q221" s="103" t="s">
        <v>1898</v>
      </c>
      <c r="R22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485-2505</v>
      </c>
      <c r="S221" s="195" t="str">
        <f>HYPERLINK("https://www.mouser.com/ProductDetail/" &amp;MouserListTable12[[#This Row],[Mouser SKU]])</f>
        <v>https://www.mouser.com/ProductDetail/485-2505</v>
      </c>
      <c r="T221" s="121">
        <v>0</v>
      </c>
      <c r="U221" s="121">
        <v>1</v>
      </c>
      <c r="V221" s="121">
        <v>0</v>
      </c>
      <c r="W221" s="121">
        <f>MouserListTable12[[#This Row],['#/Unit]]*FilterSpecs!$C$3+MouserListTable12[[#This Row],[Extra]]</f>
        <v>1</v>
      </c>
      <c r="X221" s="121">
        <f>IF(MouserListTable12[[#This Row],[Tag]]=FilterSpecs!$F$7,MouserListTable12[[#This Row],['#/Unit]]*MouserListTable12[[#This Row],[Price (USD)]],0)</f>
        <v>0</v>
      </c>
      <c r="Y221" s="121">
        <f>MouserListTable12[[#This Row],[Tot '#]]*MouserListTable12[[#This Row],[Price (USD)]]</f>
        <v>9</v>
      </c>
      <c r="Z221"/>
    </row>
    <row r="222" spans="1:26" s="144" customFormat="1" hidden="1" x14ac:dyDescent="0.3">
      <c r="A222" s="103" t="s">
        <v>1070</v>
      </c>
      <c r="B222" s="103" t="s">
        <v>2065</v>
      </c>
      <c r="C222" s="103" t="s">
        <v>1906</v>
      </c>
      <c r="D222" s="106" t="str">
        <f>IF(MouserListTable12[[#This Row],[Vendor]]=FilterSpecs!$A$8,MouserListTable12[[#This Row],[Mouser SKU]], MouserListTable12[[#This Row],[Supplier SKU]])</f>
        <v>485-1991</v>
      </c>
      <c r="E222" s="121">
        <f>MouserListTable12[[#This Row],[Tot '#]]-MouserListTable12[[#This Row],['# Initial]]</f>
        <v>1</v>
      </c>
      <c r="F222" s="121">
        <f>IF(AND(MouserListTable12[[#This Row],[Tag]]&lt;&gt;FilterSpecs!$F$12, MouserListTable12[[#This Row],[Tag]]&lt;&gt;FilterSpecs!$F$9), MouserListTable12[[#This Row],['#/Unit]]*FilterSpecs!$B$3+MouserListTable12[[#This Row],[Extra Initial]],0)</f>
        <v>0</v>
      </c>
      <c r="G222" s="103"/>
      <c r="H222" s="103"/>
      <c r="I222" s="103" t="s">
        <v>2068</v>
      </c>
      <c r="J222" s="146"/>
      <c r="K222" s="157">
        <v>2.95</v>
      </c>
      <c r="L222" s="103" t="s">
        <v>1910</v>
      </c>
      <c r="M222" s="106"/>
      <c r="N222" s="157">
        <f>MouserListTable12[[#This Row],['# Initial]]*MouserListTable12[[#This Row],[Price (USD)]]</f>
        <v>0</v>
      </c>
      <c r="O222" s="106" t="s">
        <v>2069</v>
      </c>
      <c r="P222" s="103">
        <f t="shared" si="4"/>
        <v>204</v>
      </c>
      <c r="Q222" s="103" t="s">
        <v>1898</v>
      </c>
      <c r="R22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485-1991</v>
      </c>
      <c r="S222" s="195" t="str">
        <f>HYPERLINK("https://www.mouser.com/ProductDetail/" &amp;MouserListTable12[[#This Row],[Mouser SKU]])</f>
        <v>https://www.mouser.com/ProductDetail/485-1991</v>
      </c>
      <c r="T222" s="121">
        <v>0</v>
      </c>
      <c r="U222" s="121">
        <v>1</v>
      </c>
      <c r="V222" s="121">
        <v>0</v>
      </c>
      <c r="W222" s="121">
        <f>MouserListTable12[[#This Row],['#/Unit]]*FilterSpecs!$C$3+MouserListTable12[[#This Row],[Extra]]</f>
        <v>1</v>
      </c>
      <c r="X222" s="121">
        <f>IF(MouserListTable12[[#This Row],[Tag]]=FilterSpecs!$F$7,MouserListTable12[[#This Row],['#/Unit]]*MouserListTable12[[#This Row],[Price (USD)]],0)</f>
        <v>0</v>
      </c>
      <c r="Y222" s="121">
        <f>MouserListTable12[[#This Row],[Tot '#]]*MouserListTable12[[#This Row],[Price (USD)]]</f>
        <v>2.95</v>
      </c>
      <c r="Z222"/>
    </row>
    <row r="223" spans="1:26" s="151" customFormat="1" hidden="1" x14ac:dyDescent="0.3">
      <c r="A223" s="103" t="s">
        <v>1070</v>
      </c>
      <c r="B223" s="103" t="s">
        <v>1439</v>
      </c>
      <c r="C223" s="103" t="s">
        <v>1906</v>
      </c>
      <c r="D223" s="106" t="str">
        <f>IF(MouserListTable12[[#This Row],[Vendor]]=FilterSpecs!$A$8,MouserListTable12[[#This Row],[Mouser SKU]], MouserListTable12[[#This Row],[Supplier SKU]])</f>
        <v>474-SEN-12916</v>
      </c>
      <c r="E223" s="121">
        <f>MouserListTable12[[#This Row],[Tot '#]]-MouserListTable12[[#This Row],['# Initial]]</f>
        <v>1</v>
      </c>
      <c r="F223" s="121">
        <f>IF(AND(MouserListTable12[[#This Row],[Tag]]&lt;&gt;FilterSpecs!$F$12, MouserListTable12[[#This Row],[Tag]]&lt;&gt;FilterSpecs!$F$9), MouserListTable12[[#This Row],['#/Unit]]*FilterSpecs!$B$3+MouserListTable12[[#This Row],[Extra Initial]],0)</f>
        <v>0</v>
      </c>
      <c r="G223" s="103" t="s">
        <v>1406</v>
      </c>
      <c r="H223" s="103" t="s">
        <v>1407</v>
      </c>
      <c r="I223" s="103" t="s">
        <v>1408</v>
      </c>
      <c r="J223" s="103"/>
      <c r="K223" s="157">
        <v>149.94999999999999</v>
      </c>
      <c r="L223" s="103" t="s">
        <v>1914</v>
      </c>
      <c r="M223" s="106"/>
      <c r="N223" s="157">
        <f>MouserListTable12[[#This Row],['# Initial]]*MouserListTable12[[#This Row],[Price (USD)]]</f>
        <v>0</v>
      </c>
      <c r="O223" s="106" t="s">
        <v>1405</v>
      </c>
      <c r="P223" s="103">
        <f t="shared" si="4"/>
        <v>205</v>
      </c>
      <c r="Q223" s="103" t="s">
        <v>8</v>
      </c>
      <c r="R22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474-SEN-12916</v>
      </c>
      <c r="S223" s="195" t="str">
        <f>HYPERLINK("https://www.mouser.com/ProductDetail/" &amp;MouserListTable12[[#This Row],[Mouser SKU]])</f>
        <v>https://www.mouser.com/ProductDetail/474-SEN-12916</v>
      </c>
      <c r="T223" s="121">
        <v>0</v>
      </c>
      <c r="U223" s="121">
        <v>1</v>
      </c>
      <c r="V223" s="121">
        <v>0</v>
      </c>
      <c r="W223" s="121">
        <f>MouserListTable12[[#This Row],['#/Unit]]*FilterSpecs!$C$3+MouserListTable12[[#This Row],[Extra]]</f>
        <v>1</v>
      </c>
      <c r="X223" s="121">
        <f>IF(MouserListTable12[[#This Row],[Tag]]=FilterSpecs!$F$7,MouserListTable12[[#This Row],['#/Unit]]*MouserListTable12[[#This Row],[Price (USD)]],0)</f>
        <v>0</v>
      </c>
      <c r="Y223" s="121">
        <f>MouserListTable12[[#This Row],[Tot '#]]*MouserListTable12[[#This Row],[Price (USD)]]</f>
        <v>149.94999999999999</v>
      </c>
      <c r="Z223"/>
    </row>
    <row r="224" spans="1:26" s="151" customFormat="1" hidden="1" x14ac:dyDescent="0.3">
      <c r="A224" s="103" t="s">
        <v>1070</v>
      </c>
      <c r="B224" s="152" t="s">
        <v>1014</v>
      </c>
      <c r="C224" s="103" t="s">
        <v>1906</v>
      </c>
      <c r="D224" s="106" t="str">
        <f>IF(MouserListTable12[[#This Row],[Vendor]]=FilterSpecs!$A$8,MouserListTable12[[#This Row],[Mouser SKU]], MouserListTable12[[#This Row],[Supplier SKU]])</f>
        <v>474-CAB-14043</v>
      </c>
      <c r="E224" s="121">
        <f>MouserListTable12[[#This Row],[Tot '#]]-MouserListTable12[[#This Row],['# Initial]]</f>
        <v>1</v>
      </c>
      <c r="F224" s="121">
        <f>IF(AND(MouserListTable12[[#This Row],[Tag]]&lt;&gt;FilterSpecs!$F$12, MouserListTable12[[#This Row],[Tag]]&lt;&gt;FilterSpecs!$F$9), MouserListTable12[[#This Row],['#/Unit]]*FilterSpecs!$B$3+MouserListTable12[[#This Row],[Extra Initial]],0)</f>
        <v>0</v>
      </c>
      <c r="G224" s="103" t="s">
        <v>958</v>
      </c>
      <c r="H224" s="103" t="s">
        <v>959</v>
      </c>
      <c r="I224" s="103" t="s">
        <v>960</v>
      </c>
      <c r="J224" s="103">
        <v>1</v>
      </c>
      <c r="K224" s="157">
        <v>4.95</v>
      </c>
      <c r="L224" s="103" t="s">
        <v>2487</v>
      </c>
      <c r="M224" s="103" t="s">
        <v>1065</v>
      </c>
      <c r="N224" s="157">
        <f>MouserListTable12[[#This Row],['# Initial]]*MouserListTable12[[#This Row],[Price (USD)]]</f>
        <v>0</v>
      </c>
      <c r="O224" s="106" t="s">
        <v>957</v>
      </c>
      <c r="P224" s="103">
        <f t="shared" si="4"/>
        <v>206</v>
      </c>
      <c r="Q224" s="152" t="s">
        <v>8</v>
      </c>
      <c r="R22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474-CAB-14043</v>
      </c>
      <c r="S224" s="195" t="str">
        <f>HYPERLINK("https://www.mouser.com/ProductDetail/" &amp;MouserListTable12[[#This Row],[Mouser SKU]])</f>
        <v>https://www.mouser.com/ProductDetail/474-CAB-14043</v>
      </c>
      <c r="T224" s="121">
        <v>0</v>
      </c>
      <c r="U224" s="121">
        <v>1</v>
      </c>
      <c r="V224" s="121">
        <v>0</v>
      </c>
      <c r="W224" s="121">
        <f>MouserListTable12[[#This Row],['#/Unit]]*FilterSpecs!$C$3+MouserListTable12[[#This Row],[Extra]]</f>
        <v>1</v>
      </c>
      <c r="X224" s="121">
        <f>IF(MouserListTable12[[#This Row],[Tag]]=FilterSpecs!$F$7,MouserListTable12[[#This Row],['#/Unit]]*MouserListTable12[[#This Row],[Price (USD)]],0)</f>
        <v>0</v>
      </c>
      <c r="Y224" s="121">
        <f>MouserListTable12[[#This Row],[Tot '#]]*MouserListTable12[[#This Row],[Price (USD)]]</f>
        <v>4.95</v>
      </c>
      <c r="Z224"/>
    </row>
    <row r="225" spans="1:26" s="151" customFormat="1" hidden="1" x14ac:dyDescent="0.3">
      <c r="A225" s="103" t="s">
        <v>1070</v>
      </c>
      <c r="B225" s="152" t="s">
        <v>1014</v>
      </c>
      <c r="C225" s="103" t="s">
        <v>1906</v>
      </c>
      <c r="D225" s="106" t="str">
        <f>IF(MouserListTable12[[#This Row],[Vendor]]=FilterSpecs!$A$8,MouserListTable12[[#This Row],[Mouser SKU]], MouserListTable12[[#This Row],[Supplier SKU]])</f>
        <v>474-SEN-14117</v>
      </c>
      <c r="E225" s="121">
        <f>MouserListTable12[[#This Row],[Tot '#]]-MouserListTable12[[#This Row],['# Initial]]</f>
        <v>1</v>
      </c>
      <c r="F225" s="121">
        <f>IF(AND(MouserListTable12[[#This Row],[Tag]]&lt;&gt;FilterSpecs!$F$12, MouserListTable12[[#This Row],[Tag]]&lt;&gt;FilterSpecs!$F$9), MouserListTable12[[#This Row],['#/Unit]]*FilterSpecs!$B$3+MouserListTable12[[#This Row],[Extra Initial]],0)</f>
        <v>0</v>
      </c>
      <c r="G225" s="103" t="s">
        <v>974</v>
      </c>
      <c r="H225" s="103" t="s">
        <v>975</v>
      </c>
      <c r="I225" s="103" t="s">
        <v>976</v>
      </c>
      <c r="J225" s="103">
        <v>1</v>
      </c>
      <c r="K225" s="157">
        <v>349</v>
      </c>
      <c r="L225" s="103" t="s">
        <v>1914</v>
      </c>
      <c r="M225" s="103" t="s">
        <v>1058</v>
      </c>
      <c r="N225" s="157">
        <f>MouserListTable12[[#This Row],['# Initial]]*MouserListTable12[[#This Row],[Price (USD)]]</f>
        <v>0</v>
      </c>
      <c r="O225" s="106" t="s">
        <v>973</v>
      </c>
      <c r="P225" s="103">
        <f t="shared" si="4"/>
        <v>207</v>
      </c>
      <c r="Q225" s="152" t="s">
        <v>8</v>
      </c>
      <c r="R22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474-SEN-14117</v>
      </c>
      <c r="S225" s="195" t="str">
        <f>HYPERLINK("https://www.mouser.com/ProductDetail/" &amp;MouserListTable12[[#This Row],[Mouser SKU]])</f>
        <v>https://www.mouser.com/ProductDetail/474-SEN-14117</v>
      </c>
      <c r="T225" s="121">
        <v>0</v>
      </c>
      <c r="U225" s="121">
        <v>1</v>
      </c>
      <c r="V225" s="121">
        <v>0</v>
      </c>
      <c r="W225" s="121">
        <f>MouserListTable12[[#This Row],['#/Unit]]*FilterSpecs!$C$3+MouserListTable12[[#This Row],[Extra]]</f>
        <v>1</v>
      </c>
      <c r="X225" s="121">
        <f>IF(MouserListTable12[[#This Row],[Tag]]=FilterSpecs!$F$7,MouserListTable12[[#This Row],['#/Unit]]*MouserListTable12[[#This Row],[Price (USD)]],0)</f>
        <v>0</v>
      </c>
      <c r="Y225" s="121">
        <f>MouserListTable12[[#This Row],[Tot '#]]*MouserListTable12[[#This Row],[Price (USD)]]</f>
        <v>349</v>
      </c>
      <c r="Z225"/>
    </row>
    <row r="226" spans="1:26" s="144" customFormat="1" hidden="1" x14ac:dyDescent="0.3">
      <c r="A226" s="103" t="s">
        <v>1070</v>
      </c>
      <c r="B226" s="152" t="s">
        <v>1014</v>
      </c>
      <c r="C226" s="103" t="s">
        <v>1906</v>
      </c>
      <c r="D226" s="106" t="str">
        <f>IF(MouserListTable12[[#This Row],[Vendor]]=FilterSpecs!$A$8,MouserListTable12[[#This Row],[Mouser SKU]], MouserListTable12[[#This Row],[Supplier SKU]])</f>
        <v>474-ROB-13064</v>
      </c>
      <c r="E226" s="121">
        <f>MouserListTable12[[#This Row],[Tot '#]]-MouserListTable12[[#This Row],['# Initial]]</f>
        <v>1</v>
      </c>
      <c r="F226" s="121">
        <f>IF(AND(MouserListTable12[[#This Row],[Tag]]&lt;&gt;FilterSpecs!$F$12, MouserListTable12[[#This Row],[Tag]]&lt;&gt;FilterSpecs!$F$9), MouserListTable12[[#This Row],['#/Unit]]*FilterSpecs!$B$3+MouserListTable12[[#This Row],[Extra Initial]],0)</f>
        <v>0</v>
      </c>
      <c r="G226" s="103" t="s">
        <v>1034</v>
      </c>
      <c r="H226" s="103" t="s">
        <v>1033</v>
      </c>
      <c r="I226" s="103" t="s">
        <v>1031</v>
      </c>
      <c r="J226" s="103">
        <v>1</v>
      </c>
      <c r="K226" s="157">
        <v>14.95</v>
      </c>
      <c r="L226" s="103" t="s">
        <v>1914</v>
      </c>
      <c r="M226" s="103" t="s">
        <v>1064</v>
      </c>
      <c r="N226" s="157">
        <f>MouserListTable12[[#This Row],['# Initial]]*MouserListTable12[[#This Row],[Price (USD)]]</f>
        <v>0</v>
      </c>
      <c r="O226" s="106" t="s">
        <v>1032</v>
      </c>
      <c r="P226" s="103">
        <f t="shared" si="4"/>
        <v>208</v>
      </c>
      <c r="Q226" s="152" t="s">
        <v>8</v>
      </c>
      <c r="R22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474-ROB-13064</v>
      </c>
      <c r="S226" s="195" t="str">
        <f>HYPERLINK("https://www.mouser.com/ProductDetail/" &amp;MouserListTable12[[#This Row],[Mouser SKU]])</f>
        <v>https://www.mouser.com/ProductDetail/474-ROB-13064</v>
      </c>
      <c r="T226" s="121">
        <v>0</v>
      </c>
      <c r="U226" s="121">
        <v>1</v>
      </c>
      <c r="V226" s="121">
        <v>0</v>
      </c>
      <c r="W226" s="121">
        <f>MouserListTable12[[#This Row],['#/Unit]]*FilterSpecs!$C$3+MouserListTable12[[#This Row],[Extra]]</f>
        <v>1</v>
      </c>
      <c r="X226" s="121">
        <f>IF(MouserListTable12[[#This Row],[Tag]]=FilterSpecs!$F$7,MouserListTable12[[#This Row],['#/Unit]]*MouserListTable12[[#This Row],[Price (USD)]],0)</f>
        <v>0</v>
      </c>
      <c r="Y226" s="121">
        <f>MouserListTable12[[#This Row],[Tot '#]]*MouserListTable12[[#This Row],[Price (USD)]]</f>
        <v>14.95</v>
      </c>
      <c r="Z226"/>
    </row>
    <row r="227" spans="1:26" s="151" customFormat="1" hidden="1" x14ac:dyDescent="0.3">
      <c r="A227" s="103" t="s">
        <v>1070</v>
      </c>
      <c r="B227" s="103" t="s">
        <v>993</v>
      </c>
      <c r="C227" s="103" t="s">
        <v>1906</v>
      </c>
      <c r="D227" s="106" t="str">
        <f>IF(MouserListTable12[[#This Row],[Vendor]]=FilterSpecs!$A$8,MouserListTable12[[#This Row],[Mouser SKU]], MouserListTable12[[#This Row],[Supplier SKU]])</f>
        <v>474-SEN-13284</v>
      </c>
      <c r="E227" s="121">
        <f>MouserListTable12[[#This Row],[Tot '#]]-MouserListTable12[[#This Row],['# Initial]]</f>
        <v>1</v>
      </c>
      <c r="F227" s="121">
        <f>IF(AND(MouserListTable12[[#This Row],[Tag]]&lt;&gt;FilterSpecs!$F$12, MouserListTable12[[#This Row],[Tag]]&lt;&gt;FilterSpecs!$F$9), MouserListTable12[[#This Row],['#/Unit]]*FilterSpecs!$B$3+MouserListTable12[[#This Row],[Extra Initial]],0)</f>
        <v>0</v>
      </c>
      <c r="G227" s="103" t="s">
        <v>918</v>
      </c>
      <c r="H227" s="103" t="s">
        <v>919</v>
      </c>
      <c r="I227" s="103" t="s">
        <v>920</v>
      </c>
      <c r="J227" s="103">
        <v>1</v>
      </c>
      <c r="K227" s="157">
        <v>24.95</v>
      </c>
      <c r="L227" s="103" t="s">
        <v>1914</v>
      </c>
      <c r="M227" s="103" t="s">
        <v>1059</v>
      </c>
      <c r="N227" s="157">
        <f>MouserListTable12[[#This Row],['# Initial]]*MouserListTable12[[#This Row],[Price (USD)]]</f>
        <v>0</v>
      </c>
      <c r="O227" s="106" t="s">
        <v>917</v>
      </c>
      <c r="P227" s="103">
        <f t="shared" si="4"/>
        <v>209</v>
      </c>
      <c r="Q227" s="103" t="s">
        <v>8</v>
      </c>
      <c r="R22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474-SEN-13284</v>
      </c>
      <c r="S227" s="195" t="str">
        <f>HYPERLINK("https://www.mouser.com/ProductDetail/" &amp;MouserListTable12[[#This Row],[Mouser SKU]])</f>
        <v>https://www.mouser.com/ProductDetail/474-SEN-13284</v>
      </c>
      <c r="T227" s="121">
        <v>0</v>
      </c>
      <c r="U227" s="121">
        <v>1</v>
      </c>
      <c r="V227" s="121">
        <v>0</v>
      </c>
      <c r="W227" s="121">
        <f>MouserListTable12[[#This Row],['#/Unit]]*FilterSpecs!$C$3+MouserListTable12[[#This Row],[Extra]]</f>
        <v>1</v>
      </c>
      <c r="X227" s="121">
        <f>IF(MouserListTable12[[#This Row],[Tag]]=FilterSpecs!$F$7,MouserListTable12[[#This Row],['#/Unit]]*MouserListTable12[[#This Row],[Price (USD)]],0)</f>
        <v>0</v>
      </c>
      <c r="Y227" s="121">
        <f>MouserListTable12[[#This Row],[Tot '#]]*MouserListTable12[[#This Row],[Price (USD)]]</f>
        <v>24.95</v>
      </c>
      <c r="Z227"/>
    </row>
    <row r="228" spans="1:26" s="151" customFormat="1" hidden="1" x14ac:dyDescent="0.3">
      <c r="A228" s="103" t="s">
        <v>1070</v>
      </c>
      <c r="B228" s="103" t="s">
        <v>993</v>
      </c>
      <c r="C228" s="103" t="s">
        <v>1906</v>
      </c>
      <c r="D228" s="106" t="str">
        <f>IF(MouserListTable12[[#This Row],[Vendor]]=FilterSpecs!$A$8,MouserListTable12[[#This Row],[Mouser SKU]], MouserListTable12[[#This Row],[Supplier SKU]])</f>
        <v>474-SEN-13762</v>
      </c>
      <c r="E228" s="121">
        <f>MouserListTable12[[#This Row],[Tot '#]]-MouserListTable12[[#This Row],['# Initial]]</f>
        <v>1</v>
      </c>
      <c r="F228" s="121">
        <f>IF(AND(MouserListTable12[[#This Row],[Tag]]&lt;&gt;FilterSpecs!$F$12, MouserListTable12[[#This Row],[Tag]]&lt;&gt;FilterSpecs!$F$9), MouserListTable12[[#This Row],['#/Unit]]*FilterSpecs!$B$3+MouserListTable12[[#This Row],[Extra Initial]],0)</f>
        <v>0</v>
      </c>
      <c r="G228" s="103" t="s">
        <v>922</v>
      </c>
      <c r="H228" s="103" t="s">
        <v>923</v>
      </c>
      <c r="I228" s="103" t="s">
        <v>924</v>
      </c>
      <c r="J228" s="103">
        <v>1</v>
      </c>
      <c r="K228" s="157">
        <v>14.95</v>
      </c>
      <c r="L228" s="103" t="s">
        <v>1914</v>
      </c>
      <c r="M228" s="103" t="s">
        <v>1059</v>
      </c>
      <c r="N228" s="157">
        <f>MouserListTable12[[#This Row],['# Initial]]*MouserListTable12[[#This Row],[Price (USD)]]</f>
        <v>0</v>
      </c>
      <c r="O228" s="106" t="s">
        <v>921</v>
      </c>
      <c r="P228" s="103">
        <f t="shared" si="4"/>
        <v>210</v>
      </c>
      <c r="Q228" s="103" t="s">
        <v>8</v>
      </c>
      <c r="R22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474-SEN-13762</v>
      </c>
      <c r="S228" s="195" t="str">
        <f>HYPERLINK("https://www.mouser.com/ProductDetail/" &amp;MouserListTable12[[#This Row],[Mouser SKU]])</f>
        <v>https://www.mouser.com/ProductDetail/474-SEN-13762</v>
      </c>
      <c r="T228" s="121">
        <v>0</v>
      </c>
      <c r="U228" s="121">
        <v>1</v>
      </c>
      <c r="V228" s="121">
        <v>0</v>
      </c>
      <c r="W228" s="121">
        <f>MouserListTable12[[#This Row],['#/Unit]]*FilterSpecs!$C$3+MouserListTable12[[#This Row],[Extra]]</f>
        <v>1</v>
      </c>
      <c r="X228" s="121">
        <f>IF(MouserListTable12[[#This Row],[Tag]]=FilterSpecs!$F$7,MouserListTable12[[#This Row],['#/Unit]]*MouserListTable12[[#This Row],[Price (USD)]],0)</f>
        <v>0</v>
      </c>
      <c r="Y228" s="121">
        <f>MouserListTable12[[#This Row],[Tot '#]]*MouserListTable12[[#This Row],[Price (USD)]]</f>
        <v>14.95</v>
      </c>
      <c r="Z228"/>
    </row>
    <row r="229" spans="1:26" s="151" customFormat="1" hidden="1" x14ac:dyDescent="0.3">
      <c r="A229" s="126" t="s">
        <v>1070</v>
      </c>
      <c r="B229" s="155" t="s">
        <v>2028</v>
      </c>
      <c r="C229" s="103" t="s">
        <v>1906</v>
      </c>
      <c r="D229" s="106" t="str">
        <f>IF(MouserListTable12[[#This Row],[Vendor]]=FilterSpecs!$A$8,MouserListTable12[[#This Row],[Mouser SKU]], MouserListTable12[[#This Row],[Supplier SKU]])</f>
        <v>474-LCD-12725</v>
      </c>
      <c r="E229" s="121">
        <f>MouserListTable12[[#This Row],[Tot '#]]-MouserListTable12[[#This Row],['# Initial]]</f>
        <v>0</v>
      </c>
      <c r="F229" s="121">
        <f>IF(AND(MouserListTable12[[#This Row],[Tag]]&lt;&gt;FilterSpecs!$F$12, MouserListTable12[[#This Row],[Tag]]&lt;&gt;FilterSpecs!$F$9), MouserListTable12[[#This Row],['#/Unit]]*FilterSpecs!$B$3+MouserListTable12[[#This Row],[Extra Initial]],0)</f>
        <v>0</v>
      </c>
      <c r="G229" s="103" t="s">
        <v>986</v>
      </c>
      <c r="H229" s="103" t="s">
        <v>987</v>
      </c>
      <c r="I229" s="103" t="s">
        <v>988</v>
      </c>
      <c r="J229" s="103">
        <v>1</v>
      </c>
      <c r="K229" s="157">
        <v>179.95</v>
      </c>
      <c r="L229" s="103" t="s">
        <v>1914</v>
      </c>
      <c r="M229" s="103" t="s">
        <v>1060</v>
      </c>
      <c r="N229" s="157">
        <f>MouserListTable12[[#This Row],['# Initial]]*MouserListTable12[[#This Row],[Price (USD)]]</f>
        <v>0</v>
      </c>
      <c r="O229" s="106" t="s">
        <v>985</v>
      </c>
      <c r="P229" s="103">
        <f t="shared" si="4"/>
        <v>211</v>
      </c>
      <c r="Q229" s="152" t="s">
        <v>8</v>
      </c>
      <c r="R22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474-LCD-12725</v>
      </c>
      <c r="S229" s="195" t="str">
        <f>HYPERLINK("https://www.mouser.com/ProductDetail/" &amp;MouserListTable12[[#This Row],[Mouser SKU]])</f>
        <v>https://www.mouser.com/ProductDetail/474-LCD-12725</v>
      </c>
      <c r="T229" s="121">
        <v>0</v>
      </c>
      <c r="U229" s="121">
        <v>0</v>
      </c>
      <c r="V229" s="121">
        <v>0</v>
      </c>
      <c r="W229" s="121">
        <f>MouserListTable12[[#This Row],['#/Unit]]*FilterSpecs!$C$3+MouserListTable12[[#This Row],[Extra]]</f>
        <v>0</v>
      </c>
      <c r="X229" s="121">
        <f>IF(MouserListTable12[[#This Row],[Tag]]=FilterSpecs!$F$7,MouserListTable12[[#This Row],['#/Unit]]*MouserListTable12[[#This Row],[Price (USD)]],0)</f>
        <v>0</v>
      </c>
      <c r="Y229" s="121">
        <f>MouserListTable12[[#This Row],[Tot '#]]*MouserListTable12[[#This Row],[Price (USD)]]</f>
        <v>0</v>
      </c>
      <c r="Z229"/>
    </row>
    <row r="230" spans="1:26" s="144" customFormat="1" hidden="1" x14ac:dyDescent="0.3">
      <c r="A230" s="103" t="s">
        <v>1070</v>
      </c>
      <c r="B230" s="152" t="s">
        <v>2028</v>
      </c>
      <c r="C230" s="103" t="s">
        <v>1906</v>
      </c>
      <c r="D230" s="106" t="str">
        <f>IF(MouserListTable12[[#This Row],[Vendor]]=FilterSpecs!$A$8,MouserListTable12[[#This Row],[Mouser SKU]], MouserListTable12[[#This Row],[Supplier SKU]])</f>
        <v>474-LCD-11741</v>
      </c>
      <c r="E230" s="121">
        <f>MouserListTable12[[#This Row],[Tot '#]]-MouserListTable12[[#This Row],['# Initial]]</f>
        <v>1</v>
      </c>
      <c r="F230" s="121">
        <f>IF(AND(MouserListTable12[[#This Row],[Tag]]&lt;&gt;FilterSpecs!$F$12, MouserListTable12[[#This Row],[Tag]]&lt;&gt;FilterSpecs!$F$9), MouserListTable12[[#This Row],['#/Unit]]*FilterSpecs!$B$3+MouserListTable12[[#This Row],[Extra Initial]],0)</f>
        <v>0</v>
      </c>
      <c r="G230" s="103" t="s">
        <v>1784</v>
      </c>
      <c r="H230" s="103" t="s">
        <v>1785</v>
      </c>
      <c r="I230" s="103" t="s">
        <v>1786</v>
      </c>
      <c r="J230" s="103"/>
      <c r="K230" s="157">
        <v>84.95</v>
      </c>
      <c r="L230" s="103" t="s">
        <v>1914</v>
      </c>
      <c r="M230" s="106"/>
      <c r="N230" s="157">
        <f>MouserListTable12[[#This Row],['# Initial]]*MouserListTable12[[#This Row],[Price (USD)]]</f>
        <v>0</v>
      </c>
      <c r="O230" s="106" t="s">
        <v>1783</v>
      </c>
      <c r="P230" s="103">
        <f t="shared" si="4"/>
        <v>212</v>
      </c>
      <c r="Q230" s="152" t="s">
        <v>8</v>
      </c>
      <c r="R23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474-LCD-11741</v>
      </c>
      <c r="S230" s="195" t="str">
        <f>HYPERLINK("https://www.mouser.com/ProductDetail/" &amp;MouserListTable12[[#This Row],[Mouser SKU]])</f>
        <v>https://www.mouser.com/ProductDetail/474-LCD-11741</v>
      </c>
      <c r="T230" s="121">
        <v>0</v>
      </c>
      <c r="U230" s="121">
        <v>1</v>
      </c>
      <c r="V230" s="121">
        <v>0</v>
      </c>
      <c r="W230" s="121">
        <f>MouserListTable12[[#This Row],['#/Unit]]*FilterSpecs!$C$3+MouserListTable12[[#This Row],[Extra]]</f>
        <v>1</v>
      </c>
      <c r="X230" s="121">
        <f>IF(MouserListTable12[[#This Row],[Tag]]=FilterSpecs!$F$7,MouserListTable12[[#This Row],['#/Unit]]*MouserListTable12[[#This Row],[Price (USD)]],0)</f>
        <v>0</v>
      </c>
      <c r="Y230" s="121">
        <f>MouserListTable12[[#This Row],[Tot '#]]*MouserListTable12[[#This Row],[Price (USD)]]</f>
        <v>84.95</v>
      </c>
      <c r="Z230"/>
    </row>
    <row r="231" spans="1:26" s="144" customFormat="1" hidden="1" x14ac:dyDescent="0.3">
      <c r="A231" s="126" t="s">
        <v>1070</v>
      </c>
      <c r="B231" s="155" t="s">
        <v>2028</v>
      </c>
      <c r="C231" s="103" t="s">
        <v>1906</v>
      </c>
      <c r="D231" s="106" t="str">
        <f>IF(MouserListTable12[[#This Row],[Vendor]]=FilterSpecs!$A$8,MouserListTable12[[#This Row],[Mouser SKU]], MouserListTable12[[#This Row],[Supplier SKU]])</f>
        <v>474-LCD-11677</v>
      </c>
      <c r="E231" s="121">
        <f>MouserListTable12[[#This Row],[Tot '#]]-MouserListTable12[[#This Row],['# Initial]]</f>
        <v>0</v>
      </c>
      <c r="F231" s="121">
        <f>IF(AND(MouserListTable12[[#This Row],[Tag]]&lt;&gt;FilterSpecs!$F$12, MouserListTable12[[#This Row],[Tag]]&lt;&gt;FilterSpecs!$F$9), MouserListTable12[[#This Row],['#/Unit]]*FilterSpecs!$B$3+MouserListTable12[[#This Row],[Extra Initial]],0)</f>
        <v>0</v>
      </c>
      <c r="G231" s="103" t="s">
        <v>1748</v>
      </c>
      <c r="H231" s="103" t="s">
        <v>1749</v>
      </c>
      <c r="I231" s="103" t="s">
        <v>1750</v>
      </c>
      <c r="J231" s="103">
        <v>1</v>
      </c>
      <c r="K231" s="157">
        <v>84.95</v>
      </c>
      <c r="L231" s="103" t="s">
        <v>1914</v>
      </c>
      <c r="M231" s="146"/>
      <c r="N231" s="157">
        <f>MouserListTable12[[#This Row],['# Initial]]*MouserListTable12[[#This Row],[Price (USD)]]</f>
        <v>0</v>
      </c>
      <c r="O231" s="106" t="s">
        <v>1747</v>
      </c>
      <c r="P231" s="103">
        <f t="shared" si="4"/>
        <v>213</v>
      </c>
      <c r="Q231" s="152" t="s">
        <v>8</v>
      </c>
      <c r="R23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474-LCD-11677</v>
      </c>
      <c r="S231" s="195" t="str">
        <f>HYPERLINK("https://www.mouser.com/ProductDetail/" &amp;MouserListTable12[[#This Row],[Mouser SKU]])</f>
        <v>https://www.mouser.com/ProductDetail/474-LCD-11677</v>
      </c>
      <c r="T231" s="121">
        <v>0</v>
      </c>
      <c r="U231" s="121">
        <v>0</v>
      </c>
      <c r="V231" s="121">
        <v>0</v>
      </c>
      <c r="W231" s="121">
        <f>MouserListTable12[[#This Row],['#/Unit]]*FilterSpecs!$C$3+MouserListTable12[[#This Row],[Extra]]</f>
        <v>0</v>
      </c>
      <c r="X231" s="121">
        <f>IF(MouserListTable12[[#This Row],[Tag]]=FilterSpecs!$F$7,MouserListTable12[[#This Row],['#/Unit]]*MouserListTable12[[#This Row],[Price (USD)]],0)</f>
        <v>0</v>
      </c>
      <c r="Y231" s="121">
        <f>MouserListTable12[[#This Row],[Tot '#]]*MouserListTable12[[#This Row],[Price (USD)]]</f>
        <v>0</v>
      </c>
      <c r="Z231"/>
    </row>
    <row r="232" spans="1:26" s="144" customFormat="1" hidden="1" x14ac:dyDescent="0.3">
      <c r="A232" s="126" t="s">
        <v>1070</v>
      </c>
      <c r="B232" s="155" t="s">
        <v>2028</v>
      </c>
      <c r="C232" s="103" t="s">
        <v>1906</v>
      </c>
      <c r="D232" s="106" t="str">
        <f>IF(MouserListTable12[[#This Row],[Vendor]]=FilterSpecs!$A$8,MouserListTable12[[#This Row],[Mouser SKU]], MouserListTable12[[#This Row],[Supplier SKU]])</f>
        <v>485-2090</v>
      </c>
      <c r="E232" s="121">
        <f>MouserListTable12[[#This Row],[Tot '#]]-MouserListTable12[[#This Row],['# Initial]]</f>
        <v>0</v>
      </c>
      <c r="F232" s="121">
        <f>IF(AND(MouserListTable12[[#This Row],[Tag]]&lt;&gt;FilterSpecs!$F$12, MouserListTable12[[#This Row],[Tag]]&lt;&gt;FilterSpecs!$F$9), MouserListTable12[[#This Row],['#/Unit]]*FilterSpecs!$B$3+MouserListTable12[[#This Row],[Extra Initial]],0)</f>
        <v>0</v>
      </c>
      <c r="G232" s="103"/>
      <c r="H232" s="103"/>
      <c r="I232" s="103" t="s">
        <v>2097</v>
      </c>
      <c r="J232" s="103"/>
      <c r="K232" s="157">
        <v>39.950000000000003</v>
      </c>
      <c r="L232" s="103" t="s">
        <v>1910</v>
      </c>
      <c r="M232" s="146"/>
      <c r="N232" s="157">
        <f>MouserListTable12[[#This Row],['# Initial]]*MouserListTable12[[#This Row],[Price (USD)]]</f>
        <v>0</v>
      </c>
      <c r="O232" s="106" t="s">
        <v>2096</v>
      </c>
      <c r="P232" s="103">
        <f t="shared" si="4"/>
        <v>214</v>
      </c>
      <c r="Q232" s="152" t="s">
        <v>1898</v>
      </c>
      <c r="R23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485-2090</v>
      </c>
      <c r="S232" s="195" t="str">
        <f>HYPERLINK("https://www.mouser.com/ProductDetail/" &amp;MouserListTable12[[#This Row],[Mouser SKU]])</f>
        <v>https://www.mouser.com/ProductDetail/485-2090</v>
      </c>
      <c r="T232" s="121">
        <v>0</v>
      </c>
      <c r="U232" s="121">
        <v>0</v>
      </c>
      <c r="V232" s="121">
        <v>0</v>
      </c>
      <c r="W232" s="121">
        <f>MouserListTable12[[#This Row],['#/Unit]]*FilterSpecs!$C$3+MouserListTable12[[#This Row],[Extra]]</f>
        <v>0</v>
      </c>
      <c r="X232" s="121">
        <f>IF(MouserListTable12[[#This Row],[Tag]]=FilterSpecs!$F$7,MouserListTable12[[#This Row],['#/Unit]]*MouserListTable12[[#This Row],[Price (USD)]],0)</f>
        <v>0</v>
      </c>
      <c r="Y232" s="121">
        <f>MouserListTable12[[#This Row],[Tot '#]]*MouserListTable12[[#This Row],[Price (USD)]]</f>
        <v>0</v>
      </c>
      <c r="Z232"/>
    </row>
    <row r="233" spans="1:26" s="144" customFormat="1" hidden="1" x14ac:dyDescent="0.3">
      <c r="A233" s="103" t="s">
        <v>1070</v>
      </c>
      <c r="B233" s="155" t="s">
        <v>2028</v>
      </c>
      <c r="C233" s="103" t="s">
        <v>1906</v>
      </c>
      <c r="D233" s="106" t="str">
        <f>IF(MouserListTable12[[#This Row],[Vendor]]=FilterSpecs!$A$8,MouserListTable12[[#This Row],[Mouser SKU]], MouserListTable12[[#This Row],[Supplier SKU]])</f>
        <v>485-1947</v>
      </c>
      <c r="E233" s="121">
        <f>MouserListTable12[[#This Row],[Tot '#]]-MouserListTable12[[#This Row],['# Initial]]</f>
        <v>0</v>
      </c>
      <c r="F233" s="121">
        <f>IF(AND(MouserListTable12[[#This Row],[Tag]]&lt;&gt;FilterSpecs!$F$12, MouserListTable12[[#This Row],[Tag]]&lt;&gt;FilterSpecs!$F$9), MouserListTable12[[#This Row],['#/Unit]]*FilterSpecs!$B$3+MouserListTable12[[#This Row],[Extra Initial]],0)</f>
        <v>0</v>
      </c>
      <c r="G233" s="103"/>
      <c r="H233" s="103"/>
      <c r="I233" s="126" t="s">
        <v>2099</v>
      </c>
      <c r="J233" s="146"/>
      <c r="K233" s="158">
        <v>44.95</v>
      </c>
      <c r="L233" s="126" t="s">
        <v>1910</v>
      </c>
      <c r="M233" s="146"/>
      <c r="N233" s="157">
        <f>MouserListTable12[[#This Row],['# Initial]]*MouserListTable12[[#This Row],[Price (USD)]]</f>
        <v>0</v>
      </c>
      <c r="O233" s="106" t="s">
        <v>2098</v>
      </c>
      <c r="P233" s="103">
        <f t="shared" si="4"/>
        <v>215</v>
      </c>
      <c r="Q233" s="103" t="s">
        <v>1898</v>
      </c>
      <c r="R23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485-1947</v>
      </c>
      <c r="S233" s="195" t="str">
        <f>HYPERLINK("https://www.mouser.com/ProductDetail/" &amp;MouserListTable12[[#This Row],[Mouser SKU]])</f>
        <v>https://www.mouser.com/ProductDetail/485-1947</v>
      </c>
      <c r="T233" s="121">
        <v>0</v>
      </c>
      <c r="U233" s="121">
        <v>0</v>
      </c>
      <c r="V233" s="121">
        <v>0</v>
      </c>
      <c r="W233" s="121">
        <f>MouserListTable12[[#This Row],['#/Unit]]*FilterSpecs!$C$3+MouserListTable12[[#This Row],[Extra]]</f>
        <v>0</v>
      </c>
      <c r="X233" s="121">
        <f>IF(MouserListTable12[[#This Row],[Tag]]=FilterSpecs!$F$7,MouserListTable12[[#This Row],['#/Unit]]*MouserListTable12[[#This Row],[Price (USD)]],0)</f>
        <v>0</v>
      </c>
      <c r="Y233" s="121">
        <f>MouserListTable12[[#This Row],[Tot '#]]*MouserListTable12[[#This Row],[Price (USD)]]</f>
        <v>0</v>
      </c>
      <c r="Z233"/>
    </row>
    <row r="234" spans="1:26" s="146" customFormat="1" hidden="1" x14ac:dyDescent="0.3">
      <c r="A234" s="103" t="s">
        <v>1070</v>
      </c>
      <c r="B234" s="152" t="s">
        <v>2028</v>
      </c>
      <c r="C234" s="103" t="s">
        <v>1906</v>
      </c>
      <c r="D234" s="106" t="str">
        <f>IF(MouserListTable12[[#This Row],[Vendor]]=FilterSpecs!$A$8,MouserListTable12[[#This Row],[Mouser SKU]], MouserListTable12[[#This Row],[Supplier SKU]])</f>
        <v>474-DEV-11814</v>
      </c>
      <c r="E234" s="121">
        <f>MouserListTable12[[#This Row],[Tot '#]]-MouserListTable12[[#This Row],['# Initial]]</f>
        <v>1</v>
      </c>
      <c r="F234" s="121">
        <f>IF(AND(MouserListTable12[[#This Row],[Tag]]&lt;&gt;FilterSpecs!$F$12, MouserListTable12[[#This Row],[Tag]]&lt;&gt;FilterSpecs!$F$9), MouserListTable12[[#This Row],['#/Unit]]*FilterSpecs!$B$3+MouserListTable12[[#This Row],[Extra Initial]],0)</f>
        <v>0</v>
      </c>
      <c r="G234" s="103" t="s">
        <v>1744</v>
      </c>
      <c r="H234" s="103" t="s">
        <v>1745</v>
      </c>
      <c r="I234" s="103" t="s">
        <v>1746</v>
      </c>
      <c r="J234" s="146">
        <v>1</v>
      </c>
      <c r="K234" s="157">
        <v>24.95</v>
      </c>
      <c r="L234" s="103" t="s">
        <v>1914</v>
      </c>
      <c r="M234" s="106"/>
      <c r="N234" s="157">
        <f>MouserListTable12[[#This Row],['# Initial]]*MouserListTable12[[#This Row],[Price (USD)]]</f>
        <v>0</v>
      </c>
      <c r="O234" s="106" t="s">
        <v>1743</v>
      </c>
      <c r="P234" s="103">
        <f t="shared" si="4"/>
        <v>216</v>
      </c>
      <c r="Q234" s="103" t="s">
        <v>8</v>
      </c>
      <c r="R23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474-DEV-11814</v>
      </c>
      <c r="S234" s="195" t="str">
        <f>HYPERLINK("https://www.mouser.com/ProductDetail/" &amp;MouserListTable12[[#This Row],[Mouser SKU]])</f>
        <v>https://www.mouser.com/ProductDetail/474-DEV-11814</v>
      </c>
      <c r="T234" s="121">
        <v>0</v>
      </c>
      <c r="U234" s="121">
        <v>1</v>
      </c>
      <c r="V234" s="121">
        <v>0</v>
      </c>
      <c r="W234" s="121">
        <f>MouserListTable12[[#This Row],['#/Unit]]*FilterSpecs!$C$3+MouserListTable12[[#This Row],[Extra]]</f>
        <v>1</v>
      </c>
      <c r="X234" s="121">
        <f>IF(MouserListTable12[[#This Row],[Tag]]=FilterSpecs!$F$7,MouserListTable12[[#This Row],['#/Unit]]*MouserListTable12[[#This Row],[Price (USD)]],0)</f>
        <v>0</v>
      </c>
      <c r="Y234" s="121">
        <f>MouserListTable12[[#This Row],[Tot '#]]*MouserListTable12[[#This Row],[Price (USD)]]</f>
        <v>24.95</v>
      </c>
      <c r="Z234"/>
    </row>
    <row r="235" spans="1:26" s="146" customFormat="1" hidden="1" x14ac:dyDescent="0.3">
      <c r="A235" s="103" t="s">
        <v>1070</v>
      </c>
      <c r="B235" s="152" t="s">
        <v>1071</v>
      </c>
      <c r="C235" s="103" t="s">
        <v>1906</v>
      </c>
      <c r="D235" s="106" t="str">
        <f>IF(MouserListTable12[[#This Row],[Vendor]]=FilterSpecs!$A$8,MouserListTable12[[#This Row],[Mouser SKU]], MouserListTable12[[#This Row],[Supplier SKU]])</f>
        <v>474-DEV-14022</v>
      </c>
      <c r="E235" s="121">
        <f>MouserListTable12[[#This Row],[Tot '#]]-MouserListTable12[[#This Row],['# Initial]]</f>
        <v>1</v>
      </c>
      <c r="F235" s="121">
        <f>IF(AND(MouserListTable12[[#This Row],[Tag]]&lt;&gt;FilterSpecs!$F$12, MouserListTable12[[#This Row],[Tag]]&lt;&gt;FilterSpecs!$F$9), MouserListTable12[[#This Row],['#/Unit]]*FilterSpecs!$B$3+MouserListTable12[[#This Row],[Extra Initial]],0)</f>
        <v>0</v>
      </c>
      <c r="G235" s="103" t="s">
        <v>982</v>
      </c>
      <c r="H235" s="103" t="s">
        <v>983</v>
      </c>
      <c r="I235" s="103" t="s">
        <v>984</v>
      </c>
      <c r="J235" s="103"/>
      <c r="K235" s="157">
        <v>209.95</v>
      </c>
      <c r="L235" s="103" t="s">
        <v>1914</v>
      </c>
      <c r="M235" s="103" t="s">
        <v>1062</v>
      </c>
      <c r="N235" s="157">
        <f>MouserListTable12[[#This Row],['# Initial]]*MouserListTable12[[#This Row],[Price (USD)]]</f>
        <v>0</v>
      </c>
      <c r="O235" s="106" t="s">
        <v>981</v>
      </c>
      <c r="P235" s="103">
        <f t="shared" si="4"/>
        <v>217</v>
      </c>
      <c r="Q235" s="152" t="s">
        <v>8</v>
      </c>
      <c r="R23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474-DEV-14022</v>
      </c>
      <c r="S235" s="195" t="str">
        <f>HYPERLINK("https://www.mouser.com/ProductDetail/" &amp;MouserListTable12[[#This Row],[Mouser SKU]])</f>
        <v>https://www.mouser.com/ProductDetail/474-DEV-14022</v>
      </c>
      <c r="T235" s="121">
        <v>0</v>
      </c>
      <c r="U235" s="121">
        <v>1</v>
      </c>
      <c r="V235" s="121">
        <v>0</v>
      </c>
      <c r="W235" s="121">
        <f>MouserListTable12[[#This Row],['#/Unit]]*FilterSpecs!$C$3+MouserListTable12[[#This Row],[Extra]]</f>
        <v>1</v>
      </c>
      <c r="X235" s="121">
        <f>IF(MouserListTable12[[#This Row],[Tag]]=FilterSpecs!$F$7,MouserListTable12[[#This Row],['#/Unit]]*MouserListTable12[[#This Row],[Price (USD)]],0)</f>
        <v>0</v>
      </c>
      <c r="Y235" s="121">
        <f>MouserListTable12[[#This Row],[Tot '#]]*MouserListTable12[[#This Row],[Price (USD)]]</f>
        <v>209.95</v>
      </c>
      <c r="Z235"/>
    </row>
    <row r="236" spans="1:26" s="146" customFormat="1" hidden="1" x14ac:dyDescent="0.3">
      <c r="A236" s="103" t="s">
        <v>1070</v>
      </c>
      <c r="B236" s="152" t="s">
        <v>1437</v>
      </c>
      <c r="C236" s="103" t="s">
        <v>1906</v>
      </c>
      <c r="D236" s="106" t="str">
        <f>IF(MouserListTable12[[#This Row],[Vendor]]=FilterSpecs!$A$8,MouserListTable12[[#This Row],[Mouser SKU]], MouserListTable12[[#This Row],[Supplier SKU]])</f>
        <v>474-COM-13316</v>
      </c>
      <c r="E236" s="121">
        <f>MouserListTable12[[#This Row],[Tot '#]]-MouserListTable12[[#This Row],['# Initial]]</f>
        <v>1</v>
      </c>
      <c r="F236" s="121">
        <f>IF(AND(MouserListTable12[[#This Row],[Tag]]&lt;&gt;FilterSpecs!$F$12, MouserListTable12[[#This Row],[Tag]]&lt;&gt;FilterSpecs!$F$9), MouserListTable12[[#This Row],['#/Unit]]*FilterSpecs!$B$3+MouserListTable12[[#This Row],[Extra Initial]],0)</f>
        <v>0</v>
      </c>
      <c r="G236" s="103" t="s">
        <v>978</v>
      </c>
      <c r="H236" s="103" t="s">
        <v>979</v>
      </c>
      <c r="I236" s="103" t="s">
        <v>980</v>
      </c>
      <c r="J236" s="103">
        <v>1</v>
      </c>
      <c r="K236" s="157">
        <v>49.95</v>
      </c>
      <c r="L236" s="103" t="s">
        <v>1910</v>
      </c>
      <c r="M236" s="103" t="s">
        <v>1061</v>
      </c>
      <c r="N236" s="157">
        <f>MouserListTable12[[#This Row],['# Initial]]*MouserListTable12[[#This Row],[Price (USD)]]</f>
        <v>0</v>
      </c>
      <c r="O236" s="106" t="s">
        <v>977</v>
      </c>
      <c r="P236" s="103">
        <f t="shared" si="4"/>
        <v>218</v>
      </c>
      <c r="Q236" s="152" t="s">
        <v>8</v>
      </c>
      <c r="R23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474-COM-13316</v>
      </c>
      <c r="S236" s="195" t="str">
        <f>HYPERLINK("https://www.mouser.com/ProductDetail/" &amp;MouserListTable12[[#This Row],[Mouser SKU]])</f>
        <v>https://www.mouser.com/ProductDetail/474-COM-13316</v>
      </c>
      <c r="T236" s="121">
        <v>0</v>
      </c>
      <c r="U236" s="121">
        <v>1</v>
      </c>
      <c r="V236" s="121">
        <v>0</v>
      </c>
      <c r="W236" s="121">
        <f>MouserListTable12[[#This Row],['#/Unit]]*FilterSpecs!$C$3+MouserListTable12[[#This Row],[Extra]]</f>
        <v>1</v>
      </c>
      <c r="X236" s="121">
        <f>IF(MouserListTable12[[#This Row],[Tag]]=FilterSpecs!$F$7,MouserListTable12[[#This Row],['#/Unit]]*MouserListTable12[[#This Row],[Price (USD)]],0)</f>
        <v>0</v>
      </c>
      <c r="Y236" s="121">
        <f>MouserListTable12[[#This Row],[Tot '#]]*MouserListTable12[[#This Row],[Price (USD)]]</f>
        <v>49.95</v>
      </c>
      <c r="Z236"/>
    </row>
    <row r="237" spans="1:26" s="146" customFormat="1" hidden="1" x14ac:dyDescent="0.3">
      <c r="A237" s="103" t="s">
        <v>1070</v>
      </c>
      <c r="B237" s="103" t="s">
        <v>2023</v>
      </c>
      <c r="C237" s="103" t="s">
        <v>1906</v>
      </c>
      <c r="D237" s="106" t="str">
        <f>IF(MouserListTable12[[#This Row],[Vendor]]=FilterSpecs!$A$8,MouserListTable12[[#This Row],[Mouser SKU]], MouserListTable12[[#This Row],[Supplier SKU]])</f>
        <v>485-1407</v>
      </c>
      <c r="E237" s="121">
        <f>MouserListTable12[[#This Row],[Tot '#]]-MouserListTable12[[#This Row],['# Initial]]</f>
        <v>0</v>
      </c>
      <c r="F237" s="121">
        <f>IF(AND(MouserListTable12[[#This Row],[Tag]]&lt;&gt;FilterSpecs!$F$12, MouserListTable12[[#This Row],[Tag]]&lt;&gt;FilterSpecs!$F$9), MouserListTable12[[#This Row],['#/Unit]]*FilterSpecs!$B$3+MouserListTable12[[#This Row],[Extra Initial]],0)</f>
        <v>0</v>
      </c>
      <c r="G237" s="103"/>
      <c r="H237" s="103"/>
      <c r="I237" s="126" t="s">
        <v>2349</v>
      </c>
      <c r="K237" s="158">
        <v>9.9499999999999993</v>
      </c>
      <c r="L237" s="126" t="s">
        <v>1910</v>
      </c>
      <c r="N237" s="157">
        <f>MouserListTable12[[#This Row],['# Initial]]*MouserListTable12[[#This Row],[Price (USD)]]</f>
        <v>0</v>
      </c>
      <c r="O237" s="106" t="s">
        <v>2348</v>
      </c>
      <c r="P237" s="103">
        <f t="shared" si="4"/>
        <v>219</v>
      </c>
      <c r="Q237" s="103" t="s">
        <v>1898</v>
      </c>
      <c r="R23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485-1407</v>
      </c>
      <c r="S237" s="195" t="str">
        <f>HYPERLINK("https://www.mouser.com/ProductDetail/" &amp;MouserListTable12[[#This Row],[Mouser SKU]])</f>
        <v>https://www.mouser.com/ProductDetail/485-1407</v>
      </c>
      <c r="T237" s="121">
        <v>0</v>
      </c>
      <c r="U237" s="121">
        <v>0</v>
      </c>
      <c r="V237" s="121">
        <v>0</v>
      </c>
      <c r="W237" s="121">
        <f>MouserListTable12[[#This Row],['#/Unit]]*FilterSpecs!$C$3+MouserListTable12[[#This Row],[Extra]]</f>
        <v>0</v>
      </c>
      <c r="X237" s="121">
        <f>IF(MouserListTable12[[#This Row],[Tag]]=FilterSpecs!$F$7,MouserListTable12[[#This Row],['#/Unit]]*MouserListTable12[[#This Row],[Price (USD)]],0)</f>
        <v>0</v>
      </c>
      <c r="Y237" s="121">
        <f>MouserListTable12[[#This Row],[Tot '#]]*MouserListTable12[[#This Row],[Price (USD)]]</f>
        <v>0</v>
      </c>
      <c r="Z237"/>
    </row>
    <row r="238" spans="1:26" s="146" customFormat="1" hidden="1" x14ac:dyDescent="0.3">
      <c r="A238" s="103" t="s">
        <v>1070</v>
      </c>
      <c r="B238" s="103" t="s">
        <v>2023</v>
      </c>
      <c r="C238" s="103" t="s">
        <v>1906</v>
      </c>
      <c r="D238" s="106" t="str">
        <f>IF(MouserListTable12[[#This Row],[Vendor]]=FilterSpecs!$A$8,MouserListTable12[[#This Row],[Mouser SKU]], MouserListTable12[[#This Row],[Supplier SKU]])</f>
        <v>485-2116</v>
      </c>
      <c r="E238" s="121">
        <f>MouserListTable12[[#This Row],[Tot '#]]-MouserListTable12[[#This Row],['# Initial]]</f>
        <v>0</v>
      </c>
      <c r="F238" s="121">
        <f>IF(AND(MouserListTable12[[#This Row],[Tag]]&lt;&gt;FilterSpecs!$F$12, MouserListTable12[[#This Row],[Tag]]&lt;&gt;FilterSpecs!$F$9), MouserListTable12[[#This Row],['#/Unit]]*FilterSpecs!$B$3+MouserListTable12[[#This Row],[Extra Initial]],0)</f>
        <v>0</v>
      </c>
      <c r="G238" s="103"/>
      <c r="H238" s="103"/>
      <c r="I238" s="126" t="s">
        <v>2351</v>
      </c>
      <c r="K238" s="158">
        <v>24.95</v>
      </c>
      <c r="L238" s="126" t="s">
        <v>1910</v>
      </c>
      <c r="N238" s="157">
        <f>MouserListTable12[[#This Row],['# Initial]]*MouserListTable12[[#This Row],[Price (USD)]]</f>
        <v>0</v>
      </c>
      <c r="O238" s="106" t="s">
        <v>2350</v>
      </c>
      <c r="P238" s="103">
        <f t="shared" si="4"/>
        <v>220</v>
      </c>
      <c r="Q238" s="103" t="s">
        <v>1898</v>
      </c>
      <c r="R23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485-2116</v>
      </c>
      <c r="S238" s="195" t="str">
        <f>HYPERLINK("https://www.mouser.com/ProductDetail/" &amp;MouserListTable12[[#This Row],[Mouser SKU]])</f>
        <v>https://www.mouser.com/ProductDetail/485-2116</v>
      </c>
      <c r="T238" s="121">
        <v>0</v>
      </c>
      <c r="U238" s="121">
        <v>0</v>
      </c>
      <c r="V238" s="121">
        <v>0</v>
      </c>
      <c r="W238" s="121">
        <f>MouserListTable12[[#This Row],['#/Unit]]*FilterSpecs!$C$3+MouserListTable12[[#This Row],[Extra]]</f>
        <v>0</v>
      </c>
      <c r="X238" s="121">
        <f>IF(MouserListTable12[[#This Row],[Tag]]=FilterSpecs!$F$7,MouserListTable12[[#This Row],['#/Unit]]*MouserListTable12[[#This Row],[Price (USD)]],0)</f>
        <v>0</v>
      </c>
      <c r="Y238" s="121">
        <f>MouserListTable12[[#This Row],[Tot '#]]*MouserListTable12[[#This Row],[Price (USD)]]</f>
        <v>0</v>
      </c>
      <c r="Z238"/>
    </row>
    <row r="239" spans="1:26" s="146" customFormat="1" hidden="1" x14ac:dyDescent="0.3">
      <c r="A239" s="103" t="s">
        <v>1070</v>
      </c>
      <c r="B239" s="103" t="s">
        <v>2023</v>
      </c>
      <c r="C239" s="103" t="s">
        <v>1906</v>
      </c>
      <c r="D239" s="106" t="str">
        <f>IF(MouserListTable12[[#This Row],[Vendor]]=FilterSpecs!$A$8,MouserListTable12[[#This Row],[Mouser SKU]], MouserListTable12[[#This Row],[Supplier SKU]])</f>
        <v>485-2162</v>
      </c>
      <c r="E239" s="121">
        <f>MouserListTable12[[#This Row],[Tot '#]]-MouserListTable12[[#This Row],['# Initial]]</f>
        <v>0</v>
      </c>
      <c r="F239" s="121">
        <f>IF(AND(MouserListTable12[[#This Row],[Tag]]&lt;&gt;FilterSpecs!$F$12, MouserListTable12[[#This Row],[Tag]]&lt;&gt;FilterSpecs!$F$9), MouserListTable12[[#This Row],['#/Unit]]*FilterSpecs!$B$3+MouserListTable12[[#This Row],[Extra Initial]],0)</f>
        <v>0</v>
      </c>
      <c r="G239" s="103"/>
      <c r="H239" s="103"/>
      <c r="I239" s="126" t="s">
        <v>2353</v>
      </c>
      <c r="K239" s="158">
        <v>26.95</v>
      </c>
      <c r="L239" s="126" t="s">
        <v>1913</v>
      </c>
      <c r="N239" s="157">
        <f>MouserListTable12[[#This Row],['# Initial]]*MouserListTable12[[#This Row],[Price (USD)]]</f>
        <v>0</v>
      </c>
      <c r="O239" s="106" t="s">
        <v>2352</v>
      </c>
      <c r="P239" s="103">
        <f t="shared" si="4"/>
        <v>221</v>
      </c>
      <c r="Q239" s="103" t="s">
        <v>1898</v>
      </c>
      <c r="R23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485-2162</v>
      </c>
      <c r="S239" s="195" t="str">
        <f>HYPERLINK("https://www.mouser.com/ProductDetail/" &amp;MouserListTable12[[#This Row],[Mouser SKU]])</f>
        <v>https://www.mouser.com/ProductDetail/485-2162</v>
      </c>
      <c r="T239" s="121">
        <v>0</v>
      </c>
      <c r="U239" s="121">
        <v>0</v>
      </c>
      <c r="V239" s="121">
        <v>0</v>
      </c>
      <c r="W239" s="121">
        <f>MouserListTable12[[#This Row],['#/Unit]]*FilterSpecs!$C$3+MouserListTable12[[#This Row],[Extra]]</f>
        <v>0</v>
      </c>
      <c r="X239" s="121">
        <f>IF(MouserListTable12[[#This Row],[Tag]]=FilterSpecs!$F$7,MouserListTable12[[#This Row],['#/Unit]]*MouserListTable12[[#This Row],[Price (USD)]],0)</f>
        <v>0</v>
      </c>
      <c r="Y239" s="121">
        <f>MouserListTable12[[#This Row],[Tot '#]]*MouserListTable12[[#This Row],[Price (USD)]]</f>
        <v>0</v>
      </c>
      <c r="Z239"/>
    </row>
    <row r="240" spans="1:26" s="146" customFormat="1" hidden="1" x14ac:dyDescent="0.3">
      <c r="A240" s="103" t="s">
        <v>1070</v>
      </c>
      <c r="B240" s="103" t="s">
        <v>2023</v>
      </c>
      <c r="C240" s="103" t="s">
        <v>1906</v>
      </c>
      <c r="D240" s="106" t="str">
        <f>IF(MouserListTable12[[#This Row],[Vendor]]=FilterSpecs!$A$8,MouserListTable12[[#This Row],[Mouser SKU]], MouserListTable12[[#This Row],[Supplier SKU]])</f>
        <v>485-1901</v>
      </c>
      <c r="E240" s="121">
        <f>MouserListTable12[[#This Row],[Tot '#]]-MouserListTable12[[#This Row],['# Initial]]</f>
        <v>0</v>
      </c>
      <c r="F240" s="121">
        <f>IF(AND(MouserListTable12[[#This Row],[Tag]]&lt;&gt;FilterSpecs!$F$12, MouserListTable12[[#This Row],[Tag]]&lt;&gt;FilterSpecs!$F$9), MouserListTable12[[#This Row],['#/Unit]]*FilterSpecs!$B$3+MouserListTable12[[#This Row],[Extra Initial]],0)</f>
        <v>0</v>
      </c>
      <c r="G240" s="103"/>
      <c r="H240" s="103"/>
      <c r="I240" s="126" t="s">
        <v>2355</v>
      </c>
      <c r="K240" s="158">
        <v>14.95</v>
      </c>
      <c r="L240" s="126" t="s">
        <v>1910</v>
      </c>
      <c r="N240" s="157">
        <f>MouserListTable12[[#This Row],['# Initial]]*MouserListTable12[[#This Row],[Price (USD)]]</f>
        <v>0</v>
      </c>
      <c r="O240" s="106" t="s">
        <v>2354</v>
      </c>
      <c r="P240" s="103">
        <f t="shared" si="4"/>
        <v>222</v>
      </c>
      <c r="Q240" s="103" t="s">
        <v>1898</v>
      </c>
      <c r="R24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485-1901</v>
      </c>
      <c r="S240" s="195" t="str">
        <f>HYPERLINK("https://www.mouser.com/ProductDetail/" &amp;MouserListTable12[[#This Row],[Mouser SKU]])</f>
        <v>https://www.mouser.com/ProductDetail/485-1901</v>
      </c>
      <c r="T240" s="121">
        <v>0</v>
      </c>
      <c r="U240" s="121">
        <v>0</v>
      </c>
      <c r="V240" s="121">
        <v>0</v>
      </c>
      <c r="W240" s="121">
        <f>MouserListTable12[[#This Row],['#/Unit]]*FilterSpecs!$C$3+MouserListTable12[[#This Row],[Extra]]</f>
        <v>0</v>
      </c>
      <c r="X240" s="121">
        <f>IF(MouserListTable12[[#This Row],[Tag]]=FilterSpecs!$F$7,MouserListTable12[[#This Row],['#/Unit]]*MouserListTable12[[#This Row],[Price (USD)]],0)</f>
        <v>0</v>
      </c>
      <c r="Y240" s="121">
        <f>MouserListTable12[[#This Row],[Tot '#]]*MouserListTable12[[#This Row],[Price (USD)]]</f>
        <v>0</v>
      </c>
      <c r="Z240"/>
    </row>
    <row r="241" spans="1:26" s="146" customFormat="1" hidden="1" x14ac:dyDescent="0.3">
      <c r="A241" s="103" t="s">
        <v>1046</v>
      </c>
      <c r="B241" s="103" t="s">
        <v>1068</v>
      </c>
      <c r="C241" s="103" t="s">
        <v>1906</v>
      </c>
      <c r="D241" s="106" t="str">
        <f>IF(MouserListTable12[[#This Row],[Vendor]]=FilterSpecs!$A$8,MouserListTable12[[#This Row],[Mouser SKU]], MouserListTable12[[#This Row],[Supplier SKU]])</f>
        <v>474-DEV-14135</v>
      </c>
      <c r="E241" s="121">
        <f>MouserListTable12[[#This Row],[Tot '#]]-MouserListTable12[[#This Row],['# Initial]]</f>
        <v>1</v>
      </c>
      <c r="F241" s="121">
        <f>IF(AND(MouserListTable12[[#This Row],[Tag]]&lt;&gt;FilterSpecs!$F$12, MouserListTable12[[#This Row],[Tag]]&lt;&gt;FilterSpecs!$F$9), MouserListTable12[[#This Row],['#/Unit]]*FilterSpecs!$B$3+MouserListTable12[[#This Row],[Extra Initial]],0)</f>
        <v>0</v>
      </c>
      <c r="G241" s="103" t="s">
        <v>360</v>
      </c>
      <c r="H241" s="103" t="s">
        <v>361</v>
      </c>
      <c r="I241" s="103" t="s">
        <v>362</v>
      </c>
      <c r="J241" s="103">
        <v>1</v>
      </c>
      <c r="K241" s="157">
        <v>94.95</v>
      </c>
      <c r="L241" s="103" t="s">
        <v>2487</v>
      </c>
      <c r="M241" s="103" t="s">
        <v>1054</v>
      </c>
      <c r="N241" s="157">
        <f>MouserListTable12[[#This Row],['# Initial]]*MouserListTable12[[#This Row],[Price (USD)]]</f>
        <v>0</v>
      </c>
      <c r="O241" s="106" t="s">
        <v>359</v>
      </c>
      <c r="P241" s="103">
        <f t="shared" si="4"/>
        <v>223</v>
      </c>
      <c r="Q241" s="103" t="s">
        <v>8</v>
      </c>
      <c r="R24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474-DEV-14135</v>
      </c>
      <c r="S241" s="195" t="str">
        <f>HYPERLINK("https://www.mouser.com/ProductDetail/" &amp;MouserListTable12[[#This Row],[Mouser SKU]])</f>
        <v>https://www.mouser.com/ProductDetail/474-DEV-14135</v>
      </c>
      <c r="T241" s="121">
        <v>0</v>
      </c>
      <c r="U241" s="121">
        <v>1</v>
      </c>
      <c r="V241" s="121">
        <v>0</v>
      </c>
      <c r="W241" s="121">
        <f>MouserListTable12[[#This Row],['#/Unit]]*FilterSpecs!$C$3+MouserListTable12[[#This Row],[Extra]]</f>
        <v>1</v>
      </c>
      <c r="X241" s="121">
        <f>IF(MouserListTable12[[#This Row],[Tag]]=FilterSpecs!$F$7,MouserListTable12[[#This Row],['#/Unit]]*MouserListTable12[[#This Row],[Price (USD)]],0)</f>
        <v>0</v>
      </c>
      <c r="Y241" s="121">
        <f>MouserListTable12[[#This Row],[Tot '#]]*MouserListTable12[[#This Row],[Price (USD)]]</f>
        <v>94.95</v>
      </c>
      <c r="Z241"/>
    </row>
    <row r="242" spans="1:26" s="146" customFormat="1" hidden="1" x14ac:dyDescent="0.3">
      <c r="A242" s="103" t="s">
        <v>1046</v>
      </c>
      <c r="B242" s="103" t="s">
        <v>1409</v>
      </c>
      <c r="C242" s="103" t="s">
        <v>1906</v>
      </c>
      <c r="D242" s="106" t="str">
        <f>IF(MouserListTable12[[#This Row],[Vendor]]=FilterSpecs!$A$8,MouserListTable12[[#This Row],[Mouser SKU]], MouserListTable12[[#This Row],[Supplier SKU]])</f>
        <v>474-DEV-14162</v>
      </c>
      <c r="E242" s="121">
        <f>MouserListTable12[[#This Row],[Tot '#]]-MouserListTable12[[#This Row],['# Initial]]</f>
        <v>1</v>
      </c>
      <c r="F242" s="121">
        <f>IF(AND(MouserListTable12[[#This Row],[Tag]]&lt;&gt;FilterSpecs!$F$12, MouserListTable12[[#This Row],[Tag]]&lt;&gt;FilterSpecs!$F$9), MouserListTable12[[#This Row],['#/Unit]]*FilterSpecs!$B$3+MouserListTable12[[#This Row],[Extra Initial]],0)</f>
        <v>0</v>
      </c>
      <c r="G242" s="103" t="s">
        <v>1331</v>
      </c>
      <c r="H242" s="103" t="s">
        <v>1332</v>
      </c>
      <c r="I242" s="103" t="s">
        <v>1333</v>
      </c>
      <c r="J242" s="103">
        <v>1</v>
      </c>
      <c r="K242" s="157">
        <v>69.95</v>
      </c>
      <c r="L242" s="103" t="s">
        <v>1914</v>
      </c>
      <c r="M242" s="103" t="s">
        <v>1350</v>
      </c>
      <c r="N242" s="157">
        <f>MouserListTable12[[#This Row],['# Initial]]*MouserListTable12[[#This Row],[Price (USD)]]</f>
        <v>0</v>
      </c>
      <c r="O242" s="106" t="s">
        <v>1330</v>
      </c>
      <c r="P242" s="103">
        <f t="shared" si="4"/>
        <v>224</v>
      </c>
      <c r="Q242" s="103" t="s">
        <v>8</v>
      </c>
      <c r="R24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474-DEV-14162</v>
      </c>
      <c r="S242" s="195" t="str">
        <f>HYPERLINK("https://www.mouser.com/ProductDetail/" &amp;MouserListTable12[[#This Row],[Mouser SKU]])</f>
        <v>https://www.mouser.com/ProductDetail/474-DEV-14162</v>
      </c>
      <c r="T242" s="121">
        <v>0</v>
      </c>
      <c r="U242" s="121">
        <v>1</v>
      </c>
      <c r="V242" s="121">
        <v>0</v>
      </c>
      <c r="W242" s="121">
        <f>MouserListTable12[[#This Row],['#/Unit]]*FilterSpecs!$C$3+MouserListTable12[[#This Row],[Extra]]</f>
        <v>1</v>
      </c>
      <c r="X242" s="121">
        <f>IF(MouserListTable12[[#This Row],[Tag]]=FilterSpecs!$F$7,MouserListTable12[[#This Row],['#/Unit]]*MouserListTable12[[#This Row],[Price (USD)]],0)</f>
        <v>0</v>
      </c>
      <c r="Y242" s="121">
        <f>MouserListTable12[[#This Row],[Tot '#]]*MouserListTable12[[#This Row],[Price (USD)]]</f>
        <v>69.95</v>
      </c>
      <c r="Z242"/>
    </row>
    <row r="243" spans="1:26" s="146" customFormat="1" hidden="1" x14ac:dyDescent="0.3">
      <c r="A243" s="126" t="s">
        <v>1046</v>
      </c>
      <c r="B243" s="126" t="s">
        <v>1409</v>
      </c>
      <c r="C243" s="103" t="s">
        <v>1906</v>
      </c>
      <c r="D243" s="106" t="str">
        <f>IF(MouserListTable12[[#This Row],[Vendor]]=FilterSpecs!$A$8,MouserListTable12[[#This Row],[Mouser SKU]], MouserListTable12[[#This Row],[Supplier SKU]])</f>
        <v>474-DEV-12774</v>
      </c>
      <c r="E243" s="121">
        <f>MouserListTable12[[#This Row],[Tot '#]]-MouserListTable12[[#This Row],['# Initial]]</f>
        <v>0</v>
      </c>
      <c r="F243" s="121">
        <f>IF(AND(MouserListTable12[[#This Row],[Tag]]&lt;&gt;FilterSpecs!$F$12, MouserListTable12[[#This Row],[Tag]]&lt;&gt;FilterSpecs!$F$9), MouserListTable12[[#This Row],['#/Unit]]*FilterSpecs!$B$3+MouserListTable12[[#This Row],[Extra Initial]],0)</f>
        <v>0</v>
      </c>
      <c r="G243" s="103" t="s">
        <v>1319</v>
      </c>
      <c r="H243" s="103" t="s">
        <v>1320</v>
      </c>
      <c r="I243" s="103" t="s">
        <v>1321</v>
      </c>
      <c r="J243" s="103"/>
      <c r="K243" s="157">
        <v>9.9499999999999993</v>
      </c>
      <c r="L243" s="103" t="s">
        <v>1914</v>
      </c>
      <c r="M243" s="103" t="s">
        <v>1350</v>
      </c>
      <c r="N243" s="157">
        <f>MouserListTable12[[#This Row],['# Initial]]*MouserListTable12[[#This Row],[Price (USD)]]</f>
        <v>0</v>
      </c>
      <c r="O243" s="106" t="s">
        <v>1318</v>
      </c>
      <c r="P243" s="103">
        <f t="shared" si="4"/>
        <v>225</v>
      </c>
      <c r="Q243" s="103" t="s">
        <v>8</v>
      </c>
      <c r="R24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474-DEV-12774</v>
      </c>
      <c r="S243" s="195" t="str">
        <f>HYPERLINK("https://www.mouser.com/ProductDetail/" &amp;MouserListTable12[[#This Row],[Mouser SKU]])</f>
        <v>https://www.mouser.com/ProductDetail/474-DEV-12774</v>
      </c>
      <c r="T243" s="121">
        <v>0</v>
      </c>
      <c r="U243" s="121">
        <v>0</v>
      </c>
      <c r="V243" s="121">
        <v>0</v>
      </c>
      <c r="W243" s="121">
        <f>MouserListTable12[[#This Row],['#/Unit]]*FilterSpecs!$C$3+MouserListTable12[[#This Row],[Extra]]</f>
        <v>0</v>
      </c>
      <c r="X243" s="121">
        <f>IF(MouserListTable12[[#This Row],[Tag]]=FilterSpecs!$F$7,MouserListTable12[[#This Row],['#/Unit]]*MouserListTable12[[#This Row],[Price (USD)]],0)</f>
        <v>0</v>
      </c>
      <c r="Y243" s="121">
        <f>MouserListTable12[[#This Row],[Tot '#]]*MouserListTable12[[#This Row],[Price (USD)]]</f>
        <v>0</v>
      </c>
      <c r="Z243"/>
    </row>
    <row r="244" spans="1:26" s="146" customFormat="1" hidden="1" x14ac:dyDescent="0.3">
      <c r="A244" s="126" t="s">
        <v>1046</v>
      </c>
      <c r="B244" s="126" t="s">
        <v>1409</v>
      </c>
      <c r="C244" s="103" t="s">
        <v>1906</v>
      </c>
      <c r="D244" s="106" t="str">
        <f>IF(MouserListTable12[[#This Row],[Vendor]]=FilterSpecs!$A$8,MouserListTable12[[#This Row],[Mouser SKU]], MouserListTable12[[#This Row],[Supplier SKU]])</f>
        <v>474-DEV-12086</v>
      </c>
      <c r="E244" s="121">
        <f>MouserListTable12[[#This Row],[Tot '#]]-MouserListTable12[[#This Row],['# Initial]]</f>
        <v>0</v>
      </c>
      <c r="F244" s="121">
        <f>IF(AND(MouserListTable12[[#This Row],[Tag]]&lt;&gt;FilterSpecs!$F$12, MouserListTable12[[#This Row],[Tag]]&lt;&gt;FilterSpecs!$F$9), MouserListTable12[[#This Row],['#/Unit]]*FilterSpecs!$B$3+MouserListTable12[[#This Row],[Extra Initial]],0)</f>
        <v>0</v>
      </c>
      <c r="G244" s="103" t="s">
        <v>1323</v>
      </c>
      <c r="H244" s="103" t="s">
        <v>1324</v>
      </c>
      <c r="I244" s="103" t="s">
        <v>1325</v>
      </c>
      <c r="J244" s="103">
        <v>1</v>
      </c>
      <c r="K244" s="157">
        <v>99.95</v>
      </c>
      <c r="L244" s="103" t="s">
        <v>1914</v>
      </c>
      <c r="M244" s="103" t="s">
        <v>1350</v>
      </c>
      <c r="N244" s="157">
        <f>MouserListTable12[[#This Row],['# Initial]]*MouserListTable12[[#This Row],[Price (USD)]]</f>
        <v>0</v>
      </c>
      <c r="O244" s="106" t="s">
        <v>1322</v>
      </c>
      <c r="P244" s="103">
        <f t="shared" si="4"/>
        <v>226</v>
      </c>
      <c r="Q244" s="103" t="s">
        <v>8</v>
      </c>
      <c r="R24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474-DEV-12086</v>
      </c>
      <c r="S244" s="195" t="str">
        <f>HYPERLINK("https://www.mouser.com/ProductDetail/" &amp;MouserListTable12[[#This Row],[Mouser SKU]])</f>
        <v>https://www.mouser.com/ProductDetail/474-DEV-12086</v>
      </c>
      <c r="T244" s="121">
        <v>0</v>
      </c>
      <c r="U244" s="121">
        <v>0</v>
      </c>
      <c r="V244" s="121">
        <v>0</v>
      </c>
      <c r="W244" s="121">
        <f>MouserListTable12[[#This Row],['#/Unit]]*FilterSpecs!$C$3+MouserListTable12[[#This Row],[Extra]]</f>
        <v>0</v>
      </c>
      <c r="X244" s="121">
        <f>IF(MouserListTable12[[#This Row],[Tag]]=FilterSpecs!$F$7,MouserListTable12[[#This Row],['#/Unit]]*MouserListTable12[[#This Row],[Price (USD)]],0)</f>
        <v>0</v>
      </c>
      <c r="Y244" s="121">
        <f>MouserListTable12[[#This Row],[Tot '#]]*MouserListTable12[[#This Row],[Price (USD)]]</f>
        <v>0</v>
      </c>
      <c r="Z244"/>
    </row>
    <row r="245" spans="1:26" s="146" customFormat="1" hidden="1" x14ac:dyDescent="0.3">
      <c r="A245" s="126" t="s">
        <v>1046</v>
      </c>
      <c r="B245" s="126" t="s">
        <v>1409</v>
      </c>
      <c r="C245" s="103" t="s">
        <v>1906</v>
      </c>
      <c r="D245" s="106" t="str">
        <f>IF(MouserListTable12[[#This Row],[Vendor]]=FilterSpecs!$A$8,MouserListTable12[[#This Row],[Mouser SKU]], MouserListTable12[[#This Row],[Supplier SKU]])</f>
        <v>474-DEV-12085</v>
      </c>
      <c r="E245" s="121">
        <f>MouserListTable12[[#This Row],[Tot '#]]-MouserListTable12[[#This Row],['# Initial]]</f>
        <v>0</v>
      </c>
      <c r="F245" s="121">
        <f>IF(AND(MouserListTable12[[#This Row],[Tag]]&lt;&gt;FilterSpecs!$F$12, MouserListTable12[[#This Row],[Tag]]&lt;&gt;FilterSpecs!$F$9), MouserListTable12[[#This Row],['#/Unit]]*FilterSpecs!$B$3+MouserListTable12[[#This Row],[Extra Initial]],0)</f>
        <v>0</v>
      </c>
      <c r="G245" s="103" t="s">
        <v>1327</v>
      </c>
      <c r="H245" s="103" t="s">
        <v>1328</v>
      </c>
      <c r="I245" s="103" t="s">
        <v>1329</v>
      </c>
      <c r="J245" s="103">
        <v>1</v>
      </c>
      <c r="K245" s="157">
        <v>65.95</v>
      </c>
      <c r="L245" s="103" t="s">
        <v>1914</v>
      </c>
      <c r="M245" s="103" t="s">
        <v>1350</v>
      </c>
      <c r="N245" s="157">
        <f>MouserListTable12[[#This Row],['# Initial]]*MouserListTable12[[#This Row],[Price (USD)]]</f>
        <v>0</v>
      </c>
      <c r="O245" s="106" t="s">
        <v>1326</v>
      </c>
      <c r="P245" s="103">
        <f t="shared" si="4"/>
        <v>227</v>
      </c>
      <c r="Q245" s="103" t="s">
        <v>8</v>
      </c>
      <c r="R24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474-DEV-12085</v>
      </c>
      <c r="S245" s="195" t="str">
        <f>HYPERLINK("https://www.mouser.com/ProductDetail/" &amp;MouserListTable12[[#This Row],[Mouser SKU]])</f>
        <v>https://www.mouser.com/ProductDetail/474-DEV-12085</v>
      </c>
      <c r="T245" s="121">
        <v>0</v>
      </c>
      <c r="U245" s="121">
        <v>0</v>
      </c>
      <c r="V245" s="121">
        <v>0</v>
      </c>
      <c r="W245" s="121">
        <f>MouserListTable12[[#This Row],['#/Unit]]*FilterSpecs!$C$3+MouserListTable12[[#This Row],[Extra]]</f>
        <v>0</v>
      </c>
      <c r="X245" s="121">
        <f>IF(MouserListTable12[[#This Row],[Tag]]=FilterSpecs!$F$7,MouserListTable12[[#This Row],['#/Unit]]*MouserListTable12[[#This Row],[Price (USD)]],0)</f>
        <v>0</v>
      </c>
      <c r="Y245" s="121">
        <f>MouserListTable12[[#This Row],[Tot '#]]*MouserListTable12[[#This Row],[Price (USD)]]</f>
        <v>0</v>
      </c>
      <c r="Z245"/>
    </row>
    <row r="246" spans="1:26" s="146" customFormat="1" hidden="1" x14ac:dyDescent="0.3">
      <c r="A246" s="126" t="s">
        <v>1046</v>
      </c>
      <c r="B246" s="126" t="s">
        <v>1409</v>
      </c>
      <c r="C246" s="103" t="s">
        <v>1906</v>
      </c>
      <c r="D246" s="106" t="str">
        <f>IF(MouserListTable12[[#This Row],[Vendor]]=FilterSpecs!$A$8,MouserListTable12[[#This Row],[Mouser SKU]], MouserListTable12[[#This Row],[Supplier SKU]])</f>
        <v>474-PRT-12842</v>
      </c>
      <c r="E246" s="121">
        <f>MouserListTable12[[#This Row],[Tot '#]]-MouserListTable12[[#This Row],['# Initial]]</f>
        <v>0</v>
      </c>
      <c r="F246" s="121">
        <f>IF(AND(MouserListTable12[[#This Row],[Tag]]&lt;&gt;FilterSpecs!$F$12, MouserListTable12[[#This Row],[Tag]]&lt;&gt;FilterSpecs!$F$9), MouserListTable12[[#This Row],['#/Unit]]*FilterSpecs!$B$3+MouserListTable12[[#This Row],[Extra Initial]],0)</f>
        <v>0</v>
      </c>
      <c r="G246" s="103" t="s">
        <v>1315</v>
      </c>
      <c r="H246" s="103" t="s">
        <v>1316</v>
      </c>
      <c r="I246" s="103" t="s">
        <v>1317</v>
      </c>
      <c r="J246" s="103"/>
      <c r="K246" s="157">
        <v>7.95</v>
      </c>
      <c r="L246" s="103" t="s">
        <v>1914</v>
      </c>
      <c r="M246" s="103" t="s">
        <v>1350</v>
      </c>
      <c r="N246" s="157">
        <f>MouserListTable12[[#This Row],['# Initial]]*MouserListTable12[[#This Row],[Price (USD)]]</f>
        <v>0</v>
      </c>
      <c r="O246" s="106" t="s">
        <v>1314</v>
      </c>
      <c r="P246" s="103">
        <f t="shared" si="4"/>
        <v>228</v>
      </c>
      <c r="Q246" s="103" t="s">
        <v>8</v>
      </c>
      <c r="R24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474-PRT-12842</v>
      </c>
      <c r="S246" s="195" t="str">
        <f>HYPERLINK("https://www.mouser.com/ProductDetail/" &amp;MouserListTable12[[#This Row],[Mouser SKU]])</f>
        <v>https://www.mouser.com/ProductDetail/474-PRT-12842</v>
      </c>
      <c r="T246" s="121">
        <v>0</v>
      </c>
      <c r="U246" s="121">
        <v>0</v>
      </c>
      <c r="V246" s="121">
        <v>0</v>
      </c>
      <c r="W246" s="121">
        <f>MouserListTable12[[#This Row],['#/Unit]]*FilterSpecs!$C$3+MouserListTable12[[#This Row],[Extra]]</f>
        <v>0</v>
      </c>
      <c r="X246" s="121">
        <f>IF(MouserListTable12[[#This Row],[Tag]]=FilterSpecs!$F$7,MouserListTable12[[#This Row],['#/Unit]]*MouserListTable12[[#This Row],[Price (USD)]],0)</f>
        <v>0</v>
      </c>
      <c r="Y246" s="121">
        <f>MouserListTable12[[#This Row],[Tot '#]]*MouserListTable12[[#This Row],[Price (USD)]]</f>
        <v>0</v>
      </c>
      <c r="Z246"/>
    </row>
    <row r="247" spans="1:26" s="146" customFormat="1" hidden="1" x14ac:dyDescent="0.3">
      <c r="A247" s="103" t="s">
        <v>1046</v>
      </c>
      <c r="B247" s="103" t="s">
        <v>1409</v>
      </c>
      <c r="C247" s="103" t="s">
        <v>1906</v>
      </c>
      <c r="D247" s="106" t="str">
        <f>IF(MouserListTable12[[#This Row],[Vendor]]=FilterSpecs!$A$8,MouserListTable12[[#This Row],[Mouser SKU]], MouserListTable12[[#This Row],[Supplier SKU]])</f>
        <v>485-3396</v>
      </c>
      <c r="E247" s="121">
        <f>MouserListTable12[[#This Row],[Tot '#]]-MouserListTable12[[#This Row],['# Initial]]</f>
        <v>1</v>
      </c>
      <c r="F247" s="121">
        <f>IF(AND(MouserListTable12[[#This Row],[Tag]]&lt;&gt;FilterSpecs!$F$12, MouserListTable12[[#This Row],[Tag]]&lt;&gt;FilterSpecs!$F$9), MouserListTable12[[#This Row],['#/Unit]]*FilterSpecs!$B$3+MouserListTable12[[#This Row],[Extra Initial]],0)</f>
        <v>0</v>
      </c>
      <c r="G247" s="103"/>
      <c r="H247" s="103"/>
      <c r="I247" s="103" t="s">
        <v>2377</v>
      </c>
      <c r="K247" s="157">
        <v>49.95</v>
      </c>
      <c r="L247" s="103" t="s">
        <v>1914</v>
      </c>
      <c r="M247" s="106"/>
      <c r="N247" s="157">
        <f>MouserListTable12[[#This Row],['# Initial]]*MouserListTable12[[#This Row],[Price (USD)]]</f>
        <v>0</v>
      </c>
      <c r="O247" s="106" t="s">
        <v>2376</v>
      </c>
      <c r="P247" s="103">
        <f t="shared" si="4"/>
        <v>229</v>
      </c>
      <c r="Q247" s="103" t="s">
        <v>1898</v>
      </c>
      <c r="R24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485-3396</v>
      </c>
      <c r="S247" s="195" t="str">
        <f>HYPERLINK("https://www.mouser.com/ProductDetail/" &amp;MouserListTable12[[#This Row],[Mouser SKU]])</f>
        <v>https://www.mouser.com/ProductDetail/485-3396</v>
      </c>
      <c r="T247" s="121">
        <v>0</v>
      </c>
      <c r="U247" s="121">
        <v>1</v>
      </c>
      <c r="V247" s="121">
        <v>0</v>
      </c>
      <c r="W247" s="121">
        <f>MouserListTable12[[#This Row],['#/Unit]]*FilterSpecs!$C$3+MouserListTable12[[#This Row],[Extra]]</f>
        <v>1</v>
      </c>
      <c r="X247" s="121">
        <f>IF(MouserListTable12[[#This Row],[Tag]]=FilterSpecs!$F$7,MouserListTable12[[#This Row],['#/Unit]]*MouserListTable12[[#This Row],[Price (USD)]],0)</f>
        <v>0</v>
      </c>
      <c r="Y247" s="121">
        <f>MouserListTable12[[#This Row],[Tot '#]]*MouserListTable12[[#This Row],[Price (USD)]]</f>
        <v>49.95</v>
      </c>
      <c r="Z247"/>
    </row>
    <row r="248" spans="1:26" s="146" customFormat="1" hidden="1" x14ac:dyDescent="0.3">
      <c r="A248" s="103" t="s">
        <v>1046</v>
      </c>
      <c r="B248" s="103" t="s">
        <v>1409</v>
      </c>
      <c r="C248" s="103" t="s">
        <v>1906</v>
      </c>
      <c r="D248" s="106" t="str">
        <f>IF(MouserListTable12[[#This Row],[Vendor]]=FilterSpecs!$A$8,MouserListTable12[[#This Row],[Mouser SKU]], MouserListTable12[[#This Row],[Supplier SKU]])</f>
        <v>485-1555</v>
      </c>
      <c r="E248" s="121">
        <f>MouserListTable12[[#This Row],[Tot '#]]-MouserListTable12[[#This Row],['# Initial]]</f>
        <v>0</v>
      </c>
      <c r="F248" s="121">
        <f>IF(AND(MouserListTable12[[#This Row],[Tag]]&lt;&gt;FilterSpecs!$F$12, MouserListTable12[[#This Row],[Tag]]&lt;&gt;FilterSpecs!$F$9), MouserListTable12[[#This Row],['#/Unit]]*FilterSpecs!$B$3+MouserListTable12[[#This Row],[Extra Initial]],0)</f>
        <v>0</v>
      </c>
      <c r="G248" s="103"/>
      <c r="H248" s="103"/>
      <c r="I248" s="126" t="s">
        <v>2379</v>
      </c>
      <c r="K248" s="158">
        <v>9.9499999999999993</v>
      </c>
      <c r="L248" s="126" t="s">
        <v>1914</v>
      </c>
      <c r="N248" s="157">
        <f>MouserListTable12[[#This Row],['# Initial]]*MouserListTable12[[#This Row],[Price (USD)]]</f>
        <v>0</v>
      </c>
      <c r="O248" s="106" t="s">
        <v>2378</v>
      </c>
      <c r="P248" s="103">
        <f t="shared" si="4"/>
        <v>230</v>
      </c>
      <c r="Q248" s="103" t="s">
        <v>1898</v>
      </c>
      <c r="R24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485-1555</v>
      </c>
      <c r="S248" s="195" t="str">
        <f>HYPERLINK("https://www.mouser.com/ProductDetail/" &amp;MouserListTable12[[#This Row],[Mouser SKU]])</f>
        <v>https://www.mouser.com/ProductDetail/485-1555</v>
      </c>
      <c r="T248" s="121">
        <v>0</v>
      </c>
      <c r="U248" s="121">
        <v>0</v>
      </c>
      <c r="V248" s="121">
        <v>0</v>
      </c>
      <c r="W248" s="121">
        <f>MouserListTable12[[#This Row],['#/Unit]]*FilterSpecs!$C$3+MouserListTable12[[#This Row],[Extra]]</f>
        <v>0</v>
      </c>
      <c r="X248" s="121">
        <f>IF(MouserListTable12[[#This Row],[Tag]]=FilterSpecs!$F$7,MouserListTable12[[#This Row],['#/Unit]]*MouserListTable12[[#This Row],[Price (USD)]],0)</f>
        <v>0</v>
      </c>
      <c r="Y248" s="121">
        <f>MouserListTable12[[#This Row],[Tot '#]]*MouserListTable12[[#This Row],[Price (USD)]]</f>
        <v>0</v>
      </c>
      <c r="Z248"/>
    </row>
    <row r="249" spans="1:26" s="146" customFormat="1" hidden="1" x14ac:dyDescent="0.3">
      <c r="A249" s="103" t="s">
        <v>1046</v>
      </c>
      <c r="B249" s="103" t="s">
        <v>1409</v>
      </c>
      <c r="C249" s="103" t="s">
        <v>1906</v>
      </c>
      <c r="D249" s="106" t="str">
        <f>IF(MouserListTable12[[#This Row],[Vendor]]=FilterSpecs!$A$8,MouserListTable12[[#This Row],[Mouser SKU]], MouserListTable12[[#This Row],[Supplier SKU]])</f>
        <v>485-699</v>
      </c>
      <c r="E249" s="121">
        <f>MouserListTable12[[#This Row],[Tot '#]]-MouserListTable12[[#This Row],['# Initial]]</f>
        <v>0</v>
      </c>
      <c r="F249" s="121">
        <f>IF(AND(MouserListTable12[[#This Row],[Tag]]&lt;&gt;FilterSpecs!$F$12, MouserListTable12[[#This Row],[Tag]]&lt;&gt;FilterSpecs!$F$9), MouserListTable12[[#This Row],['#/Unit]]*FilterSpecs!$B$3+MouserListTable12[[#This Row],[Extra Initial]],0)</f>
        <v>0</v>
      </c>
      <c r="G249" s="103"/>
      <c r="H249" s="103"/>
      <c r="I249" s="126" t="s">
        <v>2381</v>
      </c>
      <c r="K249" s="158">
        <v>19.95</v>
      </c>
      <c r="L249" s="126" t="s">
        <v>1914</v>
      </c>
      <c r="N249" s="157">
        <f>MouserListTable12[[#This Row],['# Initial]]*MouserListTable12[[#This Row],[Price (USD)]]</f>
        <v>0</v>
      </c>
      <c r="O249" s="106" t="s">
        <v>2380</v>
      </c>
      <c r="P249" s="103">
        <f t="shared" si="4"/>
        <v>231</v>
      </c>
      <c r="Q249" s="103" t="s">
        <v>1898</v>
      </c>
      <c r="R24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485-699</v>
      </c>
      <c r="S249" s="195" t="str">
        <f>HYPERLINK("https://www.mouser.com/ProductDetail/" &amp;MouserListTable12[[#This Row],[Mouser SKU]])</f>
        <v>https://www.mouser.com/ProductDetail/485-699</v>
      </c>
      <c r="T249" s="121">
        <v>0</v>
      </c>
      <c r="U249" s="121">
        <v>0</v>
      </c>
      <c r="V249" s="121">
        <v>0</v>
      </c>
      <c r="W249" s="121">
        <f>MouserListTable12[[#This Row],['#/Unit]]*FilterSpecs!$C$3+MouserListTable12[[#This Row],[Extra]]</f>
        <v>0</v>
      </c>
      <c r="X249" s="121">
        <f>IF(MouserListTable12[[#This Row],[Tag]]=FilterSpecs!$F$7,MouserListTable12[[#This Row],['#/Unit]]*MouserListTable12[[#This Row],[Price (USD)]],0)</f>
        <v>0</v>
      </c>
      <c r="Y249" s="121">
        <f>MouserListTable12[[#This Row],[Tot '#]]*MouserListTable12[[#This Row],[Price (USD)]]</f>
        <v>0</v>
      </c>
      <c r="Z249"/>
    </row>
    <row r="250" spans="1:26" s="146" customFormat="1" hidden="1" x14ac:dyDescent="0.3">
      <c r="A250" s="103" t="s">
        <v>1046</v>
      </c>
      <c r="B250" s="103" t="s">
        <v>1409</v>
      </c>
      <c r="C250" s="103" t="s">
        <v>1906</v>
      </c>
      <c r="D250" s="106" t="str">
        <f>IF(MouserListTable12[[#This Row],[Vendor]]=FilterSpecs!$A$8,MouserListTable12[[#This Row],[Mouser SKU]], MouserListTable12[[#This Row],[Supplier SKU]])</f>
        <v>485-572</v>
      </c>
      <c r="E250" s="121">
        <f>MouserListTable12[[#This Row],[Tot '#]]-MouserListTable12[[#This Row],['# Initial]]</f>
        <v>1</v>
      </c>
      <c r="F250" s="121">
        <f>IF(AND(MouserListTable12[[#This Row],[Tag]]&lt;&gt;FilterSpecs!$F$12, MouserListTable12[[#This Row],[Tag]]&lt;&gt;FilterSpecs!$F$9), MouserListTable12[[#This Row],['#/Unit]]*FilterSpecs!$B$3+MouserListTable12[[#This Row],[Extra Initial]],0)</f>
        <v>0</v>
      </c>
      <c r="G250" s="103"/>
      <c r="H250" s="103"/>
      <c r="I250" s="103" t="s">
        <v>2383</v>
      </c>
      <c r="K250" s="157">
        <v>9.9499999999999993</v>
      </c>
      <c r="L250" s="103" t="s">
        <v>1914</v>
      </c>
      <c r="M250" s="106"/>
      <c r="N250" s="157">
        <f>MouserListTable12[[#This Row],['# Initial]]*MouserListTable12[[#This Row],[Price (USD)]]</f>
        <v>0</v>
      </c>
      <c r="O250" s="106" t="s">
        <v>2382</v>
      </c>
      <c r="P250" s="103">
        <f t="shared" si="4"/>
        <v>232</v>
      </c>
      <c r="Q250" s="103" t="s">
        <v>1898</v>
      </c>
      <c r="R25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485-572</v>
      </c>
      <c r="S250" s="195" t="str">
        <f>HYPERLINK("https://www.mouser.com/ProductDetail/" &amp;MouserListTable12[[#This Row],[Mouser SKU]])</f>
        <v>https://www.mouser.com/ProductDetail/485-572</v>
      </c>
      <c r="T250" s="121">
        <v>0</v>
      </c>
      <c r="U250" s="121">
        <v>1</v>
      </c>
      <c r="V250" s="121">
        <v>0</v>
      </c>
      <c r="W250" s="121">
        <f>MouserListTable12[[#This Row],['#/Unit]]*FilterSpecs!$C$3+MouserListTable12[[#This Row],[Extra]]</f>
        <v>1</v>
      </c>
      <c r="X250" s="121">
        <f>IF(MouserListTable12[[#This Row],[Tag]]=FilterSpecs!$F$7,MouserListTable12[[#This Row],['#/Unit]]*MouserListTable12[[#This Row],[Price (USD)]],0)</f>
        <v>0</v>
      </c>
      <c r="Y250" s="121">
        <f>MouserListTable12[[#This Row],[Tot '#]]*MouserListTable12[[#This Row],[Price (USD)]]</f>
        <v>9.9499999999999993</v>
      </c>
      <c r="Z250"/>
    </row>
    <row r="251" spans="1:26" s="146" customFormat="1" hidden="1" x14ac:dyDescent="0.3">
      <c r="A251" s="103" t="s">
        <v>1046</v>
      </c>
      <c r="B251" s="103" t="s">
        <v>1409</v>
      </c>
      <c r="C251" s="103" t="s">
        <v>1906</v>
      </c>
      <c r="D251" s="106" t="str">
        <f>IF(MouserListTable12[[#This Row],[Vendor]]=FilterSpecs!$A$8,MouserListTable12[[#This Row],[Mouser SKU]], MouserListTable12[[#This Row],[Supplier SKU]])</f>
        <v>485-702</v>
      </c>
      <c r="E251" s="121">
        <f>MouserListTable12[[#This Row],[Tot '#]]-MouserListTable12[[#This Row],['# Initial]]</f>
        <v>0</v>
      </c>
      <c r="F251" s="121">
        <f>IF(AND(MouserListTable12[[#This Row],[Tag]]&lt;&gt;FilterSpecs!$F$12, MouserListTable12[[#This Row],[Tag]]&lt;&gt;FilterSpecs!$F$9), MouserListTable12[[#This Row],['#/Unit]]*FilterSpecs!$B$3+MouserListTable12[[#This Row],[Extra Initial]],0)</f>
        <v>0</v>
      </c>
      <c r="G251" s="103"/>
      <c r="H251" s="103"/>
      <c r="I251" s="126" t="s">
        <v>2385</v>
      </c>
      <c r="K251" s="158">
        <v>7.95</v>
      </c>
      <c r="L251" s="126" t="s">
        <v>1914</v>
      </c>
      <c r="N251" s="157">
        <f>MouserListTable12[[#This Row],['# Initial]]*MouserListTable12[[#This Row],[Price (USD)]]</f>
        <v>0</v>
      </c>
      <c r="O251" s="106" t="s">
        <v>2384</v>
      </c>
      <c r="P251" s="103">
        <f t="shared" si="4"/>
        <v>233</v>
      </c>
      <c r="Q251" s="103" t="s">
        <v>1898</v>
      </c>
      <c r="R25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485-702</v>
      </c>
      <c r="S251" s="195" t="str">
        <f>HYPERLINK("https://www.mouser.com/ProductDetail/" &amp;MouserListTable12[[#This Row],[Mouser SKU]])</f>
        <v>https://www.mouser.com/ProductDetail/485-702</v>
      </c>
      <c r="T251" s="121">
        <v>0</v>
      </c>
      <c r="U251" s="121">
        <v>0</v>
      </c>
      <c r="V251" s="121">
        <v>0</v>
      </c>
      <c r="W251" s="121">
        <f>MouserListTable12[[#This Row],['#/Unit]]*FilterSpecs!$C$3+MouserListTable12[[#This Row],[Extra]]</f>
        <v>0</v>
      </c>
      <c r="X251" s="121">
        <f>IF(MouserListTable12[[#This Row],[Tag]]=FilterSpecs!$F$7,MouserListTable12[[#This Row],['#/Unit]]*MouserListTable12[[#This Row],[Price (USD)]],0)</f>
        <v>0</v>
      </c>
      <c r="Y251" s="121">
        <f>MouserListTable12[[#This Row],[Tot '#]]*MouserListTable12[[#This Row],[Price (USD)]]</f>
        <v>0</v>
      </c>
      <c r="Z251"/>
    </row>
    <row r="252" spans="1:26" s="146" customFormat="1" hidden="1" x14ac:dyDescent="0.3">
      <c r="A252" s="103" t="s">
        <v>1046</v>
      </c>
      <c r="B252" s="103" t="s">
        <v>1409</v>
      </c>
      <c r="C252" s="103" t="s">
        <v>1906</v>
      </c>
      <c r="D252" s="106" t="str">
        <f>IF(MouserListTable12[[#This Row],[Vendor]]=FilterSpecs!$A$8,MouserListTable12[[#This Row],[Mouser SKU]], MouserListTable12[[#This Row],[Supplier SKU]])</f>
        <v>485-2627</v>
      </c>
      <c r="E252" s="121">
        <f>MouserListTable12[[#This Row],[Tot '#]]-MouserListTable12[[#This Row],['# Initial]]</f>
        <v>1</v>
      </c>
      <c r="F252" s="121">
        <f>IF(AND(MouserListTable12[[#This Row],[Tag]]&lt;&gt;FilterSpecs!$F$12, MouserListTable12[[#This Row],[Tag]]&lt;&gt;FilterSpecs!$F$9), MouserListTable12[[#This Row],['#/Unit]]*FilterSpecs!$B$3+MouserListTable12[[#This Row],[Extra Initial]],0)</f>
        <v>0</v>
      </c>
      <c r="G252" s="103"/>
      <c r="H252" s="103"/>
      <c r="I252" s="103" t="s">
        <v>2387</v>
      </c>
      <c r="K252" s="157">
        <v>39.950000000000003</v>
      </c>
      <c r="L252" s="103" t="s">
        <v>1914</v>
      </c>
      <c r="M252" s="106"/>
      <c r="N252" s="157">
        <f>MouserListTable12[[#This Row],['# Initial]]*MouserListTable12[[#This Row],[Price (USD)]]</f>
        <v>0</v>
      </c>
      <c r="O252" s="106" t="s">
        <v>2386</v>
      </c>
      <c r="P252" s="103">
        <f t="shared" si="4"/>
        <v>234</v>
      </c>
      <c r="Q252" s="103" t="s">
        <v>1898</v>
      </c>
      <c r="R25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485-2627</v>
      </c>
      <c r="S252" s="195" t="str">
        <f>HYPERLINK("https://www.mouser.com/ProductDetail/" &amp;MouserListTable12[[#This Row],[Mouser SKU]])</f>
        <v>https://www.mouser.com/ProductDetail/485-2627</v>
      </c>
      <c r="T252" s="121">
        <v>0</v>
      </c>
      <c r="U252" s="121">
        <v>1</v>
      </c>
      <c r="V252" s="121">
        <v>0</v>
      </c>
      <c r="W252" s="121">
        <f>MouserListTable12[[#This Row],['#/Unit]]*FilterSpecs!$C$3+MouserListTable12[[#This Row],[Extra]]</f>
        <v>1</v>
      </c>
      <c r="X252" s="121">
        <f>IF(MouserListTable12[[#This Row],[Tag]]=FilterSpecs!$F$7,MouserListTable12[[#This Row],['#/Unit]]*MouserListTable12[[#This Row],[Price (USD)]],0)</f>
        <v>0</v>
      </c>
      <c r="Y252" s="121">
        <f>MouserListTable12[[#This Row],[Tot '#]]*MouserListTable12[[#This Row],[Price (USD)]]</f>
        <v>39.950000000000003</v>
      </c>
      <c r="Z252"/>
    </row>
    <row r="253" spans="1:26" s="146" customFormat="1" hidden="1" x14ac:dyDescent="0.3">
      <c r="A253" s="103" t="s">
        <v>1046</v>
      </c>
      <c r="B253" s="103" t="s">
        <v>1409</v>
      </c>
      <c r="C253" s="103" t="s">
        <v>1906</v>
      </c>
      <c r="D253" s="106" t="str">
        <f>IF(MouserListTable12[[#This Row],[Vendor]]=FilterSpecs!$A$8,MouserListTable12[[#This Row],[Mouser SKU]], MouserListTable12[[#This Row],[Supplier SKU]])</f>
        <v>485-2628</v>
      </c>
      <c r="E253" s="121">
        <f>MouserListTable12[[#This Row],[Tot '#]]-MouserListTable12[[#This Row],['# Initial]]</f>
        <v>0</v>
      </c>
      <c r="F253" s="121">
        <f>IF(AND(MouserListTable12[[#This Row],[Tag]]&lt;&gt;FilterSpecs!$F$12, MouserListTable12[[#This Row],[Tag]]&lt;&gt;FilterSpecs!$F$9), MouserListTable12[[#This Row],['#/Unit]]*FilterSpecs!$B$3+MouserListTable12[[#This Row],[Extra Initial]],0)</f>
        <v>0</v>
      </c>
      <c r="G253" s="103"/>
      <c r="H253" s="103"/>
      <c r="I253" s="126" t="s">
        <v>2389</v>
      </c>
      <c r="K253" s="158">
        <v>39.950000000000003</v>
      </c>
      <c r="L253" s="126" t="s">
        <v>1914</v>
      </c>
      <c r="N253" s="157">
        <f>MouserListTable12[[#This Row],['# Initial]]*MouserListTable12[[#This Row],[Price (USD)]]</f>
        <v>0</v>
      </c>
      <c r="O253" s="106" t="s">
        <v>2388</v>
      </c>
      <c r="P253" s="103">
        <f t="shared" si="4"/>
        <v>235</v>
      </c>
      <c r="Q253" s="103" t="s">
        <v>1898</v>
      </c>
      <c r="R25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485-2628</v>
      </c>
      <c r="S253" s="195" t="str">
        <f>HYPERLINK("https://www.mouser.com/ProductDetail/" &amp;MouserListTable12[[#This Row],[Mouser SKU]])</f>
        <v>https://www.mouser.com/ProductDetail/485-2628</v>
      </c>
      <c r="T253" s="121">
        <v>0</v>
      </c>
      <c r="U253" s="121">
        <v>0</v>
      </c>
      <c r="V253" s="121">
        <v>0</v>
      </c>
      <c r="W253" s="121">
        <f>MouserListTable12[[#This Row],['#/Unit]]*FilterSpecs!$C$3+MouserListTable12[[#This Row],[Extra]]</f>
        <v>0</v>
      </c>
      <c r="X253" s="121">
        <f>IF(MouserListTable12[[#This Row],[Tag]]=FilterSpecs!$F$7,MouserListTable12[[#This Row],['#/Unit]]*MouserListTable12[[#This Row],[Price (USD)]],0)</f>
        <v>0</v>
      </c>
      <c r="Y253" s="121">
        <f>MouserListTable12[[#This Row],[Tot '#]]*MouserListTable12[[#This Row],[Price (USD)]]</f>
        <v>0</v>
      </c>
      <c r="Z253"/>
    </row>
    <row r="254" spans="1:26" s="146" customFormat="1" hidden="1" x14ac:dyDescent="0.3">
      <c r="A254" s="103" t="s">
        <v>1046</v>
      </c>
      <c r="B254" s="103" t="s">
        <v>1409</v>
      </c>
      <c r="C254" s="103" t="s">
        <v>1906</v>
      </c>
      <c r="D254" s="106" t="str">
        <f>IF(MouserListTable12[[#This Row],[Vendor]]=FilterSpecs!$A$8,MouserListTable12[[#This Row],[Mouser SKU]], MouserListTable12[[#This Row],[Supplier SKU]])</f>
        <v>485-1810</v>
      </c>
      <c r="E254" s="121">
        <f>MouserListTable12[[#This Row],[Tot '#]]-MouserListTable12[[#This Row],['# Initial]]</f>
        <v>0</v>
      </c>
      <c r="F254" s="121">
        <f>IF(AND(MouserListTable12[[#This Row],[Tag]]&lt;&gt;FilterSpecs!$F$12, MouserListTable12[[#This Row],[Tag]]&lt;&gt;FilterSpecs!$F$9), MouserListTable12[[#This Row],['#/Unit]]*FilterSpecs!$B$3+MouserListTable12[[#This Row],[Extra Initial]],0)</f>
        <v>0</v>
      </c>
      <c r="G254" s="103"/>
      <c r="H254" s="103"/>
      <c r="I254" s="126" t="s">
        <v>2391</v>
      </c>
      <c r="K254" s="158">
        <v>49.95</v>
      </c>
      <c r="L254" s="126" t="s">
        <v>1914</v>
      </c>
      <c r="N254" s="157">
        <f>MouserListTable12[[#This Row],['# Initial]]*MouserListTable12[[#This Row],[Price (USD)]]</f>
        <v>0</v>
      </c>
      <c r="O254" s="106" t="s">
        <v>2390</v>
      </c>
      <c r="P254" s="103">
        <f t="shared" si="4"/>
        <v>236</v>
      </c>
      <c r="Q254" s="103" t="s">
        <v>1898</v>
      </c>
      <c r="R25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485-1810</v>
      </c>
      <c r="S254" s="195" t="str">
        <f>HYPERLINK("https://www.mouser.com/ProductDetail/" &amp;MouserListTable12[[#This Row],[Mouser SKU]])</f>
        <v>https://www.mouser.com/ProductDetail/485-1810</v>
      </c>
      <c r="T254" s="121">
        <v>0</v>
      </c>
      <c r="U254" s="121">
        <v>0</v>
      </c>
      <c r="V254" s="121">
        <v>0</v>
      </c>
      <c r="W254" s="121">
        <f>MouserListTable12[[#This Row],['#/Unit]]*FilterSpecs!$C$3+MouserListTable12[[#This Row],[Extra]]</f>
        <v>0</v>
      </c>
      <c r="X254" s="121">
        <f>IF(MouserListTable12[[#This Row],[Tag]]=FilterSpecs!$F$7,MouserListTable12[[#This Row],['#/Unit]]*MouserListTable12[[#This Row],[Price (USD)]],0)</f>
        <v>0</v>
      </c>
      <c r="Y254" s="121">
        <f>MouserListTable12[[#This Row],[Tot '#]]*MouserListTable12[[#This Row],[Price (USD)]]</f>
        <v>0</v>
      </c>
      <c r="Z254"/>
    </row>
    <row r="255" spans="1:26" s="146" customFormat="1" hidden="1" x14ac:dyDescent="0.3">
      <c r="A255" s="103" t="s">
        <v>1046</v>
      </c>
      <c r="B255" s="103" t="s">
        <v>1042</v>
      </c>
      <c r="C255" s="103" t="s">
        <v>1906</v>
      </c>
      <c r="D255" s="106" t="str">
        <f>IF(MouserListTable12[[#This Row],[Vendor]]=FilterSpecs!$A$8,MouserListTable12[[#This Row],[Mouser SKU]], MouserListTable12[[#This Row],[Supplier SKU]])</f>
        <v>474-DEV-09564</v>
      </c>
      <c r="E255" s="121">
        <f>MouserListTable12[[#This Row],[Tot '#]]-MouserListTable12[[#This Row],['# Initial]]</f>
        <v>1</v>
      </c>
      <c r="F255" s="121">
        <f>IF(AND(MouserListTable12[[#This Row],[Tag]]&lt;&gt;FilterSpecs!$F$12, MouserListTable12[[#This Row],[Tag]]&lt;&gt;FilterSpecs!$F$9), MouserListTable12[[#This Row],['#/Unit]]*FilterSpecs!$B$3+MouserListTable12[[#This Row],[Extra Initial]],0)</f>
        <v>0</v>
      </c>
      <c r="G255" s="103" t="s">
        <v>341</v>
      </c>
      <c r="H255" s="103" t="s">
        <v>342</v>
      </c>
      <c r="I255" s="103" t="s">
        <v>343</v>
      </c>
      <c r="J255" s="103">
        <v>1</v>
      </c>
      <c r="K255" s="157">
        <v>54.95</v>
      </c>
      <c r="L255" s="103" t="s">
        <v>1914</v>
      </c>
      <c r="M255" s="103" t="s">
        <v>1045</v>
      </c>
      <c r="N255" s="157">
        <f>MouserListTable12[[#This Row],['# Initial]]*MouserListTable12[[#This Row],[Price (USD)]]</f>
        <v>0</v>
      </c>
      <c r="O255" s="106" t="s">
        <v>340</v>
      </c>
      <c r="P255" s="103">
        <f t="shared" si="4"/>
        <v>237</v>
      </c>
      <c r="Q255" s="103" t="s">
        <v>8</v>
      </c>
      <c r="R25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474-DEV-09564</v>
      </c>
      <c r="S255" s="195" t="str">
        <f>HYPERLINK("https://www.mouser.com/ProductDetail/" &amp;MouserListTable12[[#This Row],[Mouser SKU]])</f>
        <v>https://www.mouser.com/ProductDetail/474-DEV-09564</v>
      </c>
      <c r="T255" s="121">
        <v>0</v>
      </c>
      <c r="U255" s="121">
        <v>1</v>
      </c>
      <c r="V255" s="121">
        <v>0</v>
      </c>
      <c r="W255" s="121">
        <f>MouserListTable12[[#This Row],['#/Unit]]*FilterSpecs!$C$3+MouserListTable12[[#This Row],[Extra]]</f>
        <v>1</v>
      </c>
      <c r="X255" s="121">
        <f>IF(MouserListTable12[[#This Row],[Tag]]=FilterSpecs!$F$7,MouserListTable12[[#This Row],['#/Unit]]*MouserListTable12[[#This Row],[Price (USD)]],0)</f>
        <v>0</v>
      </c>
      <c r="Y255" s="121">
        <f>MouserListTable12[[#This Row],[Tot '#]]*MouserListTable12[[#This Row],[Price (USD)]]</f>
        <v>54.95</v>
      </c>
      <c r="Z255"/>
    </row>
    <row r="256" spans="1:26" s="146" customFormat="1" hidden="1" x14ac:dyDescent="0.3">
      <c r="A256" s="126" t="s">
        <v>1046</v>
      </c>
      <c r="B256" s="126" t="s">
        <v>1042</v>
      </c>
      <c r="C256" s="103" t="s">
        <v>1906</v>
      </c>
      <c r="D256" s="106" t="str">
        <f>IF(MouserListTable12[[#This Row],[Vendor]]=FilterSpecs!$A$8,MouserListTable12[[#This Row],[Mouser SKU]], MouserListTable12[[#This Row],[Supplier SKU]])</f>
        <v>474-DEV-11695</v>
      </c>
      <c r="E256" s="121">
        <f>MouserListTable12[[#This Row],[Tot '#]]-MouserListTable12[[#This Row],['# Initial]]</f>
        <v>0</v>
      </c>
      <c r="F256" s="121">
        <f>IF(AND(MouserListTable12[[#This Row],[Tag]]&lt;&gt;FilterSpecs!$F$12, MouserListTable12[[#This Row],[Tag]]&lt;&gt;FilterSpecs!$F$9), MouserListTable12[[#This Row],['#/Unit]]*FilterSpecs!$B$3+MouserListTable12[[#This Row],[Extra Initial]],0)</f>
        <v>0</v>
      </c>
      <c r="G256" s="103" t="s">
        <v>337</v>
      </c>
      <c r="H256" s="103" t="s">
        <v>338</v>
      </c>
      <c r="I256" s="103" t="s">
        <v>339</v>
      </c>
      <c r="J256" s="103"/>
      <c r="K256" s="157">
        <v>59.95</v>
      </c>
      <c r="L256" s="103" t="s">
        <v>1913</v>
      </c>
      <c r="M256" s="103" t="s">
        <v>1045</v>
      </c>
      <c r="N256" s="157">
        <f>MouserListTable12[[#This Row],['# Initial]]*MouserListTable12[[#This Row],[Price (USD)]]</f>
        <v>0</v>
      </c>
      <c r="O256" s="106" t="s">
        <v>336</v>
      </c>
      <c r="P256" s="103">
        <f t="shared" si="4"/>
        <v>238</v>
      </c>
      <c r="Q256" s="103" t="s">
        <v>8</v>
      </c>
      <c r="R25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474-DEV-11695</v>
      </c>
      <c r="S256" s="195" t="str">
        <f>HYPERLINK("https://www.mouser.com/ProductDetail/" &amp;MouserListTable12[[#This Row],[Mouser SKU]])</f>
        <v>https://www.mouser.com/ProductDetail/474-DEV-11695</v>
      </c>
      <c r="T256" s="121">
        <v>0</v>
      </c>
      <c r="U256" s="121">
        <v>0</v>
      </c>
      <c r="V256" s="121">
        <v>0</v>
      </c>
      <c r="W256" s="121">
        <f>MouserListTable12[[#This Row],['#/Unit]]*FilterSpecs!$C$3+MouserListTable12[[#This Row],[Extra]]</f>
        <v>0</v>
      </c>
      <c r="X256" s="121">
        <f>IF(MouserListTable12[[#This Row],[Tag]]=FilterSpecs!$F$7,MouserListTable12[[#This Row],['#/Unit]]*MouserListTable12[[#This Row],[Price (USD)]],0)</f>
        <v>0</v>
      </c>
      <c r="Y256" s="121">
        <f>MouserListTable12[[#This Row],[Tot '#]]*MouserListTable12[[#This Row],[Price (USD)]]</f>
        <v>0</v>
      </c>
      <c r="Z256"/>
    </row>
    <row r="257" spans="1:26" s="146" customFormat="1" hidden="1" x14ac:dyDescent="0.3">
      <c r="A257" s="103" t="s">
        <v>1046</v>
      </c>
      <c r="B257" s="103" t="s">
        <v>1043</v>
      </c>
      <c r="C257" s="103" t="s">
        <v>1906</v>
      </c>
      <c r="D257" s="106" t="str">
        <f>IF(MouserListTable12[[#This Row],[Vendor]]=FilterSpecs!$A$8,MouserListTable12[[#This Row],[Mouser SKU]], MouserListTable12[[#This Row],[Supplier SKU]])</f>
        <v>474-DEV-13097</v>
      </c>
      <c r="E257" s="121">
        <f>MouserListTable12[[#This Row],[Tot '#]]-MouserListTable12[[#This Row],['# Initial]]</f>
        <v>1</v>
      </c>
      <c r="F257" s="121">
        <f>IF(AND(MouserListTable12[[#This Row],[Tag]]&lt;&gt;FilterSpecs!$F$12, MouserListTable12[[#This Row],[Tag]]&lt;&gt;FilterSpecs!$F$9), MouserListTable12[[#This Row],['#/Unit]]*FilterSpecs!$B$3+MouserListTable12[[#This Row],[Extra Initial]],0)</f>
        <v>0</v>
      </c>
      <c r="G257" s="103" t="s">
        <v>301</v>
      </c>
      <c r="H257" s="103" t="s">
        <v>302</v>
      </c>
      <c r="I257" s="103" t="s">
        <v>303</v>
      </c>
      <c r="J257" s="103">
        <v>1</v>
      </c>
      <c r="K257" s="157">
        <v>99.95</v>
      </c>
      <c r="L257" s="103" t="s">
        <v>1914</v>
      </c>
      <c r="M257" s="103" t="s">
        <v>1052</v>
      </c>
      <c r="N257" s="157">
        <f>MouserListTable12[[#This Row],['# Initial]]*MouserListTable12[[#This Row],[Price (USD)]]</f>
        <v>0</v>
      </c>
      <c r="O257" s="106" t="s">
        <v>300</v>
      </c>
      <c r="P257" s="103">
        <f t="shared" si="4"/>
        <v>239</v>
      </c>
      <c r="Q257" s="103" t="s">
        <v>8</v>
      </c>
      <c r="R25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474-DEV-13097</v>
      </c>
      <c r="S257" s="195" t="str">
        <f>HYPERLINK("https://www.mouser.com/ProductDetail/" &amp;MouserListTable12[[#This Row],[Mouser SKU]])</f>
        <v>https://www.mouser.com/ProductDetail/474-DEV-13097</v>
      </c>
      <c r="T257" s="121">
        <v>0</v>
      </c>
      <c r="U257" s="121">
        <v>1</v>
      </c>
      <c r="V257" s="121">
        <v>0</v>
      </c>
      <c r="W257" s="121">
        <f>MouserListTable12[[#This Row],['#/Unit]]*FilterSpecs!$C$3+MouserListTable12[[#This Row],[Extra]]</f>
        <v>1</v>
      </c>
      <c r="X257" s="121">
        <f>IF(MouserListTable12[[#This Row],[Tag]]=FilterSpecs!$F$7,MouserListTable12[[#This Row],['#/Unit]]*MouserListTable12[[#This Row],[Price (USD)]],0)</f>
        <v>0</v>
      </c>
      <c r="Y257" s="121">
        <f>MouserListTable12[[#This Row],[Tot '#]]*MouserListTable12[[#This Row],[Price (USD)]]</f>
        <v>99.95</v>
      </c>
      <c r="Z257"/>
    </row>
    <row r="258" spans="1:26" s="146" customFormat="1" hidden="1" x14ac:dyDescent="0.3">
      <c r="A258" s="103" t="s">
        <v>1046</v>
      </c>
      <c r="B258" s="103" t="s">
        <v>1043</v>
      </c>
      <c r="C258" s="103" t="s">
        <v>1906</v>
      </c>
      <c r="D258" s="106" t="str">
        <f>IF(MouserListTable12[[#This Row],[Vendor]]=FilterSpecs!$A$8,MouserListTable12[[#This Row],[Mouser SKU]], MouserListTable12[[#This Row],[Supplier SKU]])</f>
        <v>474-DEV-13045</v>
      </c>
      <c r="E258" s="121">
        <f>MouserListTable12[[#This Row],[Tot '#]]-MouserListTable12[[#This Row],['# Initial]]</f>
        <v>1</v>
      </c>
      <c r="F258" s="121">
        <f>IF(AND(MouserListTable12[[#This Row],[Tag]]&lt;&gt;FilterSpecs!$F$12, MouserListTable12[[#This Row],[Tag]]&lt;&gt;FilterSpecs!$F$9), MouserListTable12[[#This Row],['#/Unit]]*FilterSpecs!$B$3+MouserListTable12[[#This Row],[Extra Initial]],0)</f>
        <v>0</v>
      </c>
      <c r="G258" s="103" t="s">
        <v>321</v>
      </c>
      <c r="H258" s="103" t="s">
        <v>322</v>
      </c>
      <c r="I258" s="103" t="s">
        <v>323</v>
      </c>
      <c r="J258" s="103">
        <v>1</v>
      </c>
      <c r="K258" s="157">
        <v>19.95</v>
      </c>
      <c r="L258" s="103" t="s">
        <v>1914</v>
      </c>
      <c r="M258" s="103" t="s">
        <v>1052</v>
      </c>
      <c r="N258" s="157">
        <f>MouserListTable12[[#This Row],['# Initial]]*MouserListTable12[[#This Row],[Price (USD)]]</f>
        <v>0</v>
      </c>
      <c r="O258" s="106" t="s">
        <v>320</v>
      </c>
      <c r="P258" s="103">
        <f t="shared" si="4"/>
        <v>240</v>
      </c>
      <c r="Q258" s="103" t="s">
        <v>8</v>
      </c>
      <c r="R25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474-DEV-13045</v>
      </c>
      <c r="S258" s="195" t="str">
        <f>HYPERLINK("https://www.mouser.com/ProductDetail/" &amp;MouserListTable12[[#This Row],[Mouser SKU]])</f>
        <v>https://www.mouser.com/ProductDetail/474-DEV-13045</v>
      </c>
      <c r="T258" s="121">
        <v>0</v>
      </c>
      <c r="U258" s="121">
        <v>1</v>
      </c>
      <c r="V258" s="121">
        <v>0</v>
      </c>
      <c r="W258" s="121">
        <f>MouserListTable12[[#This Row],['#/Unit]]*FilterSpecs!$C$3+MouserListTable12[[#This Row],[Extra]]</f>
        <v>1</v>
      </c>
      <c r="X258" s="121">
        <f>IF(MouserListTable12[[#This Row],[Tag]]=FilterSpecs!$F$7,MouserListTable12[[#This Row],['#/Unit]]*MouserListTable12[[#This Row],[Price (USD)]],0)</f>
        <v>0</v>
      </c>
      <c r="Y258" s="121">
        <f>MouserListTable12[[#This Row],[Tot '#]]*MouserListTable12[[#This Row],[Price (USD)]]</f>
        <v>19.95</v>
      </c>
      <c r="Z258"/>
    </row>
    <row r="259" spans="1:26" s="146" customFormat="1" hidden="1" x14ac:dyDescent="0.3">
      <c r="A259" s="103" t="s">
        <v>1046</v>
      </c>
      <c r="B259" s="103" t="s">
        <v>1043</v>
      </c>
      <c r="C259" s="103" t="s">
        <v>1906</v>
      </c>
      <c r="D259" s="106" t="str">
        <f>IF(MouserListTable12[[#This Row],[Vendor]]=FilterSpecs!$A$8,MouserListTable12[[#This Row],[Mouser SKU]], MouserListTable12[[#This Row],[Supplier SKU]])</f>
        <v>474-DEV-13038</v>
      </c>
      <c r="E259" s="121">
        <f>MouserListTable12[[#This Row],[Tot '#]]-MouserListTable12[[#This Row],['# Initial]]</f>
        <v>1</v>
      </c>
      <c r="F259" s="121">
        <f>IF(AND(MouserListTable12[[#This Row],[Tag]]&lt;&gt;FilterSpecs!$F$12, MouserListTable12[[#This Row],[Tag]]&lt;&gt;FilterSpecs!$F$9), MouserListTable12[[#This Row],['#/Unit]]*FilterSpecs!$B$3+MouserListTable12[[#This Row],[Extra Initial]],0)</f>
        <v>0</v>
      </c>
      <c r="G259" s="103" t="s">
        <v>309</v>
      </c>
      <c r="H259" s="103" t="s">
        <v>310</v>
      </c>
      <c r="I259" s="103" t="s">
        <v>311</v>
      </c>
      <c r="J259" s="103">
        <v>1</v>
      </c>
      <c r="K259" s="157">
        <v>9.9499999999999993</v>
      </c>
      <c r="L259" s="103" t="s">
        <v>1914</v>
      </c>
      <c r="M259" s="103" t="s">
        <v>1052</v>
      </c>
      <c r="N259" s="157">
        <f>MouserListTable12[[#This Row],['# Initial]]*MouserListTable12[[#This Row],[Price (USD)]]</f>
        <v>0</v>
      </c>
      <c r="O259" s="106" t="s">
        <v>308</v>
      </c>
      <c r="P259" s="103">
        <f t="shared" si="4"/>
        <v>241</v>
      </c>
      <c r="Q259" s="103" t="s">
        <v>8</v>
      </c>
      <c r="R25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474-DEV-13038</v>
      </c>
      <c r="S259" s="195" t="str">
        <f>HYPERLINK("https://www.mouser.com/ProductDetail/" &amp;MouserListTable12[[#This Row],[Mouser SKU]])</f>
        <v>https://www.mouser.com/ProductDetail/474-DEV-13038</v>
      </c>
      <c r="T259" s="121">
        <v>0</v>
      </c>
      <c r="U259" s="121">
        <v>1</v>
      </c>
      <c r="V259" s="121">
        <v>0</v>
      </c>
      <c r="W259" s="121">
        <f>MouserListTable12[[#This Row],['#/Unit]]*FilterSpecs!$C$3+MouserListTable12[[#This Row],[Extra]]</f>
        <v>1</v>
      </c>
      <c r="X259" s="121">
        <f>IF(MouserListTable12[[#This Row],[Tag]]=FilterSpecs!$F$7,MouserListTable12[[#This Row],['#/Unit]]*MouserListTable12[[#This Row],[Price (USD)]],0)</f>
        <v>0</v>
      </c>
      <c r="Y259" s="121">
        <f>MouserListTable12[[#This Row],[Tot '#]]*MouserListTable12[[#This Row],[Price (USD)]]</f>
        <v>9.9499999999999993</v>
      </c>
      <c r="Z259"/>
    </row>
    <row r="260" spans="1:26" s="146" customFormat="1" hidden="1" x14ac:dyDescent="0.3">
      <c r="A260" s="103" t="s">
        <v>1046</v>
      </c>
      <c r="B260" s="103" t="s">
        <v>1043</v>
      </c>
      <c r="C260" s="103" t="s">
        <v>1906</v>
      </c>
      <c r="D260" s="106" t="str">
        <f>IF(MouserListTable12[[#This Row],[Vendor]]=FilterSpecs!$A$8,MouserListTable12[[#This Row],[Mouser SKU]], MouserListTable12[[#This Row],[Supplier SKU]])</f>
        <v>474-DEV-13034</v>
      </c>
      <c r="E260" s="121">
        <f>MouserListTable12[[#This Row],[Tot '#]]-MouserListTable12[[#This Row],['# Initial]]</f>
        <v>1</v>
      </c>
      <c r="F260" s="121">
        <f>IF(AND(MouserListTable12[[#This Row],[Tag]]&lt;&gt;FilterSpecs!$F$12, MouserListTable12[[#This Row],[Tag]]&lt;&gt;FilterSpecs!$F$9), MouserListTable12[[#This Row],['#/Unit]]*FilterSpecs!$B$3+MouserListTable12[[#This Row],[Extra Initial]],0)</f>
        <v>0</v>
      </c>
      <c r="G260" s="103" t="s">
        <v>313</v>
      </c>
      <c r="H260" s="103" t="s">
        <v>314</v>
      </c>
      <c r="I260" s="103" t="s">
        <v>315</v>
      </c>
      <c r="J260" s="103">
        <v>1</v>
      </c>
      <c r="K260" s="157">
        <v>9.9499999999999993</v>
      </c>
      <c r="L260" s="103" t="s">
        <v>1914</v>
      </c>
      <c r="M260" s="103" t="s">
        <v>1052</v>
      </c>
      <c r="N260" s="157">
        <f>MouserListTable12[[#This Row],['# Initial]]*MouserListTable12[[#This Row],[Price (USD)]]</f>
        <v>0</v>
      </c>
      <c r="O260" s="106" t="s">
        <v>312</v>
      </c>
      <c r="P260" s="103">
        <f t="shared" si="4"/>
        <v>242</v>
      </c>
      <c r="Q260" s="103" t="s">
        <v>8</v>
      </c>
      <c r="R26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474-DEV-13034</v>
      </c>
      <c r="S260" s="195" t="str">
        <f>HYPERLINK("https://www.mouser.com/ProductDetail/" &amp;MouserListTable12[[#This Row],[Mouser SKU]])</f>
        <v>https://www.mouser.com/ProductDetail/474-DEV-13034</v>
      </c>
      <c r="T260" s="121">
        <v>0</v>
      </c>
      <c r="U260" s="121">
        <v>1</v>
      </c>
      <c r="V260" s="121">
        <v>0</v>
      </c>
      <c r="W260" s="121">
        <f>MouserListTable12[[#This Row],['#/Unit]]*FilterSpecs!$C$3+MouserListTable12[[#This Row],[Extra]]</f>
        <v>1</v>
      </c>
      <c r="X260" s="121">
        <f>IF(MouserListTable12[[#This Row],[Tag]]=FilterSpecs!$F$7,MouserListTable12[[#This Row],['#/Unit]]*MouserListTable12[[#This Row],[Price (USD)]],0)</f>
        <v>0</v>
      </c>
      <c r="Y260" s="121">
        <f>MouserListTable12[[#This Row],[Tot '#]]*MouserListTable12[[#This Row],[Price (USD)]]</f>
        <v>9.9499999999999993</v>
      </c>
      <c r="Z260"/>
    </row>
    <row r="261" spans="1:26" s="151" customFormat="1" hidden="1" x14ac:dyDescent="0.3">
      <c r="A261" s="103" t="s">
        <v>1046</v>
      </c>
      <c r="B261" s="103" t="s">
        <v>1043</v>
      </c>
      <c r="C261" s="103" t="s">
        <v>1906</v>
      </c>
      <c r="D261" s="106" t="str">
        <f>IF(MouserListTable12[[#This Row],[Vendor]]=FilterSpecs!$A$8,MouserListTable12[[#This Row],[Mouser SKU]], MouserListTable12[[#This Row],[Supplier SKU]])</f>
        <v>474-DEV-13041</v>
      </c>
      <c r="E261" s="121">
        <f>MouserListTable12[[#This Row],[Tot '#]]-MouserListTable12[[#This Row],['# Initial]]</f>
        <v>1</v>
      </c>
      <c r="F261" s="121">
        <f>IF(AND(MouserListTable12[[#This Row],[Tag]]&lt;&gt;FilterSpecs!$F$12, MouserListTable12[[#This Row],[Tag]]&lt;&gt;FilterSpecs!$F$9), MouserListTable12[[#This Row],['#/Unit]]*FilterSpecs!$B$3+MouserListTable12[[#This Row],[Extra Initial]],0)</f>
        <v>0</v>
      </c>
      <c r="G261" s="103" t="s">
        <v>317</v>
      </c>
      <c r="H261" s="103" t="s">
        <v>318</v>
      </c>
      <c r="I261" s="103" t="s">
        <v>319</v>
      </c>
      <c r="J261" s="103">
        <v>1</v>
      </c>
      <c r="K261" s="157">
        <v>9.9499999999999993</v>
      </c>
      <c r="L261" s="103" t="s">
        <v>1914</v>
      </c>
      <c r="M261" s="103" t="s">
        <v>1052</v>
      </c>
      <c r="N261" s="157">
        <f>MouserListTable12[[#This Row],['# Initial]]*MouserListTable12[[#This Row],[Price (USD)]]</f>
        <v>0</v>
      </c>
      <c r="O261" s="106" t="s">
        <v>316</v>
      </c>
      <c r="P261" s="103">
        <f t="shared" si="4"/>
        <v>243</v>
      </c>
      <c r="Q261" s="103" t="s">
        <v>8</v>
      </c>
      <c r="R26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474-DEV-13041</v>
      </c>
      <c r="S261" s="195" t="str">
        <f>HYPERLINK("https://www.mouser.com/ProductDetail/" &amp;MouserListTable12[[#This Row],[Mouser SKU]])</f>
        <v>https://www.mouser.com/ProductDetail/474-DEV-13041</v>
      </c>
      <c r="T261" s="121">
        <v>0</v>
      </c>
      <c r="U261" s="121">
        <v>1</v>
      </c>
      <c r="V261" s="121">
        <v>0</v>
      </c>
      <c r="W261" s="121">
        <f>MouserListTable12[[#This Row],['#/Unit]]*FilterSpecs!$C$3+MouserListTable12[[#This Row],[Extra]]</f>
        <v>1</v>
      </c>
      <c r="X261" s="121">
        <f>IF(MouserListTable12[[#This Row],[Tag]]=FilterSpecs!$F$7,MouserListTable12[[#This Row],['#/Unit]]*MouserListTable12[[#This Row],[Price (USD)]],0)</f>
        <v>0</v>
      </c>
      <c r="Y261" s="121">
        <f>MouserListTable12[[#This Row],[Tot '#]]*MouserListTable12[[#This Row],[Price (USD)]]</f>
        <v>9.9499999999999993</v>
      </c>
      <c r="Z261"/>
    </row>
    <row r="262" spans="1:26" s="151" customFormat="1" hidden="1" x14ac:dyDescent="0.3">
      <c r="A262" s="103" t="s">
        <v>1046</v>
      </c>
      <c r="B262" s="103" t="s">
        <v>1043</v>
      </c>
      <c r="C262" s="103" t="s">
        <v>1906</v>
      </c>
      <c r="D262" s="106" t="str">
        <f>IF(MouserListTable12[[#This Row],[Vendor]]=FilterSpecs!$A$8,MouserListTable12[[#This Row],[Mouser SKU]], MouserListTable12[[#This Row],[Supplier SKU]])</f>
        <v>474-DEV-13727</v>
      </c>
      <c r="E262" s="121">
        <f>MouserListTable12[[#This Row],[Tot '#]]-MouserListTable12[[#This Row],['# Initial]]</f>
        <v>1</v>
      </c>
      <c r="F262" s="121">
        <f>IF(AND(MouserListTable12[[#This Row],[Tag]]&lt;&gt;FilterSpecs!$F$12, MouserListTable12[[#This Row],[Tag]]&lt;&gt;FilterSpecs!$F$9), MouserListTable12[[#This Row],['#/Unit]]*FilterSpecs!$B$3+MouserListTable12[[#This Row],[Extra Initial]],0)</f>
        <v>0</v>
      </c>
      <c r="G262" s="103" t="s">
        <v>305</v>
      </c>
      <c r="H262" s="103" t="s">
        <v>306</v>
      </c>
      <c r="I262" s="103" t="s">
        <v>307</v>
      </c>
      <c r="J262" s="103">
        <v>1</v>
      </c>
      <c r="K262" s="157">
        <v>9.9499999999999993</v>
      </c>
      <c r="L262" s="103" t="s">
        <v>1914</v>
      </c>
      <c r="M262" s="103" t="s">
        <v>1052</v>
      </c>
      <c r="N262" s="157">
        <f>MouserListTable12[[#This Row],['# Initial]]*MouserListTable12[[#This Row],[Price (USD)]]</f>
        <v>0</v>
      </c>
      <c r="O262" s="106" t="s">
        <v>304</v>
      </c>
      <c r="P262" s="103">
        <f t="shared" si="4"/>
        <v>244</v>
      </c>
      <c r="Q262" s="103" t="s">
        <v>8</v>
      </c>
      <c r="R26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474-DEV-13727</v>
      </c>
      <c r="S262" s="195" t="str">
        <f>HYPERLINK("https://www.mouser.com/ProductDetail/" &amp;MouserListTable12[[#This Row],[Mouser SKU]])</f>
        <v>https://www.mouser.com/ProductDetail/474-DEV-13727</v>
      </c>
      <c r="T262" s="121">
        <v>0</v>
      </c>
      <c r="U262" s="121">
        <v>1</v>
      </c>
      <c r="V262" s="121">
        <v>0</v>
      </c>
      <c r="W262" s="121">
        <f>MouserListTable12[[#This Row],['#/Unit]]*FilterSpecs!$C$3+MouserListTable12[[#This Row],[Extra]]</f>
        <v>1</v>
      </c>
      <c r="X262" s="121">
        <f>IF(MouserListTable12[[#This Row],[Tag]]=FilterSpecs!$F$7,MouserListTable12[[#This Row],['#/Unit]]*MouserListTable12[[#This Row],[Price (USD)]],0)</f>
        <v>0</v>
      </c>
      <c r="Y262" s="121">
        <f>MouserListTable12[[#This Row],[Tot '#]]*MouserListTable12[[#This Row],[Price (USD)]]</f>
        <v>9.9499999999999993</v>
      </c>
      <c r="Z262"/>
    </row>
    <row r="263" spans="1:26" s="151" customFormat="1" hidden="1" x14ac:dyDescent="0.3">
      <c r="A263" s="103" t="s">
        <v>1046</v>
      </c>
      <c r="B263" s="103" t="s">
        <v>1043</v>
      </c>
      <c r="C263" s="103" t="s">
        <v>1906</v>
      </c>
      <c r="D263" s="106" t="str">
        <f>IF(MouserListTable12[[#This Row],[Vendor]]=FilterSpecs!$A$8,MouserListTable12[[#This Row],[Mouser SKU]], MouserListTable12[[#This Row],[Supplier SKU]])</f>
        <v>474-DEV-13035</v>
      </c>
      <c r="E263" s="121">
        <f>MouserListTable12[[#This Row],[Tot '#]]-MouserListTable12[[#This Row],['# Initial]]</f>
        <v>1</v>
      </c>
      <c r="F263" s="121">
        <f>IF(AND(MouserListTable12[[#This Row],[Tag]]&lt;&gt;FilterSpecs!$F$12, MouserListTable12[[#This Row],[Tag]]&lt;&gt;FilterSpecs!$F$9), MouserListTable12[[#This Row],['#/Unit]]*FilterSpecs!$B$3+MouserListTable12[[#This Row],[Extra Initial]],0)</f>
        <v>0</v>
      </c>
      <c r="G263" s="103" t="s">
        <v>1129</v>
      </c>
      <c r="H263" s="103" t="s">
        <v>1130</v>
      </c>
      <c r="I263" s="103" t="s">
        <v>1131</v>
      </c>
      <c r="J263" s="103">
        <v>1</v>
      </c>
      <c r="K263" s="157">
        <v>14.95</v>
      </c>
      <c r="L263" s="103" t="s">
        <v>1914</v>
      </c>
      <c r="M263" s="103" t="s">
        <v>1052</v>
      </c>
      <c r="N263" s="157">
        <f>MouserListTable12[[#This Row],['# Initial]]*MouserListTable12[[#This Row],[Price (USD)]]</f>
        <v>0</v>
      </c>
      <c r="O263" s="106" t="s">
        <v>1128</v>
      </c>
      <c r="P263" s="103">
        <f t="shared" si="4"/>
        <v>245</v>
      </c>
      <c r="Q263" s="103" t="s">
        <v>8</v>
      </c>
      <c r="R26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474-DEV-13035</v>
      </c>
      <c r="S263" s="195" t="str">
        <f>HYPERLINK("https://www.mouser.com/ProductDetail/" &amp;MouserListTable12[[#This Row],[Mouser SKU]])</f>
        <v>https://www.mouser.com/ProductDetail/474-DEV-13035</v>
      </c>
      <c r="T263" s="121">
        <v>0</v>
      </c>
      <c r="U263" s="121">
        <v>1</v>
      </c>
      <c r="V263" s="121">
        <v>0</v>
      </c>
      <c r="W263" s="121">
        <f>MouserListTable12[[#This Row],['#/Unit]]*FilterSpecs!$C$3+MouserListTable12[[#This Row],[Extra]]</f>
        <v>1</v>
      </c>
      <c r="X263" s="121">
        <f>IF(MouserListTable12[[#This Row],[Tag]]=FilterSpecs!$F$7,MouserListTable12[[#This Row],['#/Unit]]*MouserListTable12[[#This Row],[Price (USD)]],0)</f>
        <v>0</v>
      </c>
      <c r="Y263" s="121">
        <f>MouserListTable12[[#This Row],[Tot '#]]*MouserListTable12[[#This Row],[Price (USD)]]</f>
        <v>14.95</v>
      </c>
      <c r="Z263"/>
    </row>
    <row r="264" spans="1:26" s="151" customFormat="1" hidden="1" x14ac:dyDescent="0.3">
      <c r="A264" s="103" t="s">
        <v>1046</v>
      </c>
      <c r="B264" s="103" t="s">
        <v>1043</v>
      </c>
      <c r="C264" s="103" t="s">
        <v>1906</v>
      </c>
      <c r="D264" s="106" t="str">
        <f>IF(MouserListTable12[[#This Row],[Vendor]]=FilterSpecs!$A$8,MouserListTable12[[#This Row],[Mouser SKU]], MouserListTable12[[#This Row],[Supplier SKU]])</f>
        <v>474-DEV-13770</v>
      </c>
      <c r="E264" s="121">
        <f>MouserListTable12[[#This Row],[Tot '#]]-MouserListTable12[[#This Row],['# Initial]]</f>
        <v>1</v>
      </c>
      <c r="F264" s="121">
        <f>IF(AND(MouserListTable12[[#This Row],[Tag]]&lt;&gt;FilterSpecs!$F$12, MouserListTable12[[#This Row],[Tag]]&lt;&gt;FilterSpecs!$F$9), MouserListTable12[[#This Row],['#/Unit]]*FilterSpecs!$B$3+MouserListTable12[[#This Row],[Extra Initial]],0)</f>
        <v>0</v>
      </c>
      <c r="G264" s="103" t="s">
        <v>1149</v>
      </c>
      <c r="H264" s="103" t="s">
        <v>1150</v>
      </c>
      <c r="I264" s="103" t="s">
        <v>1151</v>
      </c>
      <c r="J264" s="103">
        <v>1</v>
      </c>
      <c r="K264" s="157">
        <v>9.9499999999999993</v>
      </c>
      <c r="L264" s="103" t="s">
        <v>1914</v>
      </c>
      <c r="M264" s="103" t="s">
        <v>1052</v>
      </c>
      <c r="N264" s="157">
        <f>MouserListTable12[[#This Row],['# Initial]]*MouserListTable12[[#This Row],[Price (USD)]]</f>
        <v>0</v>
      </c>
      <c r="O264" s="106" t="s">
        <v>1148</v>
      </c>
      <c r="P264" s="103">
        <f t="shared" si="4"/>
        <v>246</v>
      </c>
      <c r="Q264" s="103" t="s">
        <v>8</v>
      </c>
      <c r="R26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474-DEV-13770</v>
      </c>
      <c r="S264" s="195" t="str">
        <f>HYPERLINK("https://www.mouser.com/ProductDetail/" &amp;MouserListTable12[[#This Row],[Mouser SKU]])</f>
        <v>https://www.mouser.com/ProductDetail/474-DEV-13770</v>
      </c>
      <c r="T264" s="121">
        <v>0</v>
      </c>
      <c r="U264" s="121">
        <v>1</v>
      </c>
      <c r="V264" s="121">
        <v>0</v>
      </c>
      <c r="W264" s="121">
        <f>MouserListTable12[[#This Row],['#/Unit]]*FilterSpecs!$C$3+MouserListTable12[[#This Row],[Extra]]</f>
        <v>1</v>
      </c>
      <c r="X264" s="121">
        <f>IF(MouserListTable12[[#This Row],[Tag]]=FilterSpecs!$F$7,MouserListTable12[[#This Row],['#/Unit]]*MouserListTable12[[#This Row],[Price (USD)]],0)</f>
        <v>0</v>
      </c>
      <c r="Y264" s="121">
        <f>MouserListTable12[[#This Row],[Tot '#]]*MouserListTable12[[#This Row],[Price (USD)]]</f>
        <v>9.9499999999999993</v>
      </c>
      <c r="Z264"/>
    </row>
    <row r="265" spans="1:26" s="151" customFormat="1" hidden="1" x14ac:dyDescent="0.3">
      <c r="A265" s="103" t="s">
        <v>1046</v>
      </c>
      <c r="B265" s="103" t="s">
        <v>1043</v>
      </c>
      <c r="C265" s="103" t="s">
        <v>1906</v>
      </c>
      <c r="D265" s="106" t="str">
        <f>IF(MouserListTable12[[#This Row],[Vendor]]=FilterSpecs!$A$8,MouserListTable12[[#This Row],[Mouser SKU]], MouserListTable12[[#This Row],[Supplier SKU]])</f>
        <v>474-COM-13187</v>
      </c>
      <c r="E265" s="121">
        <f>MouserListTable12[[#This Row],[Tot '#]]-MouserListTable12[[#This Row],['# Initial]]</f>
        <v>4</v>
      </c>
      <c r="F265" s="121">
        <f>IF(AND(MouserListTable12[[#This Row],[Tag]]&lt;&gt;FilterSpecs!$F$12, MouserListTable12[[#This Row],[Tag]]&lt;&gt;FilterSpecs!$F$9), MouserListTable12[[#This Row],['#/Unit]]*FilterSpecs!$B$3+MouserListTable12[[#This Row],[Extra Initial]],0)</f>
        <v>0</v>
      </c>
      <c r="G265" s="103" t="s">
        <v>800</v>
      </c>
      <c r="H265" s="103" t="s">
        <v>801</v>
      </c>
      <c r="I265" s="103" t="s">
        <v>802</v>
      </c>
      <c r="J265" s="103">
        <v>1</v>
      </c>
      <c r="K265" s="157">
        <v>2.95</v>
      </c>
      <c r="L265" s="103" t="s">
        <v>1914</v>
      </c>
      <c r="M265" s="103" t="s">
        <v>1052</v>
      </c>
      <c r="N265" s="157">
        <f>MouserListTable12[[#This Row],['# Initial]]*MouserListTable12[[#This Row],[Price (USD)]]</f>
        <v>0</v>
      </c>
      <c r="O265" s="106" t="s">
        <v>799</v>
      </c>
      <c r="P265" s="103">
        <f t="shared" si="4"/>
        <v>247</v>
      </c>
      <c r="Q265" s="103" t="s">
        <v>8</v>
      </c>
      <c r="R26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474-COM-13187</v>
      </c>
      <c r="S265" s="195" t="str">
        <f>HYPERLINK("https://www.mouser.com/ProductDetail/" &amp;MouserListTable12[[#This Row],[Mouser SKU]])</f>
        <v>https://www.mouser.com/ProductDetail/474-COM-13187</v>
      </c>
      <c r="T265" s="121">
        <v>0</v>
      </c>
      <c r="U265" s="121">
        <v>4</v>
      </c>
      <c r="V265" s="121">
        <v>0</v>
      </c>
      <c r="W265" s="121">
        <f>MouserListTable12[[#This Row],['#/Unit]]*FilterSpecs!$C$3+MouserListTable12[[#This Row],[Extra]]</f>
        <v>4</v>
      </c>
      <c r="X265" s="121">
        <f>IF(MouserListTable12[[#This Row],[Tag]]=FilterSpecs!$F$7,MouserListTable12[[#This Row],['#/Unit]]*MouserListTable12[[#This Row],[Price (USD)]],0)</f>
        <v>0</v>
      </c>
      <c r="Y265" s="121">
        <f>MouserListTable12[[#This Row],[Tot '#]]*MouserListTable12[[#This Row],[Price (USD)]]</f>
        <v>11.8</v>
      </c>
      <c r="Z265"/>
    </row>
    <row r="266" spans="1:26" s="151" customFormat="1" ht="16.2" hidden="1" x14ac:dyDescent="0.3">
      <c r="A266" s="103" t="s">
        <v>1046</v>
      </c>
      <c r="B266" s="103" t="s">
        <v>2560</v>
      </c>
      <c r="C266" s="103" t="s">
        <v>1906</v>
      </c>
      <c r="D266" s="106" t="str">
        <f>IF(MouserListTable12[[#This Row],[Vendor]]=FilterSpecs!$A$8,MouserListTable12[[#This Row],[Mouser SKU]], MouserListTable12[[#This Row],[Supplier SKU]])</f>
        <v>474-DEV-14438</v>
      </c>
      <c r="E266" s="121">
        <f>MouserListTable12[[#This Row],[Tot '#]]-MouserListTable12[[#This Row],['# Initial]]</f>
        <v>1</v>
      </c>
      <c r="F266" s="121">
        <f>IF(AND(MouserListTable12[[#This Row],[Tag]]&lt;&gt;FilterSpecs!$F$12, MouserListTable12[[#This Row],[Tag]]&lt;&gt;FilterSpecs!$F$9), MouserListTable12[[#This Row],['#/Unit]]*FilterSpecs!$B$3+MouserListTable12[[#This Row],[Extra Initial]],0)</f>
        <v>0</v>
      </c>
      <c r="G266" s="103" t="s">
        <v>1173</v>
      </c>
      <c r="H266" s="103" t="s">
        <v>1174</v>
      </c>
      <c r="I266" s="103" t="s">
        <v>1175</v>
      </c>
      <c r="J266" s="103"/>
      <c r="K266" s="157">
        <v>20</v>
      </c>
      <c r="L266" s="103" t="s">
        <v>1914</v>
      </c>
      <c r="M266" s="156" t="s">
        <v>1050</v>
      </c>
      <c r="N266" s="157">
        <f>MouserListTable12[[#This Row],['# Initial]]*MouserListTable12[[#This Row],[Price (USD)]]</f>
        <v>0</v>
      </c>
      <c r="O266" s="106" t="s">
        <v>1172</v>
      </c>
      <c r="P266" s="103">
        <f t="shared" si="4"/>
        <v>248</v>
      </c>
      <c r="Q266" s="103" t="s">
        <v>8</v>
      </c>
      <c r="R26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474-DEV-14438</v>
      </c>
      <c r="S266" s="195" t="str">
        <f>HYPERLINK("https://www.mouser.com/ProductDetail/" &amp;MouserListTable12[[#This Row],[Mouser SKU]])</f>
        <v>https://www.mouser.com/ProductDetail/474-DEV-14438</v>
      </c>
      <c r="T266" s="121">
        <v>0</v>
      </c>
      <c r="U266" s="121">
        <v>1</v>
      </c>
      <c r="V266" s="121">
        <v>0</v>
      </c>
      <c r="W266" s="121">
        <f>MouserListTable12[[#This Row],['#/Unit]]*FilterSpecs!$C$3+MouserListTable12[[#This Row],[Extra]]</f>
        <v>1</v>
      </c>
      <c r="X266" s="121">
        <f>IF(MouserListTable12[[#This Row],[Tag]]=FilterSpecs!$F$7,MouserListTable12[[#This Row],['#/Unit]]*MouserListTable12[[#This Row],[Price (USD)]],0)</f>
        <v>0</v>
      </c>
      <c r="Y266" s="121">
        <f>MouserListTable12[[#This Row],[Tot '#]]*MouserListTable12[[#This Row],[Price (USD)]]</f>
        <v>20</v>
      </c>
      <c r="Z266"/>
    </row>
    <row r="267" spans="1:26" s="151" customFormat="1" ht="16.2" hidden="1" x14ac:dyDescent="0.3">
      <c r="A267" s="103" t="s">
        <v>1046</v>
      </c>
      <c r="B267" s="103" t="s">
        <v>2560</v>
      </c>
      <c r="C267" s="103" t="s">
        <v>1906</v>
      </c>
      <c r="D267" s="106" t="str">
        <f>IF(MouserListTable12[[#This Row],[Vendor]]=FilterSpecs!$A$8,MouserListTable12[[#This Row],[Mouser SKU]], MouserListTable12[[#This Row],[Supplier SKU]])</f>
        <v>474-DEV-14431</v>
      </c>
      <c r="E267" s="121">
        <f>MouserListTable12[[#This Row],[Tot '#]]-MouserListTable12[[#This Row],['# Initial]]</f>
        <v>1</v>
      </c>
      <c r="F267" s="121">
        <f>IF(AND(MouserListTable12[[#This Row],[Tag]]&lt;&gt;FilterSpecs!$F$12, MouserListTable12[[#This Row],[Tag]]&lt;&gt;FilterSpecs!$F$9), MouserListTable12[[#This Row],['#/Unit]]*FilterSpecs!$B$3+MouserListTable12[[#This Row],[Extra Initial]],0)</f>
        <v>0</v>
      </c>
      <c r="G267" s="103" t="s">
        <v>1153</v>
      </c>
      <c r="H267" s="103" t="s">
        <v>1154</v>
      </c>
      <c r="I267" s="103" t="s">
        <v>1155</v>
      </c>
      <c r="J267" s="103"/>
      <c r="K267" s="157">
        <v>9</v>
      </c>
      <c r="L267" s="103" t="s">
        <v>1914</v>
      </c>
      <c r="M267" s="156" t="s">
        <v>1050</v>
      </c>
      <c r="N267" s="157">
        <f>MouserListTable12[[#This Row],['# Initial]]*MouserListTable12[[#This Row],[Price (USD)]]</f>
        <v>0</v>
      </c>
      <c r="O267" s="106" t="s">
        <v>1152</v>
      </c>
      <c r="P267" s="103">
        <f t="shared" si="4"/>
        <v>249</v>
      </c>
      <c r="Q267" s="103" t="s">
        <v>8</v>
      </c>
      <c r="R26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474-DEV-14431</v>
      </c>
      <c r="S267" s="195" t="str">
        <f>HYPERLINK("https://www.mouser.com/ProductDetail/" &amp;MouserListTable12[[#This Row],[Mouser SKU]])</f>
        <v>https://www.mouser.com/ProductDetail/474-DEV-14431</v>
      </c>
      <c r="T267" s="121">
        <v>0</v>
      </c>
      <c r="U267" s="121">
        <v>1</v>
      </c>
      <c r="V267" s="121">
        <v>0</v>
      </c>
      <c r="W267" s="121">
        <f>MouserListTable12[[#This Row],['#/Unit]]*FilterSpecs!$C$3+MouserListTable12[[#This Row],[Extra]]</f>
        <v>1</v>
      </c>
      <c r="X267" s="121">
        <f>IF(MouserListTable12[[#This Row],[Tag]]=FilterSpecs!$F$7,MouserListTable12[[#This Row],['#/Unit]]*MouserListTable12[[#This Row],[Price (USD)]],0)</f>
        <v>0</v>
      </c>
      <c r="Y267" s="121">
        <f>MouserListTable12[[#This Row],[Tot '#]]*MouserListTable12[[#This Row],[Price (USD)]]</f>
        <v>9</v>
      </c>
      <c r="Z267"/>
    </row>
    <row r="268" spans="1:26" s="151" customFormat="1" ht="16.2" hidden="1" x14ac:dyDescent="0.3">
      <c r="A268" s="103" t="s">
        <v>1046</v>
      </c>
      <c r="B268" s="103" t="s">
        <v>2560</v>
      </c>
      <c r="C268" s="103" t="s">
        <v>1906</v>
      </c>
      <c r="D268" s="106" t="str">
        <f>IF(MouserListTable12[[#This Row],[Vendor]]=FilterSpecs!$A$8,MouserListTable12[[#This Row],[Mouser SKU]], MouserListTable12[[#This Row],[Supplier SKU]])</f>
        <v>474-DEV-14443</v>
      </c>
      <c r="E268" s="121">
        <f>MouserListTable12[[#This Row],[Tot '#]]-MouserListTable12[[#This Row],['# Initial]]</f>
        <v>1</v>
      </c>
      <c r="F268" s="121">
        <f>IF(AND(MouserListTable12[[#This Row],[Tag]]&lt;&gt;FilterSpecs!$F$12, MouserListTable12[[#This Row],[Tag]]&lt;&gt;FilterSpecs!$F$9), MouserListTable12[[#This Row],['#/Unit]]*FilterSpecs!$B$3+MouserListTable12[[#This Row],[Extra Initial]],0)</f>
        <v>0</v>
      </c>
      <c r="G268" s="103" t="s">
        <v>1157</v>
      </c>
      <c r="H268" s="103" t="s">
        <v>1158</v>
      </c>
      <c r="I268" s="103" t="s">
        <v>1159</v>
      </c>
      <c r="J268" s="103"/>
      <c r="K268" s="157">
        <v>5</v>
      </c>
      <c r="L268" s="103" t="s">
        <v>1914</v>
      </c>
      <c r="M268" s="156" t="s">
        <v>1050</v>
      </c>
      <c r="N268" s="157">
        <f>MouserListTable12[[#This Row],['# Initial]]*MouserListTable12[[#This Row],[Price (USD)]]</f>
        <v>0</v>
      </c>
      <c r="O268" s="106" t="s">
        <v>1156</v>
      </c>
      <c r="P268" s="103">
        <f t="shared" si="4"/>
        <v>250</v>
      </c>
      <c r="Q268" s="103" t="s">
        <v>8</v>
      </c>
      <c r="R26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474-DEV-14443</v>
      </c>
      <c r="S268" s="195" t="str">
        <f>HYPERLINK("https://www.mouser.com/ProductDetail/" &amp;MouserListTable12[[#This Row],[Mouser SKU]])</f>
        <v>https://www.mouser.com/ProductDetail/474-DEV-14443</v>
      </c>
      <c r="T268" s="121">
        <v>0</v>
      </c>
      <c r="U268" s="121">
        <v>1</v>
      </c>
      <c r="V268" s="121">
        <v>0</v>
      </c>
      <c r="W268" s="121">
        <f>MouserListTable12[[#This Row],['#/Unit]]*FilterSpecs!$C$3+MouserListTable12[[#This Row],[Extra]]</f>
        <v>1</v>
      </c>
      <c r="X268" s="121">
        <f>IF(MouserListTable12[[#This Row],[Tag]]=FilterSpecs!$F$7,MouserListTable12[[#This Row],['#/Unit]]*MouserListTable12[[#This Row],[Price (USD)]],0)</f>
        <v>0</v>
      </c>
      <c r="Y268" s="121">
        <f>MouserListTable12[[#This Row],[Tot '#]]*MouserListTable12[[#This Row],[Price (USD)]]</f>
        <v>5</v>
      </c>
      <c r="Z268"/>
    </row>
    <row r="269" spans="1:26" s="151" customFormat="1" ht="16.2" hidden="1" x14ac:dyDescent="0.3">
      <c r="A269" s="103" t="s">
        <v>1046</v>
      </c>
      <c r="B269" s="103" t="s">
        <v>2560</v>
      </c>
      <c r="C269" s="103" t="s">
        <v>1906</v>
      </c>
      <c r="D269" s="106" t="str">
        <f>IF(MouserListTable12[[#This Row],[Vendor]]=FilterSpecs!$A$8,MouserListTable12[[#This Row],[Mouser SKU]], MouserListTable12[[#This Row],[Supplier SKU]])</f>
        <v>474-DEV-14442</v>
      </c>
      <c r="E269" s="121">
        <f>MouserListTable12[[#This Row],[Tot '#]]-MouserListTable12[[#This Row],['# Initial]]</f>
        <v>1</v>
      </c>
      <c r="F269" s="121">
        <f>IF(AND(MouserListTable12[[#This Row],[Tag]]&lt;&gt;FilterSpecs!$F$12, MouserListTable12[[#This Row],[Tag]]&lt;&gt;FilterSpecs!$F$9), MouserListTable12[[#This Row],['#/Unit]]*FilterSpecs!$B$3+MouserListTable12[[#This Row],[Extra Initial]],0)</f>
        <v>0</v>
      </c>
      <c r="G269" s="103" t="s">
        <v>1165</v>
      </c>
      <c r="H269" s="103" t="s">
        <v>1166</v>
      </c>
      <c r="I269" s="103" t="s">
        <v>1167</v>
      </c>
      <c r="J269" s="103"/>
      <c r="K269" s="157">
        <v>15</v>
      </c>
      <c r="L269" s="103" t="s">
        <v>1914</v>
      </c>
      <c r="M269" s="156" t="s">
        <v>1050</v>
      </c>
      <c r="N269" s="157">
        <f>MouserListTable12[[#This Row],['# Initial]]*MouserListTable12[[#This Row],[Price (USD)]]</f>
        <v>0</v>
      </c>
      <c r="O269" s="106" t="s">
        <v>1164</v>
      </c>
      <c r="P269" s="103">
        <f t="shared" si="4"/>
        <v>251</v>
      </c>
      <c r="Q269" s="103" t="s">
        <v>8</v>
      </c>
      <c r="R26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474-DEV-14442</v>
      </c>
      <c r="S269" s="195" t="str">
        <f>HYPERLINK("https://www.mouser.com/ProductDetail/" &amp;MouserListTable12[[#This Row],[Mouser SKU]])</f>
        <v>https://www.mouser.com/ProductDetail/474-DEV-14442</v>
      </c>
      <c r="T269" s="121">
        <v>0</v>
      </c>
      <c r="U269" s="121">
        <v>1</v>
      </c>
      <c r="V269" s="121">
        <v>0</v>
      </c>
      <c r="W269" s="121">
        <f>MouserListTable12[[#This Row],['#/Unit]]*FilterSpecs!$C$3+MouserListTable12[[#This Row],[Extra]]</f>
        <v>1</v>
      </c>
      <c r="X269" s="121">
        <f>IF(MouserListTable12[[#This Row],[Tag]]=FilterSpecs!$F$7,MouserListTable12[[#This Row],['#/Unit]]*MouserListTable12[[#This Row],[Price (USD)]],0)</f>
        <v>0</v>
      </c>
      <c r="Y269" s="121">
        <f>MouserListTable12[[#This Row],[Tot '#]]*MouserListTable12[[#This Row],[Price (USD)]]</f>
        <v>15</v>
      </c>
      <c r="Z269"/>
    </row>
    <row r="270" spans="1:26" s="151" customFormat="1" ht="16.2" hidden="1" x14ac:dyDescent="0.3">
      <c r="A270" s="103" t="s">
        <v>1046</v>
      </c>
      <c r="B270" s="103" t="s">
        <v>2560</v>
      </c>
      <c r="C270" s="103" t="s">
        <v>1906</v>
      </c>
      <c r="D270" s="106" t="str">
        <f>IF(MouserListTable12[[#This Row],[Vendor]]=FilterSpecs!$A$8,MouserListTable12[[#This Row],[Mouser SKU]], MouserListTable12[[#This Row],[Supplier SKU]])</f>
        <v>474-DEV-14441</v>
      </c>
      <c r="E270" s="121">
        <f>MouserListTable12[[#This Row],[Tot '#]]-MouserListTable12[[#This Row],['# Initial]]</f>
        <v>1</v>
      </c>
      <c r="F270" s="121">
        <f>IF(AND(MouserListTable12[[#This Row],[Tag]]&lt;&gt;FilterSpecs!$F$12, MouserListTable12[[#This Row],[Tag]]&lt;&gt;FilterSpecs!$F$9), MouserListTable12[[#This Row],['#/Unit]]*FilterSpecs!$B$3+MouserListTable12[[#This Row],[Extra Initial]],0)</f>
        <v>0</v>
      </c>
      <c r="G270" s="103" t="s">
        <v>1169</v>
      </c>
      <c r="H270" s="103" t="s">
        <v>1170</v>
      </c>
      <c r="I270" s="103" t="s">
        <v>1171</v>
      </c>
      <c r="J270" s="103"/>
      <c r="K270" s="157">
        <v>15</v>
      </c>
      <c r="L270" s="103" t="s">
        <v>1914</v>
      </c>
      <c r="M270" s="156" t="s">
        <v>1050</v>
      </c>
      <c r="N270" s="157">
        <f>MouserListTable12[[#This Row],['# Initial]]*MouserListTable12[[#This Row],[Price (USD)]]</f>
        <v>0</v>
      </c>
      <c r="O270" s="106" t="s">
        <v>1168</v>
      </c>
      <c r="P270" s="103">
        <f t="shared" si="4"/>
        <v>252</v>
      </c>
      <c r="Q270" s="103" t="s">
        <v>8</v>
      </c>
      <c r="R27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474-DEV-14441</v>
      </c>
      <c r="S270" s="195" t="str">
        <f>HYPERLINK("https://www.mouser.com/ProductDetail/" &amp;MouserListTable12[[#This Row],[Mouser SKU]])</f>
        <v>https://www.mouser.com/ProductDetail/474-DEV-14441</v>
      </c>
      <c r="T270" s="121">
        <v>0</v>
      </c>
      <c r="U270" s="121">
        <v>1</v>
      </c>
      <c r="V270" s="121">
        <v>0</v>
      </c>
      <c r="W270" s="121">
        <f>MouserListTable12[[#This Row],['#/Unit]]*FilterSpecs!$C$3+MouserListTable12[[#This Row],[Extra]]</f>
        <v>1</v>
      </c>
      <c r="X270" s="121">
        <f>IF(MouserListTable12[[#This Row],[Tag]]=FilterSpecs!$F$7,MouserListTable12[[#This Row],['#/Unit]]*MouserListTable12[[#This Row],[Price (USD)]],0)</f>
        <v>0</v>
      </c>
      <c r="Y270" s="121">
        <f>MouserListTable12[[#This Row],[Tot '#]]*MouserListTable12[[#This Row],[Price (USD)]]</f>
        <v>15</v>
      </c>
      <c r="Z270"/>
    </row>
    <row r="271" spans="1:26" s="144" customFormat="1" hidden="1" x14ac:dyDescent="0.3">
      <c r="A271" s="103" t="s">
        <v>1046</v>
      </c>
      <c r="B271" s="103" t="s">
        <v>1180</v>
      </c>
      <c r="C271" s="103" t="s">
        <v>1906</v>
      </c>
      <c r="D271" s="106" t="str">
        <f>IF(MouserListTable12[[#This Row],[Vendor]]=FilterSpecs!$A$8,MouserListTable12[[#This Row],[Mouser SKU]], MouserListTable12[[#This Row],[Supplier SKU]])</f>
        <v>474-DEV-14437</v>
      </c>
      <c r="E271" s="121">
        <f>MouserListTable12[[#This Row],[Tot '#]]-MouserListTable12[[#This Row],['# Initial]]</f>
        <v>1</v>
      </c>
      <c r="F271" s="121">
        <f>IF(AND(MouserListTable12[[#This Row],[Tag]]&lt;&gt;FilterSpecs!$F$12, MouserListTable12[[#This Row],[Tag]]&lt;&gt;FilterSpecs!$F$9), MouserListTable12[[#This Row],['#/Unit]]*FilterSpecs!$B$3+MouserListTable12[[#This Row],[Extra Initial]],0)</f>
        <v>0</v>
      </c>
      <c r="G271" s="103" t="s">
        <v>2438</v>
      </c>
      <c r="H271" s="103" t="s">
        <v>2439</v>
      </c>
      <c r="I271" s="103" t="s">
        <v>2440</v>
      </c>
      <c r="J271" s="103"/>
      <c r="K271" s="157">
        <v>15</v>
      </c>
      <c r="L271" s="103" t="s">
        <v>1914</v>
      </c>
      <c r="M271" s="103" t="s">
        <v>1050</v>
      </c>
      <c r="N271" s="157">
        <f>MouserListTable12[[#This Row],['# Initial]]*MouserListTable12[[#This Row],[Price (USD)]]</f>
        <v>0</v>
      </c>
      <c r="O271" s="106" t="s">
        <v>2437</v>
      </c>
      <c r="P271" s="103">
        <f t="shared" si="4"/>
        <v>253</v>
      </c>
      <c r="Q271" s="103" t="s">
        <v>8</v>
      </c>
      <c r="R27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474-DEV-14437</v>
      </c>
      <c r="S271" s="195" t="str">
        <f>HYPERLINK("https://www.mouser.com/ProductDetail/" &amp;MouserListTable12[[#This Row],[Mouser SKU]])</f>
        <v>https://www.mouser.com/ProductDetail/474-DEV-14437</v>
      </c>
      <c r="T271" s="121">
        <v>0</v>
      </c>
      <c r="U271" s="121">
        <v>1</v>
      </c>
      <c r="V271" s="121">
        <v>0</v>
      </c>
      <c r="W271" s="121">
        <f>MouserListTable12[[#This Row],['#/Unit]]*FilterSpecs!$C$3+MouserListTable12[[#This Row],[Extra]]</f>
        <v>1</v>
      </c>
      <c r="X271" s="121">
        <f>IF(MouserListTable12[[#This Row],[Tag]]=FilterSpecs!$F$7,MouserListTable12[[#This Row],['#/Unit]]*MouserListTable12[[#This Row],[Price (USD)]],0)</f>
        <v>0</v>
      </c>
      <c r="Y271" s="121">
        <f>MouserListTable12[[#This Row],[Tot '#]]*MouserListTable12[[#This Row],[Price (USD)]]</f>
        <v>15</v>
      </c>
      <c r="Z271"/>
    </row>
    <row r="272" spans="1:26" s="144" customFormat="1" hidden="1" x14ac:dyDescent="0.3">
      <c r="A272" s="103" t="s">
        <v>1046</v>
      </c>
      <c r="B272" s="103" t="s">
        <v>1180</v>
      </c>
      <c r="C272" s="103" t="s">
        <v>1906</v>
      </c>
      <c r="D272" s="106" t="str">
        <f>IF(MouserListTable12[[#This Row],[Vendor]]=FilterSpecs!$A$8,MouserListTable12[[#This Row],[Mouser SKU]], MouserListTable12[[#This Row],[Supplier SKU]])</f>
        <v>474-DEV-14436</v>
      </c>
      <c r="E272" s="121">
        <f>MouserListTable12[[#This Row],[Tot '#]]-MouserListTable12[[#This Row],['# Initial]]</f>
        <v>1</v>
      </c>
      <c r="F272" s="121">
        <f>IF(AND(MouserListTable12[[#This Row],[Tag]]&lt;&gt;FilterSpecs!$F$12, MouserListTable12[[#This Row],[Tag]]&lt;&gt;FilterSpecs!$F$9), MouserListTable12[[#This Row],['#/Unit]]*FilterSpecs!$B$3+MouserListTable12[[#This Row],[Extra Initial]],0)</f>
        <v>0</v>
      </c>
      <c r="G272" s="103" t="s">
        <v>2442</v>
      </c>
      <c r="H272" s="103" t="s">
        <v>2443</v>
      </c>
      <c r="I272" s="103" t="s">
        <v>2444</v>
      </c>
      <c r="J272" s="103"/>
      <c r="K272" s="157">
        <v>10</v>
      </c>
      <c r="L272" s="103" t="s">
        <v>1914</v>
      </c>
      <c r="M272" s="103" t="s">
        <v>1050</v>
      </c>
      <c r="N272" s="157">
        <f>MouserListTable12[[#This Row],['# Initial]]*MouserListTable12[[#This Row],[Price (USD)]]</f>
        <v>0</v>
      </c>
      <c r="O272" s="106" t="s">
        <v>2441</v>
      </c>
      <c r="P272" s="103">
        <f t="shared" si="4"/>
        <v>254</v>
      </c>
      <c r="Q272" s="103" t="s">
        <v>8</v>
      </c>
      <c r="R27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474-DEV-14436</v>
      </c>
      <c r="S272" s="195" t="str">
        <f>HYPERLINK("https://www.mouser.com/ProductDetail/" &amp;MouserListTable12[[#This Row],[Mouser SKU]])</f>
        <v>https://www.mouser.com/ProductDetail/474-DEV-14436</v>
      </c>
      <c r="T272" s="121">
        <v>0</v>
      </c>
      <c r="U272" s="121">
        <v>1</v>
      </c>
      <c r="V272" s="121">
        <v>0</v>
      </c>
      <c r="W272" s="121">
        <f>MouserListTable12[[#This Row],['#/Unit]]*FilterSpecs!$C$3+MouserListTable12[[#This Row],[Extra]]</f>
        <v>1</v>
      </c>
      <c r="X272" s="121">
        <f>IF(MouserListTable12[[#This Row],[Tag]]=FilterSpecs!$F$7,MouserListTable12[[#This Row],['#/Unit]]*MouserListTable12[[#This Row],[Price (USD)]],0)</f>
        <v>0</v>
      </c>
      <c r="Y272" s="121">
        <f>MouserListTable12[[#This Row],[Tot '#]]*MouserListTable12[[#This Row],[Price (USD)]]</f>
        <v>10</v>
      </c>
      <c r="Z272"/>
    </row>
    <row r="273" spans="1:26" s="151" customFormat="1" ht="16.2" hidden="1" x14ac:dyDescent="0.3">
      <c r="A273" s="103" t="s">
        <v>1047</v>
      </c>
      <c r="B273" s="103" t="s">
        <v>2561</v>
      </c>
      <c r="C273" s="103" t="s">
        <v>1906</v>
      </c>
      <c r="D273" s="106" t="str">
        <f>IF(MouserListTable12[[#This Row],[Vendor]]=FilterSpecs!$A$8,MouserListTable12[[#This Row],[Mouser SKU]], MouserListTable12[[#This Row],[Supplier SKU]])</f>
        <v>474-DEV-14439</v>
      </c>
      <c r="E273" s="121">
        <f>MouserListTable12[[#This Row],[Tot '#]]-MouserListTable12[[#This Row],['# Initial]]</f>
        <v>1</v>
      </c>
      <c r="F273" s="121">
        <f>IF(AND(MouserListTable12[[#This Row],[Tag]]&lt;&gt;FilterSpecs!$F$12, MouserListTable12[[#This Row],[Tag]]&lt;&gt;FilterSpecs!$F$9), MouserListTable12[[#This Row],['#/Unit]]*FilterSpecs!$B$3+MouserListTable12[[#This Row],[Extra Initial]],0)</f>
        <v>0</v>
      </c>
      <c r="G273" s="103" t="s">
        <v>1077</v>
      </c>
      <c r="H273" s="103" t="s">
        <v>1078</v>
      </c>
      <c r="I273" s="103" t="s">
        <v>1079</v>
      </c>
      <c r="J273" s="103"/>
      <c r="K273" s="157">
        <v>15</v>
      </c>
      <c r="L273" s="103" t="s">
        <v>1914</v>
      </c>
      <c r="M273" s="156" t="s">
        <v>1050</v>
      </c>
      <c r="N273" s="157">
        <f>MouserListTable12[[#This Row],['# Initial]]*MouserListTable12[[#This Row],[Price (USD)]]</f>
        <v>0</v>
      </c>
      <c r="O273" s="106" t="s">
        <v>1076</v>
      </c>
      <c r="P273" s="103">
        <f t="shared" si="4"/>
        <v>255</v>
      </c>
      <c r="Q273" s="103" t="s">
        <v>8</v>
      </c>
      <c r="R27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474-DEV-14439</v>
      </c>
      <c r="S273" s="195" t="str">
        <f>HYPERLINK("https://www.mouser.com/ProductDetail/" &amp;MouserListTable12[[#This Row],[Mouser SKU]])</f>
        <v>https://www.mouser.com/ProductDetail/474-DEV-14439</v>
      </c>
      <c r="T273" s="121">
        <v>0</v>
      </c>
      <c r="U273" s="121">
        <v>1</v>
      </c>
      <c r="V273" s="121">
        <v>0</v>
      </c>
      <c r="W273" s="121">
        <f>MouserListTable12[[#This Row],['#/Unit]]*FilterSpecs!$C$3+MouserListTable12[[#This Row],[Extra]]</f>
        <v>1</v>
      </c>
      <c r="X273" s="121">
        <f>IF(MouserListTable12[[#This Row],[Tag]]=FilterSpecs!$F$7,MouserListTable12[[#This Row],['#/Unit]]*MouserListTable12[[#This Row],[Price (USD)]],0)</f>
        <v>0</v>
      </c>
      <c r="Y273" s="121">
        <f>MouserListTable12[[#This Row],[Tot '#]]*MouserListTable12[[#This Row],[Price (USD)]]</f>
        <v>15</v>
      </c>
      <c r="Z273"/>
    </row>
    <row r="274" spans="1:26" s="151" customFormat="1" ht="16.2" hidden="1" x14ac:dyDescent="0.3">
      <c r="A274" s="103" t="s">
        <v>1047</v>
      </c>
      <c r="B274" s="103" t="s">
        <v>2561</v>
      </c>
      <c r="C274" s="103" t="s">
        <v>1906</v>
      </c>
      <c r="D274" s="106" t="str">
        <f>IF(MouserListTable12[[#This Row],[Vendor]]=FilterSpecs!$A$8,MouserListTable12[[#This Row],[Mouser SKU]], MouserListTable12[[#This Row],[Supplier SKU]])</f>
        <v>474-DEV-14431</v>
      </c>
      <c r="E274" s="121">
        <f>MouserListTable12[[#This Row],[Tot '#]]-MouserListTable12[[#This Row],['# Initial]]</f>
        <v>1</v>
      </c>
      <c r="F274" s="121">
        <f>IF(AND(MouserListTable12[[#This Row],[Tag]]&lt;&gt;FilterSpecs!$F$12, MouserListTable12[[#This Row],[Tag]]&lt;&gt;FilterSpecs!$F$9), MouserListTable12[[#This Row],['#/Unit]]*FilterSpecs!$B$3+MouserListTable12[[#This Row],[Extra Initial]],0)</f>
        <v>0</v>
      </c>
      <c r="G274" s="103" t="s">
        <v>1153</v>
      </c>
      <c r="H274" s="103" t="s">
        <v>1154</v>
      </c>
      <c r="I274" s="103" t="s">
        <v>1155</v>
      </c>
      <c r="J274" s="103"/>
      <c r="K274" s="157">
        <v>9</v>
      </c>
      <c r="L274" s="103" t="s">
        <v>1914</v>
      </c>
      <c r="M274" s="156" t="s">
        <v>1050</v>
      </c>
      <c r="N274" s="157">
        <f>MouserListTable12[[#This Row],['# Initial]]*MouserListTable12[[#This Row],[Price (USD)]]</f>
        <v>0</v>
      </c>
      <c r="O274" s="106" t="s">
        <v>1152</v>
      </c>
      <c r="P274" s="103">
        <f t="shared" ref="P274:P338" si="5">IF($P273="List #",1,$P273+1)</f>
        <v>256</v>
      </c>
      <c r="Q274" s="103" t="s">
        <v>8</v>
      </c>
      <c r="R27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474-DEV-14431</v>
      </c>
      <c r="S274" s="195" t="str">
        <f>HYPERLINK("https://www.mouser.com/ProductDetail/" &amp;MouserListTable12[[#This Row],[Mouser SKU]])</f>
        <v>https://www.mouser.com/ProductDetail/474-DEV-14431</v>
      </c>
      <c r="T274" s="121">
        <v>0</v>
      </c>
      <c r="U274" s="121">
        <v>1</v>
      </c>
      <c r="V274" s="121">
        <v>0</v>
      </c>
      <c r="W274" s="121">
        <f>MouserListTable12[[#This Row],['#/Unit]]*FilterSpecs!$C$3+MouserListTable12[[#This Row],[Extra]]</f>
        <v>1</v>
      </c>
      <c r="X274" s="121">
        <f>IF(MouserListTable12[[#This Row],[Tag]]=FilterSpecs!$F$7,MouserListTable12[[#This Row],['#/Unit]]*MouserListTable12[[#This Row],[Price (USD)]],0)</f>
        <v>0</v>
      </c>
      <c r="Y274" s="121">
        <f>MouserListTable12[[#This Row],[Tot '#]]*MouserListTable12[[#This Row],[Price (USD)]]</f>
        <v>9</v>
      </c>
      <c r="Z274"/>
    </row>
    <row r="275" spans="1:26" s="151" customFormat="1" ht="16.2" hidden="1" x14ac:dyDescent="0.3">
      <c r="A275" s="103" t="s">
        <v>1047</v>
      </c>
      <c r="B275" s="103" t="s">
        <v>2561</v>
      </c>
      <c r="C275" s="103" t="s">
        <v>1906</v>
      </c>
      <c r="D275" s="106" t="str">
        <f>IF(MouserListTable12[[#This Row],[Vendor]]=FilterSpecs!$A$8,MouserListTable12[[#This Row],[Mouser SKU]], MouserListTable12[[#This Row],[Supplier SKU]])</f>
        <v>474-DEV-14446</v>
      </c>
      <c r="E275" s="121">
        <f>MouserListTable12[[#This Row],[Tot '#]]-MouserListTable12[[#This Row],['# Initial]]</f>
        <v>1</v>
      </c>
      <c r="F275" s="121">
        <f>IF(AND(MouserListTable12[[#This Row],[Tag]]&lt;&gt;FilterSpecs!$F$12, MouserListTable12[[#This Row],[Tag]]&lt;&gt;FilterSpecs!$F$9), MouserListTable12[[#This Row],['#/Unit]]*FilterSpecs!$B$3+MouserListTable12[[#This Row],[Extra Initial]],0)</f>
        <v>0</v>
      </c>
      <c r="G275" s="103" t="s">
        <v>1161</v>
      </c>
      <c r="H275" s="103" t="s">
        <v>1162</v>
      </c>
      <c r="I275" s="103" t="s">
        <v>1163</v>
      </c>
      <c r="J275" s="103"/>
      <c r="K275" s="157">
        <v>30</v>
      </c>
      <c r="L275" s="103" t="s">
        <v>1914</v>
      </c>
      <c r="M275" s="156" t="s">
        <v>1050</v>
      </c>
      <c r="N275" s="157">
        <f>MouserListTable12[[#This Row],['# Initial]]*MouserListTable12[[#This Row],[Price (USD)]]</f>
        <v>0</v>
      </c>
      <c r="O275" s="106" t="s">
        <v>1160</v>
      </c>
      <c r="P275" s="103">
        <f t="shared" si="5"/>
        <v>257</v>
      </c>
      <c r="Q275" s="103" t="s">
        <v>8</v>
      </c>
      <c r="R27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474-DEV-14446</v>
      </c>
      <c r="S275" s="195" t="str">
        <f>HYPERLINK("https://www.mouser.com/ProductDetail/" &amp;MouserListTable12[[#This Row],[Mouser SKU]])</f>
        <v>https://www.mouser.com/ProductDetail/474-DEV-14446</v>
      </c>
      <c r="T275" s="121">
        <v>0</v>
      </c>
      <c r="U275" s="121">
        <v>1</v>
      </c>
      <c r="V275" s="121">
        <v>0</v>
      </c>
      <c r="W275" s="121">
        <f>MouserListTable12[[#This Row],['#/Unit]]*FilterSpecs!$C$3+MouserListTable12[[#This Row],[Extra]]</f>
        <v>1</v>
      </c>
      <c r="X275" s="121">
        <f>IF(MouserListTable12[[#This Row],[Tag]]=FilterSpecs!$F$7,MouserListTable12[[#This Row],['#/Unit]]*MouserListTable12[[#This Row],[Price (USD)]],0)</f>
        <v>0</v>
      </c>
      <c r="Y275" s="121">
        <f>MouserListTable12[[#This Row],[Tot '#]]*MouserListTable12[[#This Row],[Price (USD)]]</f>
        <v>30</v>
      </c>
      <c r="Z275"/>
    </row>
    <row r="276" spans="1:26" s="151" customFormat="1" ht="16.2" hidden="1" x14ac:dyDescent="0.3">
      <c r="A276" s="103" t="s">
        <v>1047</v>
      </c>
      <c r="B276" s="103" t="s">
        <v>2561</v>
      </c>
      <c r="C276" s="103" t="s">
        <v>1906</v>
      </c>
      <c r="D276" s="106" t="str">
        <f>IF(MouserListTable12[[#This Row],[Vendor]]=FilterSpecs!$A$8,MouserListTable12[[#This Row],[Mouser SKU]], MouserListTable12[[#This Row],[Supplier SKU]])</f>
        <v>474-DEV-14443</v>
      </c>
      <c r="E276" s="121">
        <f>MouserListTable12[[#This Row],[Tot '#]]-MouserListTable12[[#This Row],['# Initial]]</f>
        <v>1</v>
      </c>
      <c r="F276" s="121">
        <f>IF(AND(MouserListTable12[[#This Row],[Tag]]&lt;&gt;FilterSpecs!$F$12, MouserListTable12[[#This Row],[Tag]]&lt;&gt;FilterSpecs!$F$9), MouserListTable12[[#This Row],['#/Unit]]*FilterSpecs!$B$3+MouserListTable12[[#This Row],[Extra Initial]],0)</f>
        <v>0</v>
      </c>
      <c r="G276" s="103" t="s">
        <v>1157</v>
      </c>
      <c r="H276" s="103" t="s">
        <v>1158</v>
      </c>
      <c r="I276" s="103" t="s">
        <v>1159</v>
      </c>
      <c r="J276" s="103"/>
      <c r="K276" s="157">
        <v>5</v>
      </c>
      <c r="L276" s="103" t="s">
        <v>1914</v>
      </c>
      <c r="M276" s="156" t="s">
        <v>1050</v>
      </c>
      <c r="N276" s="157">
        <f>MouserListTable12[[#This Row],['# Initial]]*MouserListTable12[[#This Row],[Price (USD)]]</f>
        <v>0</v>
      </c>
      <c r="O276" s="106" t="s">
        <v>1156</v>
      </c>
      <c r="P276" s="103">
        <f t="shared" si="5"/>
        <v>258</v>
      </c>
      <c r="Q276" s="103" t="s">
        <v>8</v>
      </c>
      <c r="R27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474-DEV-14443</v>
      </c>
      <c r="S276" s="195" t="str">
        <f>HYPERLINK("https://www.mouser.com/ProductDetail/" &amp;MouserListTable12[[#This Row],[Mouser SKU]])</f>
        <v>https://www.mouser.com/ProductDetail/474-DEV-14443</v>
      </c>
      <c r="T276" s="121">
        <v>0</v>
      </c>
      <c r="U276" s="121">
        <v>1</v>
      </c>
      <c r="V276" s="121">
        <v>0</v>
      </c>
      <c r="W276" s="121">
        <f>MouserListTable12[[#This Row],['#/Unit]]*FilterSpecs!$C$3+MouserListTable12[[#This Row],[Extra]]</f>
        <v>1</v>
      </c>
      <c r="X276" s="121">
        <f>IF(MouserListTable12[[#This Row],[Tag]]=FilterSpecs!$F$7,MouserListTable12[[#This Row],['#/Unit]]*MouserListTable12[[#This Row],[Price (USD)]],0)</f>
        <v>0</v>
      </c>
      <c r="Y276" s="121">
        <f>MouserListTable12[[#This Row],[Tot '#]]*MouserListTable12[[#This Row],[Price (USD)]]</f>
        <v>5</v>
      </c>
      <c r="Z276"/>
    </row>
    <row r="277" spans="1:26" s="151" customFormat="1" ht="16.2" hidden="1" x14ac:dyDescent="0.3">
      <c r="A277" s="103" t="s">
        <v>1047</v>
      </c>
      <c r="B277" s="103" t="s">
        <v>2561</v>
      </c>
      <c r="C277" s="103" t="s">
        <v>1906</v>
      </c>
      <c r="D277" s="106" t="str">
        <f>IF(MouserListTable12[[#This Row],[Vendor]]=FilterSpecs!$A$8,MouserListTable12[[#This Row],[Mouser SKU]], MouserListTable12[[#This Row],[Supplier SKU]])</f>
        <v>474-DEV-14442</v>
      </c>
      <c r="E277" s="121">
        <f>MouserListTable12[[#This Row],[Tot '#]]-MouserListTable12[[#This Row],['# Initial]]</f>
        <v>1</v>
      </c>
      <c r="F277" s="121">
        <f>IF(AND(MouserListTable12[[#This Row],[Tag]]&lt;&gt;FilterSpecs!$F$12, MouserListTable12[[#This Row],[Tag]]&lt;&gt;FilterSpecs!$F$9), MouserListTable12[[#This Row],['#/Unit]]*FilterSpecs!$B$3+MouserListTable12[[#This Row],[Extra Initial]],0)</f>
        <v>0</v>
      </c>
      <c r="G277" s="103" t="s">
        <v>1165</v>
      </c>
      <c r="H277" s="103" t="s">
        <v>1166</v>
      </c>
      <c r="I277" s="103" t="s">
        <v>1167</v>
      </c>
      <c r="J277" s="103"/>
      <c r="K277" s="157">
        <v>15</v>
      </c>
      <c r="L277" s="103" t="s">
        <v>1914</v>
      </c>
      <c r="M277" s="156" t="s">
        <v>1050</v>
      </c>
      <c r="N277" s="157">
        <f>MouserListTable12[[#This Row],['# Initial]]*MouserListTable12[[#This Row],[Price (USD)]]</f>
        <v>0</v>
      </c>
      <c r="O277" s="106" t="s">
        <v>1164</v>
      </c>
      <c r="P277" s="103">
        <f t="shared" si="5"/>
        <v>259</v>
      </c>
      <c r="Q277" s="103" t="s">
        <v>8</v>
      </c>
      <c r="R27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474-DEV-14442</v>
      </c>
      <c r="S277" s="195" t="str">
        <f>HYPERLINK("https://www.mouser.com/ProductDetail/" &amp;MouserListTable12[[#This Row],[Mouser SKU]])</f>
        <v>https://www.mouser.com/ProductDetail/474-DEV-14442</v>
      </c>
      <c r="T277" s="121">
        <v>0</v>
      </c>
      <c r="U277" s="121">
        <v>1</v>
      </c>
      <c r="V277" s="121">
        <v>0</v>
      </c>
      <c r="W277" s="121">
        <f>MouserListTable12[[#This Row],['#/Unit]]*FilterSpecs!$C$3+MouserListTable12[[#This Row],[Extra]]</f>
        <v>1</v>
      </c>
      <c r="X277" s="121">
        <f>IF(MouserListTable12[[#This Row],[Tag]]=FilterSpecs!$F$7,MouserListTable12[[#This Row],['#/Unit]]*MouserListTable12[[#This Row],[Price (USD)]],0)</f>
        <v>0</v>
      </c>
      <c r="Y277" s="121">
        <f>MouserListTable12[[#This Row],[Tot '#]]*MouserListTable12[[#This Row],[Price (USD)]]</f>
        <v>15</v>
      </c>
      <c r="Z277"/>
    </row>
    <row r="278" spans="1:26" s="151" customFormat="1" hidden="1" x14ac:dyDescent="0.3">
      <c r="A278" s="103" t="s">
        <v>1047</v>
      </c>
      <c r="B278" s="103" t="s">
        <v>1067</v>
      </c>
      <c r="C278" s="103" t="s">
        <v>1906</v>
      </c>
      <c r="D278" s="106" t="str">
        <f>IF(MouserListTable12[[#This Row],[Vendor]]=FilterSpecs!$A$8,MouserListTable12[[#This Row],[Mouser SKU]], MouserListTable12[[#This Row],[Supplier SKU]])</f>
        <v>474-WRL-14280</v>
      </c>
      <c r="E278" s="121">
        <f>MouserListTable12[[#This Row],[Tot '#]]-MouserListTable12[[#This Row],['# Initial]]</f>
        <v>1</v>
      </c>
      <c r="F278" s="121">
        <f>IF(AND(MouserListTable12[[#This Row],[Tag]]&lt;&gt;FilterSpecs!$F$12, MouserListTable12[[#This Row],[Tag]]&lt;&gt;FilterSpecs!$F$9), MouserListTable12[[#This Row],['#/Unit]]*FilterSpecs!$B$3+MouserListTable12[[#This Row],[Extra Initial]],0)</f>
        <v>0</v>
      </c>
      <c r="G278" s="103" t="s">
        <v>352</v>
      </c>
      <c r="H278" s="103" t="s">
        <v>353</v>
      </c>
      <c r="I278" s="103" t="s">
        <v>354</v>
      </c>
      <c r="J278" s="103"/>
      <c r="K278" s="157">
        <v>24.95</v>
      </c>
      <c r="L278" s="103" t="s">
        <v>1914</v>
      </c>
      <c r="M278" s="103" t="s">
        <v>1051</v>
      </c>
      <c r="N278" s="157">
        <f>MouserListTable12[[#This Row],['# Initial]]*MouserListTable12[[#This Row],[Price (USD)]]</f>
        <v>0</v>
      </c>
      <c r="O278" s="106" t="s">
        <v>351</v>
      </c>
      <c r="P278" s="103">
        <f t="shared" si="5"/>
        <v>260</v>
      </c>
      <c r="Q278" s="103" t="s">
        <v>8</v>
      </c>
      <c r="R27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474-WRL-14280</v>
      </c>
      <c r="S278" s="195" t="str">
        <f>HYPERLINK("https://www.mouser.com/ProductDetail/" &amp;MouserListTable12[[#This Row],[Mouser SKU]])</f>
        <v>https://www.mouser.com/ProductDetail/474-WRL-14280</v>
      </c>
      <c r="T278" s="121">
        <v>0</v>
      </c>
      <c r="U278" s="121">
        <v>1</v>
      </c>
      <c r="V278" s="121">
        <v>0</v>
      </c>
      <c r="W278" s="121">
        <f>MouserListTable12[[#This Row],['#/Unit]]*FilterSpecs!$C$3+MouserListTable12[[#This Row],[Extra]]</f>
        <v>1</v>
      </c>
      <c r="X278" s="121">
        <f>IF(MouserListTable12[[#This Row],[Tag]]=FilterSpecs!$F$7,MouserListTable12[[#This Row],['#/Unit]]*MouserListTable12[[#This Row],[Price (USD)]],0)</f>
        <v>0</v>
      </c>
      <c r="Y278" s="121">
        <f>MouserListTable12[[#This Row],[Tot '#]]*MouserListTable12[[#This Row],[Price (USD)]]</f>
        <v>24.95</v>
      </c>
      <c r="Z278"/>
    </row>
    <row r="279" spans="1:26" s="151" customFormat="1" hidden="1" x14ac:dyDescent="0.3">
      <c r="A279" s="103" t="s">
        <v>1047</v>
      </c>
      <c r="B279" s="103" t="s">
        <v>1618</v>
      </c>
      <c r="C279" s="103" t="s">
        <v>1906</v>
      </c>
      <c r="D279" s="106" t="str">
        <f>IF(MouserListTable12[[#This Row],[Vendor]]=FilterSpecs!$A$8,MouserListTable12[[#This Row],[Mouser SKU]], MouserListTable12[[#This Row],[Supplier SKU]])</f>
        <v>474-DEV-13613</v>
      </c>
      <c r="E279" s="121">
        <f>MouserListTable12[[#This Row],[Tot '#]]-MouserListTable12[[#This Row],['# Initial]]</f>
        <v>1</v>
      </c>
      <c r="F279" s="121">
        <f>IF(AND(MouserListTable12[[#This Row],[Tag]]&lt;&gt;FilterSpecs!$F$12, MouserListTable12[[#This Row],[Tag]]&lt;&gt;FilterSpecs!$F$9), MouserListTable12[[#This Row],['#/Unit]]*FilterSpecs!$B$3+MouserListTable12[[#This Row],[Extra Initial]],0)</f>
        <v>0</v>
      </c>
      <c r="G279" s="103" t="s">
        <v>356</v>
      </c>
      <c r="H279" s="103" t="s">
        <v>357</v>
      </c>
      <c r="I279" s="103" t="s">
        <v>358</v>
      </c>
      <c r="J279" s="103">
        <v>1</v>
      </c>
      <c r="K279" s="157">
        <v>39.950000000000003</v>
      </c>
      <c r="L279" s="103" t="s">
        <v>1914</v>
      </c>
      <c r="M279" s="103" t="s">
        <v>1044</v>
      </c>
      <c r="N279" s="157">
        <f>MouserListTable12[[#This Row],['# Initial]]*MouserListTable12[[#This Row],[Price (USD)]]</f>
        <v>0</v>
      </c>
      <c r="O279" s="106" t="s">
        <v>355</v>
      </c>
      <c r="P279" s="103">
        <f t="shared" si="5"/>
        <v>261</v>
      </c>
      <c r="Q279" s="103" t="s">
        <v>8</v>
      </c>
      <c r="R27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474-DEV-13613</v>
      </c>
      <c r="S279" s="195" t="str">
        <f>HYPERLINK("https://www.mouser.com/ProductDetail/" &amp;MouserListTable12[[#This Row],[Mouser SKU]])</f>
        <v>https://www.mouser.com/ProductDetail/474-DEV-13613</v>
      </c>
      <c r="T279" s="121">
        <v>0</v>
      </c>
      <c r="U279" s="121">
        <v>1</v>
      </c>
      <c r="V279" s="121">
        <v>0</v>
      </c>
      <c r="W279" s="121">
        <f>MouserListTable12[[#This Row],['#/Unit]]*FilterSpecs!$C$3+MouserListTable12[[#This Row],[Extra]]</f>
        <v>1</v>
      </c>
      <c r="X279" s="121">
        <f>IF(MouserListTable12[[#This Row],[Tag]]=FilterSpecs!$F$7,MouserListTable12[[#This Row],['#/Unit]]*MouserListTable12[[#This Row],[Price (USD)]],0)</f>
        <v>0</v>
      </c>
      <c r="Y279" s="121">
        <f>MouserListTable12[[#This Row],[Tot '#]]*MouserListTable12[[#This Row],[Price (USD)]]</f>
        <v>39.950000000000003</v>
      </c>
      <c r="Z279"/>
    </row>
    <row r="280" spans="1:26" s="151" customFormat="1" hidden="1" x14ac:dyDescent="0.3">
      <c r="A280" s="103" t="s">
        <v>1047</v>
      </c>
      <c r="B280" s="103" t="s">
        <v>1066</v>
      </c>
      <c r="C280" s="103" t="s">
        <v>1906</v>
      </c>
      <c r="D280" s="106" t="str">
        <f>IF(MouserListTable12[[#This Row],[Vendor]]=FilterSpecs!$A$8,MouserListTable12[[#This Row],[Mouser SKU]], MouserListTable12[[#This Row],[Supplier SKU]])</f>
        <v>474-DEV-12923</v>
      </c>
      <c r="E280" s="121">
        <f>MouserListTable12[[#This Row],[Tot '#]]-MouserListTable12[[#This Row],['# Initial]]</f>
        <v>1</v>
      </c>
      <c r="F280" s="121">
        <f>IF(AND(MouserListTable12[[#This Row],[Tag]]&lt;&gt;FilterSpecs!$F$12, MouserListTable12[[#This Row],[Tag]]&lt;&gt;FilterSpecs!$F$9), MouserListTable12[[#This Row],['#/Unit]]*FilterSpecs!$B$3+MouserListTable12[[#This Row],[Extra Initial]],0)</f>
        <v>0</v>
      </c>
      <c r="G280" s="103" t="s">
        <v>325</v>
      </c>
      <c r="H280" s="103" t="s">
        <v>326</v>
      </c>
      <c r="I280" s="103" t="s">
        <v>327</v>
      </c>
      <c r="J280" s="103">
        <v>1</v>
      </c>
      <c r="K280" s="157">
        <v>39.950000000000003</v>
      </c>
      <c r="L280" s="103" t="s">
        <v>1914</v>
      </c>
      <c r="M280" s="103" t="s">
        <v>1055</v>
      </c>
      <c r="N280" s="157">
        <f>MouserListTable12[[#This Row],['# Initial]]*MouserListTable12[[#This Row],[Price (USD)]]</f>
        <v>0</v>
      </c>
      <c r="O280" s="106" t="s">
        <v>324</v>
      </c>
      <c r="P280" s="103">
        <f t="shared" si="5"/>
        <v>262</v>
      </c>
      <c r="Q280" s="103" t="s">
        <v>8</v>
      </c>
      <c r="R28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474-DEV-12923</v>
      </c>
      <c r="S280" s="195" t="str">
        <f>HYPERLINK("https://www.mouser.com/ProductDetail/" &amp;MouserListTable12[[#This Row],[Mouser SKU]])</f>
        <v>https://www.mouser.com/ProductDetail/474-DEV-12923</v>
      </c>
      <c r="T280" s="121">
        <v>0</v>
      </c>
      <c r="U280" s="121">
        <v>1</v>
      </c>
      <c r="V280" s="121">
        <v>0</v>
      </c>
      <c r="W280" s="121">
        <f>MouserListTable12[[#This Row],['#/Unit]]*FilterSpecs!$C$3+MouserListTable12[[#This Row],[Extra]]</f>
        <v>1</v>
      </c>
      <c r="X280" s="121">
        <f>IF(MouserListTable12[[#This Row],[Tag]]=FilterSpecs!$F$7,MouserListTable12[[#This Row],['#/Unit]]*MouserListTable12[[#This Row],[Price (USD)]],0)</f>
        <v>0</v>
      </c>
      <c r="Y280" s="121">
        <f>MouserListTable12[[#This Row],[Tot '#]]*MouserListTable12[[#This Row],[Price (USD)]]</f>
        <v>39.950000000000003</v>
      </c>
      <c r="Z280"/>
    </row>
    <row r="281" spans="1:26" s="151" customFormat="1" hidden="1" x14ac:dyDescent="0.3">
      <c r="A281" s="103" t="s">
        <v>1047</v>
      </c>
      <c r="B281" s="103" t="s">
        <v>1066</v>
      </c>
      <c r="C281" s="103" t="s">
        <v>1906</v>
      </c>
      <c r="D281" s="106" t="str">
        <f>IF(MouserListTable12[[#This Row],[Vendor]]=FilterSpecs!$A$8,MouserListTable12[[#This Row],[Mouser SKU]], MouserListTable12[[#This Row],[Supplier SKU]])</f>
        <v>474-DEV-12924</v>
      </c>
      <c r="E281" s="121">
        <f>MouserListTable12[[#This Row],[Tot '#]]-MouserListTable12[[#This Row],['# Initial]]</f>
        <v>1</v>
      </c>
      <c r="F281" s="121">
        <f>IF(AND(MouserListTable12[[#This Row],[Tag]]&lt;&gt;FilterSpecs!$F$12, MouserListTable12[[#This Row],[Tag]]&lt;&gt;FilterSpecs!$F$9), MouserListTable12[[#This Row],['#/Unit]]*FilterSpecs!$B$3+MouserListTable12[[#This Row],[Extra Initial]],0)</f>
        <v>0</v>
      </c>
      <c r="G281" s="103" t="s">
        <v>329</v>
      </c>
      <c r="H281" s="103" t="s">
        <v>330</v>
      </c>
      <c r="I281" s="103" t="s">
        <v>331</v>
      </c>
      <c r="J281" s="103">
        <v>1</v>
      </c>
      <c r="K281" s="157">
        <v>14.95</v>
      </c>
      <c r="L281" s="103" t="s">
        <v>1914</v>
      </c>
      <c r="M281" s="103" t="s">
        <v>1055</v>
      </c>
      <c r="N281" s="157">
        <f>MouserListTable12[[#This Row],['# Initial]]*MouserListTable12[[#This Row],[Price (USD)]]</f>
        <v>0</v>
      </c>
      <c r="O281" s="106" t="s">
        <v>328</v>
      </c>
      <c r="P281" s="103">
        <f t="shared" si="5"/>
        <v>263</v>
      </c>
      <c r="Q281" s="103" t="s">
        <v>8</v>
      </c>
      <c r="R28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474-DEV-12924</v>
      </c>
      <c r="S281" s="195" t="str">
        <f>HYPERLINK("https://www.mouser.com/ProductDetail/" &amp;MouserListTable12[[#This Row],[Mouser SKU]])</f>
        <v>https://www.mouser.com/ProductDetail/474-DEV-12924</v>
      </c>
      <c r="T281" s="121">
        <v>0</v>
      </c>
      <c r="U281" s="121">
        <v>1</v>
      </c>
      <c r="V281" s="121">
        <v>0</v>
      </c>
      <c r="W281" s="121">
        <f>MouserListTable12[[#This Row],['#/Unit]]*FilterSpecs!$C$3+MouserListTable12[[#This Row],[Extra]]</f>
        <v>1</v>
      </c>
      <c r="X281" s="121">
        <f>IF(MouserListTable12[[#This Row],[Tag]]=FilterSpecs!$F$7,MouserListTable12[[#This Row],['#/Unit]]*MouserListTable12[[#This Row],[Price (USD)]],0)</f>
        <v>0</v>
      </c>
      <c r="Y281" s="121">
        <f>MouserListTable12[[#This Row],[Tot '#]]*MouserListTable12[[#This Row],[Price (USD)]]</f>
        <v>14.95</v>
      </c>
      <c r="Z281"/>
    </row>
    <row r="282" spans="1:26" s="144" customFormat="1" hidden="1" x14ac:dyDescent="0.3">
      <c r="A282" s="103" t="s">
        <v>896</v>
      </c>
      <c r="B282" s="103" t="s">
        <v>994</v>
      </c>
      <c r="C282" s="103" t="s">
        <v>1906</v>
      </c>
      <c r="D282" s="106" t="str">
        <f>IF(MouserListTable12[[#This Row],[Vendor]]=FilterSpecs!$A$8,MouserListTable12[[#This Row],[Mouser SKU]], MouserListTable12[[#This Row],[Supplier SKU]])</f>
        <v>474-PRT-12614</v>
      </c>
      <c r="E282" s="121">
        <f>MouserListTable12[[#This Row],[Tot '#]]-MouserListTable12[[#This Row],['# Initial]]</f>
        <v>1</v>
      </c>
      <c r="F282" s="121">
        <f>IF(AND(MouserListTable12[[#This Row],[Tag]]&lt;&gt;FilterSpecs!$F$12, MouserListTable12[[#This Row],[Tag]]&lt;&gt;FilterSpecs!$F$9), MouserListTable12[[#This Row],['#/Unit]]*FilterSpecs!$B$3+MouserListTable12[[#This Row],[Extra Initial]],0)</f>
        <v>0</v>
      </c>
      <c r="G282" s="103" t="s">
        <v>788</v>
      </c>
      <c r="H282" s="103" t="s">
        <v>789</v>
      </c>
      <c r="I282" s="103" t="s">
        <v>790</v>
      </c>
      <c r="J282" s="103"/>
      <c r="K282" s="157">
        <v>19.95</v>
      </c>
      <c r="L282" s="103" t="s">
        <v>1910</v>
      </c>
      <c r="M282" s="106"/>
      <c r="N282" s="157">
        <f>MouserListTable12[[#This Row],['# Initial]]*MouserListTable12[[#This Row],[Price (USD)]]</f>
        <v>0</v>
      </c>
      <c r="O282" s="106" t="s">
        <v>787</v>
      </c>
      <c r="P282" s="103">
        <f t="shared" si="5"/>
        <v>264</v>
      </c>
      <c r="Q282" s="103" t="s">
        <v>8</v>
      </c>
      <c r="R28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474-PRT-12614</v>
      </c>
      <c r="S282" s="195" t="str">
        <f>HYPERLINK("https://www.mouser.com/ProductDetail/" &amp;MouserListTable12[[#This Row],[Mouser SKU]])</f>
        <v>https://www.mouser.com/ProductDetail/474-PRT-12614</v>
      </c>
      <c r="T282" s="121">
        <v>0</v>
      </c>
      <c r="U282" s="121">
        <v>1</v>
      </c>
      <c r="V282" s="121">
        <v>0</v>
      </c>
      <c r="W282" s="121">
        <f>MouserListTable12[[#This Row],['#/Unit]]*FilterSpecs!$C$3+MouserListTable12[[#This Row],[Extra]]</f>
        <v>1</v>
      </c>
      <c r="X282" s="121">
        <f>IF(MouserListTable12[[#This Row],[Tag]]=FilterSpecs!$F$7,MouserListTable12[[#This Row],['#/Unit]]*MouserListTable12[[#This Row],[Price (USD)]],0)</f>
        <v>0</v>
      </c>
      <c r="Y282" s="121">
        <f>MouserListTable12[[#This Row],[Tot '#]]*MouserListTable12[[#This Row],[Price (USD)]]</f>
        <v>19.95</v>
      </c>
      <c r="Z282"/>
    </row>
    <row r="283" spans="1:26" s="146" customFormat="1" hidden="1" x14ac:dyDescent="0.3">
      <c r="A283" s="126" t="s">
        <v>896</v>
      </c>
      <c r="B283" s="126" t="s">
        <v>994</v>
      </c>
      <c r="C283" s="103" t="s">
        <v>1906</v>
      </c>
      <c r="D283" s="106" t="str">
        <f>IF(MouserListTable12[[#This Row],[Vendor]]=FilterSpecs!$A$8,MouserListTable12[[#This Row],[Mouser SKU]], MouserListTable12[[#This Row],[Supplier SKU]])</f>
        <v>474-PRT-12044</v>
      </c>
      <c r="E283" s="121">
        <f>MouserListTable12[[#This Row],[Tot '#]]-MouserListTable12[[#This Row],['# Initial]]</f>
        <v>0</v>
      </c>
      <c r="F283" s="121">
        <f>IF(AND(MouserListTable12[[#This Row],[Tag]]&lt;&gt;FilterSpecs!$F$12, MouserListTable12[[#This Row],[Tag]]&lt;&gt;FilterSpecs!$F$9), MouserListTable12[[#This Row],['#/Unit]]*FilterSpecs!$B$3+MouserListTable12[[#This Row],[Extra Initial]],0)</f>
        <v>0</v>
      </c>
      <c r="G283" s="103" t="s">
        <v>1101</v>
      </c>
      <c r="H283" s="103" t="s">
        <v>1102</v>
      </c>
      <c r="I283" s="103" t="s">
        <v>1103</v>
      </c>
      <c r="J283" s="103">
        <v>1</v>
      </c>
      <c r="K283" s="157">
        <v>3.95</v>
      </c>
      <c r="L283" s="103" t="s">
        <v>1910</v>
      </c>
      <c r="M283" s="103" t="s">
        <v>1309</v>
      </c>
      <c r="N283" s="157">
        <f>MouserListTable12[[#This Row],['# Initial]]*MouserListTable12[[#This Row],[Price (USD)]]</f>
        <v>0</v>
      </c>
      <c r="O283" s="106" t="s">
        <v>1100</v>
      </c>
      <c r="P283" s="103">
        <f t="shared" si="5"/>
        <v>265</v>
      </c>
      <c r="Q283" s="103" t="s">
        <v>8</v>
      </c>
      <c r="R28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474-PRT-12044</v>
      </c>
      <c r="S283" s="195" t="str">
        <f>HYPERLINK("https://www.mouser.com/ProductDetail/" &amp;MouserListTable12[[#This Row],[Mouser SKU]])</f>
        <v>https://www.mouser.com/ProductDetail/474-PRT-12044</v>
      </c>
      <c r="T283" s="121">
        <v>0</v>
      </c>
      <c r="U283" s="121">
        <v>0</v>
      </c>
      <c r="V283" s="121">
        <v>0</v>
      </c>
      <c r="W283" s="121">
        <f>MouserListTable12[[#This Row],['#/Unit]]*FilterSpecs!$C$3+MouserListTable12[[#This Row],[Extra]]</f>
        <v>0</v>
      </c>
      <c r="X283" s="121">
        <f>IF(MouserListTable12[[#This Row],[Tag]]=FilterSpecs!$F$7,MouserListTable12[[#This Row],['#/Unit]]*MouserListTable12[[#This Row],[Price (USD)]],0)</f>
        <v>0</v>
      </c>
      <c r="Y283" s="121">
        <f>MouserListTable12[[#This Row],[Tot '#]]*MouserListTable12[[#This Row],[Price (USD)]]</f>
        <v>0</v>
      </c>
      <c r="Z283"/>
    </row>
    <row r="284" spans="1:26" s="146" customFormat="1" x14ac:dyDescent="0.3">
      <c r="A284" s="103" t="s">
        <v>896</v>
      </c>
      <c r="B284" s="103" t="s">
        <v>994</v>
      </c>
      <c r="C284" s="103" t="s">
        <v>1906</v>
      </c>
      <c r="D284" s="106" t="str">
        <f>IF(MouserListTable12[[#This Row],[Vendor]]=FilterSpecs!$A$8,MouserListTable12[[#This Row],[Mouser SKU]], MouserListTable12[[#This Row],[Supplier SKU]])</f>
        <v>474-PRT-12047</v>
      </c>
      <c r="E284" s="121">
        <f>MouserListTable12[[#This Row],[Tot '#]]-MouserListTable12[[#This Row],['# Initial]]</f>
        <v>0</v>
      </c>
      <c r="F284" s="121">
        <f>IF(AND(MouserListTable12[[#This Row],[Tag]]&lt;&gt;FilterSpecs!$F$12, MouserListTable12[[#This Row],[Tag]]&lt;&gt;FilterSpecs!$F$9), MouserListTable12[[#This Row],['#/Unit]]*FilterSpecs!$B$3+MouserListTable12[[#This Row],[Extra Initial]],0)</f>
        <v>20</v>
      </c>
      <c r="G284" s="103" t="s">
        <v>1311</v>
      </c>
      <c r="H284" s="103" t="s">
        <v>1312</v>
      </c>
      <c r="I284" s="103" t="s">
        <v>1313</v>
      </c>
      <c r="J284" s="103">
        <v>1</v>
      </c>
      <c r="K284" s="157">
        <v>3.95</v>
      </c>
      <c r="L284" s="103" t="s">
        <v>1911</v>
      </c>
      <c r="M284" s="103" t="s">
        <v>1309</v>
      </c>
      <c r="N284" s="157">
        <f>MouserListTable12[[#This Row],['# Initial]]*MouserListTable12[[#This Row],[Price (USD)]]</f>
        <v>79</v>
      </c>
      <c r="O284" s="106" t="s">
        <v>1310</v>
      </c>
      <c r="P284" s="103">
        <f t="shared" si="5"/>
        <v>266</v>
      </c>
      <c r="Q284" s="103" t="s">
        <v>8</v>
      </c>
      <c r="R28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474-PRT-12047</v>
      </c>
      <c r="S284" s="195" t="str">
        <f>HYPERLINK("https://www.mouser.com/ProductDetail/" &amp;MouserListTable12[[#This Row],[Mouser SKU]])</f>
        <v>https://www.mouser.com/ProductDetail/474-PRT-12047</v>
      </c>
      <c r="T284" s="121">
        <v>4</v>
      </c>
      <c r="U284" s="121">
        <v>0</v>
      </c>
      <c r="V284" s="121">
        <v>0</v>
      </c>
      <c r="W284" s="121">
        <f>MouserListTable12[[#This Row],['#/Unit]]*FilterSpecs!$C$3+MouserListTable12[[#This Row],[Extra]]</f>
        <v>20</v>
      </c>
      <c r="X284" s="121">
        <f>IF(MouserListTable12[[#This Row],[Tag]]=FilterSpecs!$F$7,MouserListTable12[[#This Row],['#/Unit]]*MouserListTable12[[#This Row],[Price (USD)]],0)</f>
        <v>15.8</v>
      </c>
      <c r="Y284" s="121">
        <f>MouserListTable12[[#This Row],[Tot '#]]*MouserListTable12[[#This Row],[Price (USD)]]</f>
        <v>79</v>
      </c>
      <c r="Z284"/>
    </row>
    <row r="285" spans="1:26" s="146" customFormat="1" hidden="1" x14ac:dyDescent="0.3">
      <c r="A285" s="103" t="s">
        <v>896</v>
      </c>
      <c r="B285" s="103" t="s">
        <v>994</v>
      </c>
      <c r="C285" s="103" t="s">
        <v>1906</v>
      </c>
      <c r="D285" s="106" t="str">
        <f>IF(MouserListTable12[[#This Row],[Vendor]]=FilterSpecs!$A$8,MouserListTable12[[#This Row],[Mouser SKU]], MouserListTable12[[#This Row],[Supplier SKU]])</f>
        <v>485-65</v>
      </c>
      <c r="E285" s="121">
        <f>MouserListTable12[[#This Row],[Tot '#]]-MouserListTable12[[#This Row],['# Initial]]</f>
        <v>0</v>
      </c>
      <c r="F285" s="121">
        <f>IF(AND(MouserListTable12[[#This Row],[Tag]]&lt;&gt;FilterSpecs!$F$12, MouserListTable12[[#This Row],[Tag]]&lt;&gt;FilterSpecs!$F$9), MouserListTable12[[#This Row],['#/Unit]]*FilterSpecs!$B$3+MouserListTable12[[#This Row],[Extra Initial]],0)</f>
        <v>0</v>
      </c>
      <c r="G285" s="103"/>
      <c r="H285" s="103"/>
      <c r="I285" s="126" t="s">
        <v>2115</v>
      </c>
      <c r="K285" s="158">
        <v>4</v>
      </c>
      <c r="L285" s="126" t="s">
        <v>1910</v>
      </c>
      <c r="N285" s="157">
        <f>MouserListTable12[[#This Row],['# Initial]]*MouserListTable12[[#This Row],[Price (USD)]]</f>
        <v>0</v>
      </c>
      <c r="O285" s="106" t="s">
        <v>2114</v>
      </c>
      <c r="P285" s="103">
        <f t="shared" si="5"/>
        <v>267</v>
      </c>
      <c r="Q285" s="103" t="s">
        <v>1898</v>
      </c>
      <c r="R28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485-65</v>
      </c>
      <c r="S285" s="195" t="str">
        <f>HYPERLINK("https://www.mouser.com/ProductDetail/" &amp;MouserListTable12[[#This Row],[Mouser SKU]])</f>
        <v>https://www.mouser.com/ProductDetail/485-65</v>
      </c>
      <c r="T285" s="121">
        <v>0</v>
      </c>
      <c r="U285" s="121">
        <v>0</v>
      </c>
      <c r="V285" s="121">
        <v>0</v>
      </c>
      <c r="W285" s="121">
        <f>MouserListTable12[[#This Row],['#/Unit]]*FilterSpecs!$C$3+MouserListTable12[[#This Row],[Extra]]</f>
        <v>0</v>
      </c>
      <c r="X285" s="121">
        <f>IF(MouserListTable12[[#This Row],[Tag]]=FilterSpecs!$F$7,MouserListTable12[[#This Row],['#/Unit]]*MouserListTable12[[#This Row],[Price (USD)]],0)</f>
        <v>0</v>
      </c>
      <c r="Y285" s="121">
        <f>MouserListTable12[[#This Row],[Tot '#]]*MouserListTable12[[#This Row],[Price (USD)]]</f>
        <v>0</v>
      </c>
      <c r="Z285"/>
    </row>
    <row r="286" spans="1:26" s="146" customFormat="1" x14ac:dyDescent="0.3">
      <c r="A286" s="103" t="s">
        <v>896</v>
      </c>
      <c r="B286" s="103" t="s">
        <v>994</v>
      </c>
      <c r="C286" s="103" t="s">
        <v>1906</v>
      </c>
      <c r="D286" s="106" t="str">
        <f>IF(MouserListTable12[[#This Row],[Vendor]]=FilterSpecs!$A$8,MouserListTable12[[#This Row],[Mouser SKU]], MouserListTable12[[#This Row],[Supplier SKU]])</f>
        <v>474-PRT-12699</v>
      </c>
      <c r="E286" s="121">
        <f>MouserListTable12[[#This Row],[Tot '#]]-MouserListTable12[[#This Row],['# Initial]]</f>
        <v>0</v>
      </c>
      <c r="F286" s="121">
        <f>IF(AND(MouserListTable12[[#This Row],[Tag]]&lt;&gt;FilterSpecs!$F$12, MouserListTable12[[#This Row],[Tag]]&lt;&gt;FilterSpecs!$F$9), MouserListTable12[[#This Row],['#/Unit]]*FilterSpecs!$B$3+MouserListTable12[[#This Row],[Extra Initial]],0)</f>
        <v>10</v>
      </c>
      <c r="G286" s="103" t="s">
        <v>934</v>
      </c>
      <c r="H286" s="103" t="s">
        <v>935</v>
      </c>
      <c r="I286" s="103" t="s">
        <v>936</v>
      </c>
      <c r="J286" s="103">
        <v>1</v>
      </c>
      <c r="K286" s="157">
        <v>8.9499999999999993</v>
      </c>
      <c r="L286" s="103" t="s">
        <v>1911</v>
      </c>
      <c r="M286" s="106"/>
      <c r="N286" s="157">
        <f>MouserListTable12[[#This Row],['# Initial]]*MouserListTable12[[#This Row],[Price (USD)]]</f>
        <v>89.5</v>
      </c>
      <c r="O286" s="106" t="s">
        <v>933</v>
      </c>
      <c r="P286" s="103">
        <f t="shared" si="5"/>
        <v>268</v>
      </c>
      <c r="Q286" s="103" t="s">
        <v>8</v>
      </c>
      <c r="R28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474-PRT-12699</v>
      </c>
      <c r="S286" s="195" t="str">
        <f>HYPERLINK("https://www.mouser.com/ProductDetail/" &amp;MouserListTable12[[#This Row],[Mouser SKU]])</f>
        <v>https://www.mouser.com/ProductDetail/474-PRT-12699</v>
      </c>
      <c r="T286" s="121">
        <v>2</v>
      </c>
      <c r="U286" s="121">
        <v>0</v>
      </c>
      <c r="V286" s="121">
        <v>0</v>
      </c>
      <c r="W286" s="121">
        <f>MouserListTable12[[#This Row],['#/Unit]]*FilterSpecs!$C$3+MouserListTable12[[#This Row],[Extra]]</f>
        <v>10</v>
      </c>
      <c r="X286" s="121">
        <f>IF(MouserListTable12[[#This Row],[Tag]]=FilterSpecs!$F$7,MouserListTable12[[#This Row],['#/Unit]]*MouserListTable12[[#This Row],[Price (USD)]],0)</f>
        <v>17.899999999999999</v>
      </c>
      <c r="Y286" s="121">
        <f>MouserListTable12[[#This Row],[Tot '#]]*MouserListTable12[[#This Row],[Price (USD)]]</f>
        <v>89.5</v>
      </c>
      <c r="Z286"/>
    </row>
    <row r="287" spans="1:26" s="146" customFormat="1" hidden="1" x14ac:dyDescent="0.3">
      <c r="A287" s="103" t="s">
        <v>896</v>
      </c>
      <c r="B287" s="103" t="s">
        <v>994</v>
      </c>
      <c r="C287" s="103" t="s">
        <v>1906</v>
      </c>
      <c r="D287" s="106" t="str">
        <f>IF(MouserListTable12[[#This Row],[Vendor]]=FilterSpecs!$A$8,MouserListTable12[[#This Row],[Mouser SKU]], MouserListTable12[[#This Row],[Supplier SKU]])</f>
        <v>474-PRT-12070</v>
      </c>
      <c r="E287" s="121">
        <f>MouserListTable12[[#This Row],[Tot '#]]-MouserListTable12[[#This Row],['# Initial]]</f>
        <v>1</v>
      </c>
      <c r="F287" s="121">
        <f>IF(AND(MouserListTable12[[#This Row],[Tag]]&lt;&gt;FilterSpecs!$F$12, MouserListTable12[[#This Row],[Tag]]&lt;&gt;FilterSpecs!$F$9), MouserListTable12[[#This Row],['#/Unit]]*FilterSpecs!$B$3+MouserListTable12[[#This Row],[Extra Initial]],0)</f>
        <v>0</v>
      </c>
      <c r="G287" s="103" t="s">
        <v>1840</v>
      </c>
      <c r="H287" s="103" t="s">
        <v>1841</v>
      </c>
      <c r="I287" s="103" t="s">
        <v>1842</v>
      </c>
      <c r="J287" s="103">
        <v>1</v>
      </c>
      <c r="K287" s="157">
        <v>4.95</v>
      </c>
      <c r="L287" s="103" t="s">
        <v>1910</v>
      </c>
      <c r="M287" s="106"/>
      <c r="N287" s="157">
        <f>MouserListTable12[[#This Row],['# Initial]]*MouserListTable12[[#This Row],[Price (USD)]]</f>
        <v>0</v>
      </c>
      <c r="O287" s="106" t="s">
        <v>1839</v>
      </c>
      <c r="P287" s="103">
        <f t="shared" si="5"/>
        <v>269</v>
      </c>
      <c r="Q287" s="103" t="s">
        <v>8</v>
      </c>
      <c r="R28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474-PRT-12070</v>
      </c>
      <c r="S287" s="195" t="str">
        <f>HYPERLINK("https://www.mouser.com/ProductDetail/" &amp;MouserListTable12[[#This Row],[Mouser SKU]])</f>
        <v>https://www.mouser.com/ProductDetail/474-PRT-12070</v>
      </c>
      <c r="T287" s="121">
        <v>0</v>
      </c>
      <c r="U287" s="121">
        <v>1</v>
      </c>
      <c r="V287" s="121">
        <v>0</v>
      </c>
      <c r="W287" s="121">
        <f>MouserListTable12[[#This Row],['#/Unit]]*FilterSpecs!$C$3+MouserListTable12[[#This Row],[Extra]]</f>
        <v>1</v>
      </c>
      <c r="X287" s="121">
        <f>IF(MouserListTable12[[#This Row],[Tag]]=FilterSpecs!$F$7,MouserListTable12[[#This Row],['#/Unit]]*MouserListTable12[[#This Row],[Price (USD)]],0)</f>
        <v>0</v>
      </c>
      <c r="Y287" s="121">
        <f>MouserListTable12[[#This Row],[Tot '#]]*MouserListTable12[[#This Row],[Price (USD)]]</f>
        <v>4.95</v>
      </c>
      <c r="Z287"/>
    </row>
    <row r="288" spans="1:26" s="146" customFormat="1" hidden="1" x14ac:dyDescent="0.3">
      <c r="A288" s="126" t="s">
        <v>896</v>
      </c>
      <c r="B288" s="126" t="s">
        <v>994</v>
      </c>
      <c r="C288" s="103" t="s">
        <v>1906</v>
      </c>
      <c r="D288" s="106" t="str">
        <f>IF(MouserListTable12[[#This Row],[Vendor]]=FilterSpecs!$A$8,MouserListTable12[[#This Row],[Mouser SKU]], MouserListTable12[[#This Row],[Supplier SKU]])</f>
        <v>474-PRT-12702</v>
      </c>
      <c r="E288" s="121">
        <f>MouserListTable12[[#This Row],[Tot '#]]-MouserListTable12[[#This Row],['# Initial]]</f>
        <v>0</v>
      </c>
      <c r="F288" s="121">
        <f>IF(AND(MouserListTable12[[#This Row],[Tag]]&lt;&gt;FilterSpecs!$F$12, MouserListTable12[[#This Row],[Tag]]&lt;&gt;FilterSpecs!$F$9), MouserListTable12[[#This Row],['#/Unit]]*FilterSpecs!$B$3+MouserListTable12[[#This Row],[Extra Initial]],0)</f>
        <v>0</v>
      </c>
      <c r="G288" s="103" t="s">
        <v>1848</v>
      </c>
      <c r="H288" s="103" t="s">
        <v>1849</v>
      </c>
      <c r="I288" s="103" t="s">
        <v>1850</v>
      </c>
      <c r="J288" s="103"/>
      <c r="K288" s="157">
        <v>2.95</v>
      </c>
      <c r="L288" s="103" t="s">
        <v>1910</v>
      </c>
      <c r="N288" s="157">
        <f>MouserListTable12[[#This Row],['# Initial]]*MouserListTable12[[#This Row],[Price (USD)]]</f>
        <v>0</v>
      </c>
      <c r="O288" s="106" t="s">
        <v>1847</v>
      </c>
      <c r="P288" s="103">
        <f t="shared" si="5"/>
        <v>270</v>
      </c>
      <c r="Q288" s="103" t="s">
        <v>8</v>
      </c>
      <c r="R28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474-PRT-12702</v>
      </c>
      <c r="S288" s="195" t="str">
        <f>HYPERLINK("https://www.mouser.com/ProductDetail/" &amp;MouserListTable12[[#This Row],[Mouser SKU]])</f>
        <v>https://www.mouser.com/ProductDetail/474-PRT-12702</v>
      </c>
      <c r="T288" s="121">
        <v>0</v>
      </c>
      <c r="U288" s="121">
        <v>0</v>
      </c>
      <c r="V288" s="121">
        <v>0</v>
      </c>
      <c r="W288" s="121">
        <f>MouserListTable12[[#This Row],['#/Unit]]*FilterSpecs!$C$3+MouserListTable12[[#This Row],[Extra]]</f>
        <v>0</v>
      </c>
      <c r="X288" s="121">
        <f>IF(MouserListTable12[[#This Row],[Tag]]=FilterSpecs!$F$7,MouserListTable12[[#This Row],['#/Unit]]*MouserListTable12[[#This Row],[Price (USD)]],0)</f>
        <v>0</v>
      </c>
      <c r="Y288" s="121">
        <f>MouserListTable12[[#This Row],[Tot '#]]*MouserListTable12[[#This Row],[Price (USD)]]</f>
        <v>0</v>
      </c>
      <c r="Z288"/>
    </row>
    <row r="289" spans="1:26" s="146" customFormat="1" x14ac:dyDescent="0.3">
      <c r="A289" s="103" t="s">
        <v>896</v>
      </c>
      <c r="B289" s="103" t="s">
        <v>994</v>
      </c>
      <c r="C289" s="103" t="s">
        <v>1906</v>
      </c>
      <c r="D289" s="106" t="str">
        <f>IF(MouserListTable12[[#This Row],[Vendor]]=FilterSpecs!$A$8,MouserListTable12[[#This Row],[Mouser SKU]], MouserListTable12[[#This Row],[Supplier SKU]])</f>
        <v>474-DEV-07914</v>
      </c>
      <c r="E289" s="121">
        <f>MouserListTable12[[#This Row],[Tot '#]]-MouserListTable12[[#This Row],['# Initial]]</f>
        <v>1</v>
      </c>
      <c r="F289" s="121">
        <f>IF(AND(MouserListTable12[[#This Row],[Tag]]&lt;&gt;FilterSpecs!$F$12, MouserListTable12[[#This Row],[Tag]]&lt;&gt;FilterSpecs!$F$9), MouserListTable12[[#This Row],['#/Unit]]*FilterSpecs!$B$3+MouserListTable12[[#This Row],[Extra Initial]],0)</f>
        <v>5</v>
      </c>
      <c r="G289" s="103" t="s">
        <v>1772</v>
      </c>
      <c r="H289" s="103" t="s">
        <v>1773</v>
      </c>
      <c r="I289" s="103" t="s">
        <v>1774</v>
      </c>
      <c r="J289" s="103">
        <v>1</v>
      </c>
      <c r="K289" s="157">
        <v>9.9499999999999993</v>
      </c>
      <c r="L289" s="103" t="s">
        <v>1911</v>
      </c>
      <c r="M289" s="106"/>
      <c r="N289" s="157">
        <f>MouserListTable12[[#This Row],['# Initial]]*MouserListTable12[[#This Row],[Price (USD)]]</f>
        <v>49.75</v>
      </c>
      <c r="O289" s="106" t="s">
        <v>1771</v>
      </c>
      <c r="P289" s="103">
        <f t="shared" si="5"/>
        <v>271</v>
      </c>
      <c r="Q289" s="103" t="s">
        <v>8</v>
      </c>
      <c r="R28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474-DEV-07914</v>
      </c>
      <c r="S289" s="195" t="str">
        <f>HYPERLINK("https://www.mouser.com/ProductDetail/" &amp;MouserListTable12[[#This Row],[Mouser SKU]])</f>
        <v>https://www.mouser.com/ProductDetail/474-DEV-07914</v>
      </c>
      <c r="T289" s="121">
        <v>1</v>
      </c>
      <c r="U289" s="121">
        <v>1</v>
      </c>
      <c r="V289" s="121">
        <v>0</v>
      </c>
      <c r="W289" s="121">
        <f>MouserListTable12[[#This Row],['#/Unit]]*FilterSpecs!$C$3+MouserListTable12[[#This Row],[Extra]]</f>
        <v>6</v>
      </c>
      <c r="X289" s="121">
        <f>IF(MouserListTable12[[#This Row],[Tag]]=FilterSpecs!$F$7,MouserListTable12[[#This Row],['#/Unit]]*MouserListTable12[[#This Row],[Price (USD)]],0)</f>
        <v>9.9499999999999993</v>
      </c>
      <c r="Y289" s="121">
        <f>MouserListTable12[[#This Row],[Tot '#]]*MouserListTable12[[#This Row],[Price (USD)]]</f>
        <v>59.699999999999996</v>
      </c>
      <c r="Z289"/>
    </row>
    <row r="290" spans="1:26" s="146" customFormat="1" hidden="1" x14ac:dyDescent="0.3">
      <c r="A290" s="103" t="s">
        <v>896</v>
      </c>
      <c r="B290" s="103" t="s">
        <v>994</v>
      </c>
      <c r="C290" s="103" t="s">
        <v>1906</v>
      </c>
      <c r="D290" s="106" t="str">
        <f>IF(MouserListTable12[[#This Row],[Vendor]]=FilterSpecs!$A$8,MouserListTable12[[#This Row],[Mouser SKU]], MouserListTable12[[#This Row],[Supplier SKU]])</f>
        <v>485-2077</v>
      </c>
      <c r="E290" s="121">
        <f>MouserListTable12[[#This Row],[Tot '#]]-MouserListTable12[[#This Row],['# Initial]]</f>
        <v>0</v>
      </c>
      <c r="F290" s="121">
        <f>IF(AND(MouserListTable12[[#This Row],[Tag]]&lt;&gt;FilterSpecs!$F$12, MouserListTable12[[#This Row],[Tag]]&lt;&gt;FilterSpecs!$F$9), MouserListTable12[[#This Row],['#/Unit]]*FilterSpecs!$B$3+MouserListTable12[[#This Row],[Extra Initial]],0)</f>
        <v>0</v>
      </c>
      <c r="G290" s="103"/>
      <c r="H290" s="103"/>
      <c r="I290" s="126" t="s">
        <v>2101</v>
      </c>
      <c r="K290" s="158">
        <v>9.9499999999999993</v>
      </c>
      <c r="L290" s="126" t="s">
        <v>1910</v>
      </c>
      <c r="N290" s="157">
        <f>MouserListTable12[[#This Row],['# Initial]]*MouserListTable12[[#This Row],[Price (USD)]]</f>
        <v>0</v>
      </c>
      <c r="O290" s="106" t="s">
        <v>2100</v>
      </c>
      <c r="P290" s="103">
        <f t="shared" si="5"/>
        <v>272</v>
      </c>
      <c r="Q290" s="103" t="s">
        <v>1898</v>
      </c>
      <c r="R29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485-2077</v>
      </c>
      <c r="S290" s="195" t="str">
        <f>HYPERLINK("https://www.mouser.com/ProductDetail/" &amp;MouserListTable12[[#This Row],[Mouser SKU]])</f>
        <v>https://www.mouser.com/ProductDetail/485-2077</v>
      </c>
      <c r="T290" s="121">
        <v>0</v>
      </c>
      <c r="U290" s="121">
        <v>0</v>
      </c>
      <c r="V290" s="121">
        <v>0</v>
      </c>
      <c r="W290" s="121">
        <f>MouserListTable12[[#This Row],['#/Unit]]*FilterSpecs!$C$3+MouserListTable12[[#This Row],[Extra]]</f>
        <v>0</v>
      </c>
      <c r="X290" s="121">
        <f>IF(MouserListTable12[[#This Row],[Tag]]=FilterSpecs!$F$7,MouserListTable12[[#This Row],['#/Unit]]*MouserListTable12[[#This Row],[Price (USD)]],0)</f>
        <v>0</v>
      </c>
      <c r="Y290" s="121">
        <f>MouserListTable12[[#This Row],[Tot '#]]*MouserListTable12[[#This Row],[Price (USD)]]</f>
        <v>0</v>
      </c>
      <c r="Z290"/>
    </row>
    <row r="291" spans="1:26" s="146" customFormat="1" hidden="1" x14ac:dyDescent="0.3">
      <c r="A291" s="103" t="s">
        <v>896</v>
      </c>
      <c r="B291" s="103" t="s">
        <v>994</v>
      </c>
      <c r="C291" s="103" t="s">
        <v>1906</v>
      </c>
      <c r="D291" s="106" t="str">
        <f>IF(MouserListTable12[[#This Row],[Vendor]]=FilterSpecs!$A$8,MouserListTable12[[#This Row],[Mouser SKU]], MouserListTable12[[#This Row],[Supplier SKU]])</f>
        <v>485-196</v>
      </c>
      <c r="E291" s="121">
        <f>MouserListTable12[[#This Row],[Tot '#]]-MouserListTable12[[#This Row],['# Initial]]</f>
        <v>0</v>
      </c>
      <c r="F291" s="121">
        <f>IF(AND(MouserListTable12[[#This Row],[Tag]]&lt;&gt;FilterSpecs!$F$12, MouserListTable12[[#This Row],[Tag]]&lt;&gt;FilterSpecs!$F$9), MouserListTable12[[#This Row],['#/Unit]]*FilterSpecs!$B$3+MouserListTable12[[#This Row],[Extra Initial]],0)</f>
        <v>0</v>
      </c>
      <c r="G291" s="103"/>
      <c r="H291" s="103"/>
      <c r="I291" s="126" t="s">
        <v>2113</v>
      </c>
      <c r="K291" s="158">
        <v>14.95</v>
      </c>
      <c r="L291" s="126" t="s">
        <v>1910</v>
      </c>
      <c r="N291" s="157">
        <f>MouserListTable12[[#This Row],['# Initial]]*MouserListTable12[[#This Row],[Price (USD)]]</f>
        <v>0</v>
      </c>
      <c r="O291" s="106" t="s">
        <v>2112</v>
      </c>
      <c r="P291" s="103">
        <f t="shared" si="5"/>
        <v>273</v>
      </c>
      <c r="Q291" s="103" t="s">
        <v>1898</v>
      </c>
      <c r="R29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485-196</v>
      </c>
      <c r="S291" s="195" t="str">
        <f>HYPERLINK("https://www.mouser.com/ProductDetail/" &amp;MouserListTable12[[#This Row],[Mouser SKU]])</f>
        <v>https://www.mouser.com/ProductDetail/485-196</v>
      </c>
      <c r="T291" s="121">
        <v>0</v>
      </c>
      <c r="U291" s="121">
        <v>0</v>
      </c>
      <c r="V291" s="121">
        <v>0</v>
      </c>
      <c r="W291" s="121">
        <f>MouserListTable12[[#This Row],['#/Unit]]*FilterSpecs!$C$3+MouserListTable12[[#This Row],[Extra]]</f>
        <v>0</v>
      </c>
      <c r="X291" s="121">
        <f>IF(MouserListTable12[[#This Row],[Tag]]=FilterSpecs!$F$7,MouserListTable12[[#This Row],['#/Unit]]*MouserListTable12[[#This Row],[Price (USD)]],0)</f>
        <v>0</v>
      </c>
      <c r="Y291" s="121">
        <f>MouserListTable12[[#This Row],[Tot '#]]*MouserListTable12[[#This Row],[Price (USD)]]</f>
        <v>0</v>
      </c>
      <c r="Z291"/>
    </row>
    <row r="292" spans="1:26" s="146" customFormat="1" hidden="1" x14ac:dyDescent="0.3">
      <c r="A292" s="103" t="s">
        <v>896</v>
      </c>
      <c r="B292" s="103" t="s">
        <v>994</v>
      </c>
      <c r="C292" s="103" t="s">
        <v>1906</v>
      </c>
      <c r="D292" s="106" t="str">
        <f>IF(MouserListTable12[[#This Row],[Vendor]]=FilterSpecs!$A$8,MouserListTable12[[#This Row],[Mouser SKU]], MouserListTable12[[#This Row],[Supplier SKU]])</f>
        <v>485-192</v>
      </c>
      <c r="E292" s="121">
        <f>MouserListTable12[[#This Row],[Tot '#]]-MouserListTable12[[#This Row],['# Initial]]</f>
        <v>0</v>
      </c>
      <c r="F292" s="121">
        <f>IF(AND(MouserListTable12[[#This Row],[Tag]]&lt;&gt;FilterSpecs!$F$12, MouserListTable12[[#This Row],[Tag]]&lt;&gt;FilterSpecs!$F$9), MouserListTable12[[#This Row],['#/Unit]]*FilterSpecs!$B$3+MouserListTable12[[#This Row],[Extra Initial]],0)</f>
        <v>0</v>
      </c>
      <c r="G292" s="103"/>
      <c r="H292" s="103"/>
      <c r="I292" s="126" t="s">
        <v>2105</v>
      </c>
      <c r="K292" s="158">
        <v>14.95</v>
      </c>
      <c r="L292" s="126" t="s">
        <v>1910</v>
      </c>
      <c r="N292" s="157">
        <f>MouserListTable12[[#This Row],['# Initial]]*MouserListTable12[[#This Row],[Price (USD)]]</f>
        <v>0</v>
      </c>
      <c r="O292" s="106" t="s">
        <v>2104</v>
      </c>
      <c r="P292" s="103">
        <f t="shared" si="5"/>
        <v>274</v>
      </c>
      <c r="Q292" s="103" t="s">
        <v>1898</v>
      </c>
      <c r="R29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485-192</v>
      </c>
      <c r="S292" s="195" t="str">
        <f>HYPERLINK("https://www.mouser.com/ProductDetail/" &amp;MouserListTable12[[#This Row],[Mouser SKU]])</f>
        <v>https://www.mouser.com/ProductDetail/485-192</v>
      </c>
      <c r="T292" s="121">
        <v>0</v>
      </c>
      <c r="U292" s="121">
        <v>0</v>
      </c>
      <c r="V292" s="121">
        <v>0</v>
      </c>
      <c r="W292" s="121">
        <f>MouserListTable12[[#This Row],['#/Unit]]*FilterSpecs!$C$3+MouserListTable12[[#This Row],[Extra]]</f>
        <v>0</v>
      </c>
      <c r="X292" s="121">
        <f>IF(MouserListTable12[[#This Row],[Tag]]=FilterSpecs!$F$7,MouserListTable12[[#This Row],['#/Unit]]*MouserListTable12[[#This Row],[Price (USD)]],0)</f>
        <v>0</v>
      </c>
      <c r="Y292" s="121">
        <f>MouserListTable12[[#This Row],[Tot '#]]*MouserListTable12[[#This Row],[Price (USD)]]</f>
        <v>0</v>
      </c>
      <c r="Z292"/>
    </row>
    <row r="293" spans="1:26" s="146" customFormat="1" hidden="1" x14ac:dyDescent="0.3">
      <c r="A293" s="103" t="s">
        <v>896</v>
      </c>
      <c r="B293" s="103" t="s">
        <v>994</v>
      </c>
      <c r="C293" s="103" t="s">
        <v>1906</v>
      </c>
      <c r="D293" s="106" t="str">
        <f>IF(MouserListTable12[[#This Row],[Vendor]]=FilterSpecs!$A$8,MouserListTable12[[#This Row],[Mouser SKU]], MouserListTable12[[#This Row],[Supplier SKU]])</f>
        <v>485-443</v>
      </c>
      <c r="E293" s="121">
        <f>MouserListTable12[[#This Row],[Tot '#]]-MouserListTable12[[#This Row],['# Initial]]</f>
        <v>0</v>
      </c>
      <c r="F293" s="121">
        <f>IF(AND(MouserListTable12[[#This Row],[Tag]]&lt;&gt;FilterSpecs!$F$12, MouserListTable12[[#This Row],[Tag]]&lt;&gt;FilterSpecs!$F$9), MouserListTable12[[#This Row],['#/Unit]]*FilterSpecs!$B$3+MouserListTable12[[#This Row],[Extra Initial]],0)</f>
        <v>0</v>
      </c>
      <c r="G293" s="103"/>
      <c r="H293" s="103"/>
      <c r="I293" s="126" t="s">
        <v>2103</v>
      </c>
      <c r="K293" s="158">
        <v>19.95</v>
      </c>
      <c r="L293" s="126" t="s">
        <v>1910</v>
      </c>
      <c r="N293" s="157">
        <f>MouserListTable12[[#This Row],['# Initial]]*MouserListTable12[[#This Row],[Price (USD)]]</f>
        <v>0</v>
      </c>
      <c r="O293" s="106" t="s">
        <v>2102</v>
      </c>
      <c r="P293" s="103">
        <f t="shared" si="5"/>
        <v>275</v>
      </c>
      <c r="Q293" s="103" t="s">
        <v>1898</v>
      </c>
      <c r="R29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485-443</v>
      </c>
      <c r="S293" s="195" t="str">
        <f>HYPERLINK("https://www.mouser.com/ProductDetail/" &amp;MouserListTable12[[#This Row],[Mouser SKU]])</f>
        <v>https://www.mouser.com/ProductDetail/485-443</v>
      </c>
      <c r="T293" s="121">
        <v>0</v>
      </c>
      <c r="U293" s="121">
        <v>0</v>
      </c>
      <c r="V293" s="121">
        <v>0</v>
      </c>
      <c r="W293" s="121">
        <f>MouserListTable12[[#This Row],['#/Unit]]*FilterSpecs!$C$3+MouserListTable12[[#This Row],[Extra]]</f>
        <v>0</v>
      </c>
      <c r="X293" s="121">
        <f>IF(MouserListTable12[[#This Row],[Tag]]=FilterSpecs!$F$7,MouserListTable12[[#This Row],['#/Unit]]*MouserListTable12[[#This Row],[Price (USD)]],0)</f>
        <v>0</v>
      </c>
      <c r="Y293" s="121">
        <f>MouserListTable12[[#This Row],[Tot '#]]*MouserListTable12[[#This Row],[Price (USD)]]</f>
        <v>0</v>
      </c>
      <c r="Z293"/>
    </row>
    <row r="294" spans="1:26" s="146" customFormat="1" hidden="1" x14ac:dyDescent="0.3">
      <c r="A294" s="103" t="s">
        <v>896</v>
      </c>
      <c r="B294" s="103" t="s">
        <v>994</v>
      </c>
      <c r="C294" s="103" t="s">
        <v>1906</v>
      </c>
      <c r="D294" s="106" t="str">
        <f>IF(MouserListTable12[[#This Row],[Vendor]]=FilterSpecs!$A$8,MouserListTable12[[#This Row],[Mouser SKU]], MouserListTable12[[#This Row],[Supplier SKU]])</f>
        <v>485-2017</v>
      </c>
      <c r="E294" s="121">
        <f>MouserListTable12[[#This Row],[Tot '#]]-MouserListTable12[[#This Row],['# Initial]]</f>
        <v>0</v>
      </c>
      <c r="F294" s="121">
        <f>IF(AND(MouserListTable12[[#This Row],[Tag]]&lt;&gt;FilterSpecs!$F$12, MouserListTable12[[#This Row],[Tag]]&lt;&gt;FilterSpecs!$F$9), MouserListTable12[[#This Row],['#/Unit]]*FilterSpecs!$B$3+MouserListTable12[[#This Row],[Extra Initial]],0)</f>
        <v>0</v>
      </c>
      <c r="G294" s="103"/>
      <c r="H294" s="103"/>
      <c r="I294" s="126" t="s">
        <v>2107</v>
      </c>
      <c r="K294" s="158">
        <v>0.75</v>
      </c>
      <c r="L294" s="126" t="s">
        <v>1910</v>
      </c>
      <c r="N294" s="157">
        <f>MouserListTable12[[#This Row],['# Initial]]*MouserListTable12[[#This Row],[Price (USD)]]</f>
        <v>0</v>
      </c>
      <c r="O294" s="106" t="s">
        <v>2106</v>
      </c>
      <c r="P294" s="103">
        <f t="shared" si="5"/>
        <v>276</v>
      </c>
      <c r="Q294" s="103" t="s">
        <v>1898</v>
      </c>
      <c r="R29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485-2017</v>
      </c>
      <c r="S294" s="195" t="str">
        <f>HYPERLINK("https://www.mouser.com/ProductDetail/" &amp;MouserListTable12[[#This Row],[Mouser SKU]])</f>
        <v>https://www.mouser.com/ProductDetail/485-2017</v>
      </c>
      <c r="T294" s="121">
        <v>0</v>
      </c>
      <c r="U294" s="121">
        <v>0</v>
      </c>
      <c r="V294" s="121">
        <v>0</v>
      </c>
      <c r="W294" s="121">
        <f>MouserListTable12[[#This Row],['#/Unit]]*FilterSpecs!$C$3+MouserListTable12[[#This Row],[Extra]]</f>
        <v>0</v>
      </c>
      <c r="X294" s="121">
        <f>IF(MouserListTable12[[#This Row],[Tag]]=FilterSpecs!$F$7,MouserListTable12[[#This Row],['#/Unit]]*MouserListTable12[[#This Row],[Price (USD)]],0)</f>
        <v>0</v>
      </c>
      <c r="Y294" s="121">
        <f>MouserListTable12[[#This Row],[Tot '#]]*MouserListTable12[[#This Row],[Price (USD)]]</f>
        <v>0</v>
      </c>
      <c r="Z294"/>
    </row>
    <row r="295" spans="1:26" s="146" customFormat="1" hidden="1" x14ac:dyDescent="0.3">
      <c r="A295" s="103" t="s">
        <v>896</v>
      </c>
      <c r="B295" s="103" t="s">
        <v>994</v>
      </c>
      <c r="C295" s="103" t="s">
        <v>1906</v>
      </c>
      <c r="D295" s="106" t="str">
        <f>IF(MouserListTable12[[#This Row],[Vendor]]=FilterSpecs!$A$8,MouserListTable12[[#This Row],[Mouser SKU]], MouserListTable12[[#This Row],[Supplier SKU]])</f>
        <v>485-2018</v>
      </c>
      <c r="E295" s="121">
        <f>MouserListTable12[[#This Row],[Tot '#]]-MouserListTable12[[#This Row],['# Initial]]</f>
        <v>0</v>
      </c>
      <c r="F295" s="121">
        <f>IF(AND(MouserListTable12[[#This Row],[Tag]]&lt;&gt;FilterSpecs!$F$12, MouserListTable12[[#This Row],[Tag]]&lt;&gt;FilterSpecs!$F$9), MouserListTable12[[#This Row],['#/Unit]]*FilterSpecs!$B$3+MouserListTable12[[#This Row],[Extra Initial]],0)</f>
        <v>0</v>
      </c>
      <c r="G295" s="103"/>
      <c r="H295" s="103"/>
      <c r="I295" s="126" t="s">
        <v>2109</v>
      </c>
      <c r="K295" s="158">
        <v>0.95</v>
      </c>
      <c r="L295" s="126" t="s">
        <v>1910</v>
      </c>
      <c r="N295" s="157">
        <f>MouserListTable12[[#This Row],['# Initial]]*MouserListTable12[[#This Row],[Price (USD)]]</f>
        <v>0</v>
      </c>
      <c r="O295" s="106" t="s">
        <v>2108</v>
      </c>
      <c r="P295" s="103">
        <f t="shared" si="5"/>
        <v>277</v>
      </c>
      <c r="Q295" s="103" t="s">
        <v>1898</v>
      </c>
      <c r="R29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485-2018</v>
      </c>
      <c r="S295" s="195" t="str">
        <f>HYPERLINK("https://www.mouser.com/ProductDetail/" &amp;MouserListTable12[[#This Row],[Mouser SKU]])</f>
        <v>https://www.mouser.com/ProductDetail/485-2018</v>
      </c>
      <c r="T295" s="121">
        <v>0</v>
      </c>
      <c r="U295" s="121">
        <v>0</v>
      </c>
      <c r="V295" s="121">
        <v>0</v>
      </c>
      <c r="W295" s="121">
        <f>MouserListTable12[[#This Row],['#/Unit]]*FilterSpecs!$C$3+MouserListTable12[[#This Row],[Extra]]</f>
        <v>0</v>
      </c>
      <c r="X295" s="121">
        <f>IF(MouserListTable12[[#This Row],[Tag]]=FilterSpecs!$F$7,MouserListTable12[[#This Row],['#/Unit]]*MouserListTable12[[#This Row],[Price (USD)]],0)</f>
        <v>0</v>
      </c>
      <c r="Y295" s="121">
        <f>MouserListTable12[[#This Row],[Tot '#]]*MouserListTable12[[#This Row],[Price (USD)]]</f>
        <v>0</v>
      </c>
      <c r="Z295"/>
    </row>
    <row r="296" spans="1:26" s="146" customFormat="1" hidden="1" x14ac:dyDescent="0.3">
      <c r="A296" s="103" t="s">
        <v>896</v>
      </c>
      <c r="B296" s="103" t="s">
        <v>994</v>
      </c>
      <c r="C296" s="103" t="s">
        <v>1906</v>
      </c>
      <c r="D296" s="106" t="str">
        <f>IF(MouserListTable12[[#This Row],[Vendor]]=FilterSpecs!$A$8,MouserListTable12[[#This Row],[Mouser SKU]], MouserListTable12[[#This Row],[Supplier SKU]])</f>
        <v>485-2463</v>
      </c>
      <c r="E296" s="121">
        <f>MouserListTable12[[#This Row],[Tot '#]]-MouserListTable12[[#This Row],['# Initial]]</f>
        <v>0</v>
      </c>
      <c r="F296" s="121">
        <f>IF(AND(MouserListTable12[[#This Row],[Tag]]&lt;&gt;FilterSpecs!$F$12, MouserListTable12[[#This Row],[Tag]]&lt;&gt;FilterSpecs!$F$9), MouserListTable12[[#This Row],['#/Unit]]*FilterSpecs!$B$3+MouserListTable12[[#This Row],[Extra Initial]],0)</f>
        <v>0</v>
      </c>
      <c r="G296" s="103"/>
      <c r="H296" s="103"/>
      <c r="I296" s="126" t="s">
        <v>2111</v>
      </c>
      <c r="K296" s="158">
        <v>0.95</v>
      </c>
      <c r="L296" s="126" t="s">
        <v>1910</v>
      </c>
      <c r="N296" s="157">
        <f>MouserListTable12[[#This Row],['# Initial]]*MouserListTable12[[#This Row],[Price (USD)]]</f>
        <v>0</v>
      </c>
      <c r="O296" s="106" t="s">
        <v>2110</v>
      </c>
      <c r="P296" s="103">
        <f t="shared" si="5"/>
        <v>278</v>
      </c>
      <c r="Q296" s="103" t="s">
        <v>1898</v>
      </c>
      <c r="R29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485-2463</v>
      </c>
      <c r="S296" s="195" t="str">
        <f>HYPERLINK("https://www.mouser.com/ProductDetail/" &amp;MouserListTable12[[#This Row],[Mouser SKU]])</f>
        <v>https://www.mouser.com/ProductDetail/485-2463</v>
      </c>
      <c r="T296" s="121">
        <v>0</v>
      </c>
      <c r="U296" s="121">
        <v>0</v>
      </c>
      <c r="V296" s="121">
        <v>0</v>
      </c>
      <c r="W296" s="121">
        <f>MouserListTable12[[#This Row],['#/Unit]]*FilterSpecs!$C$3+MouserListTable12[[#This Row],[Extra]]</f>
        <v>0</v>
      </c>
      <c r="X296" s="121">
        <f>IF(MouserListTable12[[#This Row],[Tag]]=FilterSpecs!$F$7,MouserListTable12[[#This Row],['#/Unit]]*MouserListTable12[[#This Row],[Price (USD)]],0)</f>
        <v>0</v>
      </c>
      <c r="Y296" s="121">
        <f>MouserListTable12[[#This Row],[Tot '#]]*MouserListTable12[[#This Row],[Price (USD)]]</f>
        <v>0</v>
      </c>
      <c r="Z296"/>
    </row>
    <row r="297" spans="1:26" s="146" customFormat="1" hidden="1" x14ac:dyDescent="0.3">
      <c r="A297" s="103" t="s">
        <v>896</v>
      </c>
      <c r="B297" s="103" t="s">
        <v>994</v>
      </c>
      <c r="C297" s="103" t="s">
        <v>1906</v>
      </c>
      <c r="D297" s="106" t="str">
        <f>IF(MouserListTable12[[#This Row],[Vendor]]=FilterSpecs!$A$8,MouserListTable12[[#This Row],[Mouser SKU]], MouserListTable12[[#This Row],[Supplier SKU]])</f>
        <v>474-PRT-13268</v>
      </c>
      <c r="E297" s="121">
        <f>MouserListTable12[[#This Row],[Tot '#]]-MouserListTable12[[#This Row],['# Initial]]</f>
        <v>5</v>
      </c>
      <c r="F297" s="121">
        <f>IF(AND(MouserListTable12[[#This Row],[Tag]]&lt;&gt;FilterSpecs!$F$12, MouserListTable12[[#This Row],[Tag]]&lt;&gt;FilterSpecs!$F$9), MouserListTable12[[#This Row],['#/Unit]]*FilterSpecs!$B$3+MouserListTable12[[#This Row],[Extra Initial]],0)</f>
        <v>0</v>
      </c>
      <c r="G297" s="103" t="s">
        <v>946</v>
      </c>
      <c r="H297" s="103" t="s">
        <v>947</v>
      </c>
      <c r="I297" s="103" t="s">
        <v>948</v>
      </c>
      <c r="J297" s="103">
        <v>1</v>
      </c>
      <c r="K297" s="157">
        <v>7.95</v>
      </c>
      <c r="L297" s="103" t="s">
        <v>1910</v>
      </c>
      <c r="M297" s="106"/>
      <c r="N297" s="157">
        <f>MouserListTable12[[#This Row],['# Initial]]*MouserListTable12[[#This Row],[Price (USD)]]</f>
        <v>0</v>
      </c>
      <c r="O297" s="106" t="s">
        <v>945</v>
      </c>
      <c r="P297" s="103">
        <f t="shared" si="5"/>
        <v>279</v>
      </c>
      <c r="Q297" s="103" t="s">
        <v>8</v>
      </c>
      <c r="R29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474-PRT-13268</v>
      </c>
      <c r="S297" s="195" t="str">
        <f>HYPERLINK("https://www.mouser.com/ProductDetail/" &amp;MouserListTable12[[#This Row],[Mouser SKU]])</f>
        <v>https://www.mouser.com/ProductDetail/474-PRT-13268</v>
      </c>
      <c r="T297" s="121">
        <v>0</v>
      </c>
      <c r="U297" s="121">
        <v>5</v>
      </c>
      <c r="V297" s="121">
        <v>0</v>
      </c>
      <c r="W297" s="121">
        <f>MouserListTable12[[#This Row],['#/Unit]]*FilterSpecs!$C$3+MouserListTable12[[#This Row],[Extra]]</f>
        <v>5</v>
      </c>
      <c r="X297" s="121">
        <f>IF(MouserListTable12[[#This Row],[Tag]]=FilterSpecs!$F$7,MouserListTable12[[#This Row],['#/Unit]]*MouserListTable12[[#This Row],[Price (USD)]],0)</f>
        <v>0</v>
      </c>
      <c r="Y297" s="121">
        <f>MouserListTable12[[#This Row],[Tot '#]]*MouserListTable12[[#This Row],[Price (USD)]]</f>
        <v>39.75</v>
      </c>
      <c r="Z297"/>
    </row>
    <row r="298" spans="1:26" s="146" customFormat="1" x14ac:dyDescent="0.3">
      <c r="A298" s="103" t="s">
        <v>896</v>
      </c>
      <c r="B298" s="103" t="s">
        <v>994</v>
      </c>
      <c r="C298" s="103" t="s">
        <v>1906</v>
      </c>
      <c r="D298" s="106" t="str">
        <f>IF(MouserListTable12[[#This Row],[Vendor]]=FilterSpecs!$A$8,MouserListTable12[[#This Row],[Mouser SKU]], MouserListTable12[[#This Row],[Supplier SKU]])</f>
        <v>474-DEV-13317</v>
      </c>
      <c r="E298" s="121">
        <f>MouserListTable12[[#This Row],[Tot '#]]-MouserListTable12[[#This Row],['# Initial]]</f>
        <v>0</v>
      </c>
      <c r="F298" s="121">
        <f>IF(AND(MouserListTable12[[#This Row],[Tag]]&lt;&gt;FilterSpecs!$F$12, MouserListTable12[[#This Row],[Tag]]&lt;&gt;FilterSpecs!$F$9), MouserListTable12[[#This Row],['#/Unit]]*FilterSpecs!$B$3+MouserListTable12[[#This Row],[Extra Initial]],0)</f>
        <v>10</v>
      </c>
      <c r="G298" s="103" t="s">
        <v>942</v>
      </c>
      <c r="H298" s="103" t="s">
        <v>943</v>
      </c>
      <c r="I298" s="103" t="s">
        <v>944</v>
      </c>
      <c r="J298" s="103">
        <v>1</v>
      </c>
      <c r="K298" s="157">
        <v>7.95</v>
      </c>
      <c r="L298" s="103" t="s">
        <v>1911</v>
      </c>
      <c r="M298" s="106"/>
      <c r="N298" s="157">
        <f>MouserListTable12[[#This Row],['# Initial]]*MouserListTable12[[#This Row],[Price (USD)]]</f>
        <v>79.5</v>
      </c>
      <c r="O298" s="106" t="s">
        <v>941</v>
      </c>
      <c r="P298" s="103">
        <f t="shared" si="5"/>
        <v>280</v>
      </c>
      <c r="Q298" s="103" t="s">
        <v>8</v>
      </c>
      <c r="R29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474-DEV-13317</v>
      </c>
      <c r="S298" s="195" t="str">
        <f>HYPERLINK("https://www.mouser.com/ProductDetail/" &amp;MouserListTable12[[#This Row],[Mouser SKU]])</f>
        <v>https://www.mouser.com/ProductDetail/474-DEV-13317</v>
      </c>
      <c r="T298" s="121">
        <v>2</v>
      </c>
      <c r="U298" s="121">
        <v>0</v>
      </c>
      <c r="V298" s="121">
        <v>0</v>
      </c>
      <c r="W298" s="121">
        <f>MouserListTable12[[#This Row],['#/Unit]]*FilterSpecs!$C$3+MouserListTable12[[#This Row],[Extra]]</f>
        <v>10</v>
      </c>
      <c r="X298" s="121">
        <f>IF(MouserListTable12[[#This Row],[Tag]]=FilterSpecs!$F$7,MouserListTable12[[#This Row],['#/Unit]]*MouserListTable12[[#This Row],[Price (USD)]],0)</f>
        <v>15.9</v>
      </c>
      <c r="Y298" s="121">
        <f>MouserListTable12[[#This Row],[Tot '#]]*MouserListTable12[[#This Row],[Price (USD)]]</f>
        <v>79.5</v>
      </c>
      <c r="Z298"/>
    </row>
    <row r="299" spans="1:26" s="146" customFormat="1" hidden="1" x14ac:dyDescent="0.3">
      <c r="A299" s="103" t="s">
        <v>896</v>
      </c>
      <c r="B299" s="103" t="s">
        <v>1301</v>
      </c>
      <c r="C299" s="103" t="s">
        <v>1906</v>
      </c>
      <c r="D299" s="106" t="str">
        <f>IF(MouserListTable12[[#This Row],[Vendor]]=FilterSpecs!$A$8,MouserListTable12[[#This Row],[Mouser SKU]], MouserListTable12[[#This Row],[Supplier SKU]])</f>
        <v>474-PRT-11366</v>
      </c>
      <c r="E299" s="121">
        <f>MouserListTable12[[#This Row],[Tot '#]]-MouserListTable12[[#This Row],['# Initial]]</f>
        <v>5</v>
      </c>
      <c r="F299" s="121">
        <f>IF(AND(MouserListTable12[[#This Row],[Tag]]&lt;&gt;FilterSpecs!$F$12, MouserListTable12[[#This Row],[Tag]]&lt;&gt;FilterSpecs!$F$9), MouserListTable12[[#This Row],['#/Unit]]*FilterSpecs!$B$3+MouserListTable12[[#This Row],[Extra Initial]],0)</f>
        <v>0</v>
      </c>
      <c r="G299" s="103" t="s">
        <v>640</v>
      </c>
      <c r="H299" s="103" t="s">
        <v>641</v>
      </c>
      <c r="I299" s="103" t="s">
        <v>642</v>
      </c>
      <c r="J299" s="103"/>
      <c r="K299" s="157">
        <v>8.9499999999999993</v>
      </c>
      <c r="L299" s="103" t="s">
        <v>2487</v>
      </c>
      <c r="M299" s="106"/>
      <c r="N299" s="157">
        <f>MouserListTable12[[#This Row],['# Initial]]*MouserListTable12[[#This Row],[Price (USD)]]</f>
        <v>0</v>
      </c>
      <c r="O299" s="106" t="s">
        <v>639</v>
      </c>
      <c r="P299" s="103">
        <f t="shared" si="5"/>
        <v>281</v>
      </c>
      <c r="Q299" s="103" t="s">
        <v>8</v>
      </c>
      <c r="R29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474-PRT-11366</v>
      </c>
      <c r="S299" s="195" t="str">
        <f>HYPERLINK("https://www.mouser.com/ProductDetail/" &amp;MouserListTable12[[#This Row],[Mouser SKU]])</f>
        <v>https://www.mouser.com/ProductDetail/474-PRT-11366</v>
      </c>
      <c r="T299" s="121">
        <v>1</v>
      </c>
      <c r="U299" s="121">
        <v>0</v>
      </c>
      <c r="V299" s="121">
        <v>0</v>
      </c>
      <c r="W299" s="121">
        <f>MouserListTable12[[#This Row],['#/Unit]]*FilterSpecs!$C$3+MouserListTable12[[#This Row],[Extra]]</f>
        <v>5</v>
      </c>
      <c r="X299" s="121">
        <f>IF(MouserListTable12[[#This Row],[Tag]]=FilterSpecs!$F$7,MouserListTable12[[#This Row],['#/Unit]]*MouserListTable12[[#This Row],[Price (USD)]],0)</f>
        <v>0</v>
      </c>
      <c r="Y299" s="121">
        <f>MouserListTable12[[#This Row],[Tot '#]]*MouserListTable12[[#This Row],[Price (USD)]]</f>
        <v>44.75</v>
      </c>
      <c r="Z299"/>
    </row>
    <row r="300" spans="1:26" s="146" customFormat="1" hidden="1" x14ac:dyDescent="0.3">
      <c r="A300" s="103" t="s">
        <v>896</v>
      </c>
      <c r="B300" s="103" t="s">
        <v>1301</v>
      </c>
      <c r="C300" s="103" t="s">
        <v>1906</v>
      </c>
      <c r="D300" s="106" t="str">
        <f>IF(MouserListTable12[[#This Row],[Vendor]]=FilterSpecs!$A$8,MouserListTable12[[#This Row],[Mouser SKU]], MouserListTable12[[#This Row],[Supplier SKU]])</f>
        <v>474-PRT-10088</v>
      </c>
      <c r="E300" s="121">
        <f>MouserListTable12[[#This Row],[Tot '#]]-MouserListTable12[[#This Row],['# Initial]]</f>
        <v>1</v>
      </c>
      <c r="F300" s="121">
        <f>IF(AND(MouserListTable12[[#This Row],[Tag]]&lt;&gt;FilterSpecs!$F$12, MouserListTable12[[#This Row],[Tag]]&lt;&gt;FilterSpecs!$F$9), MouserListTable12[[#This Row],['#/Unit]]*FilterSpecs!$B$3+MouserListTable12[[#This Row],[Extra Initial]],0)</f>
        <v>0</v>
      </c>
      <c r="G300" s="103" t="s">
        <v>660</v>
      </c>
      <c r="H300" s="103" t="s">
        <v>661</v>
      </c>
      <c r="I300" s="103" t="s">
        <v>662</v>
      </c>
      <c r="J300" s="103"/>
      <c r="K300" s="157">
        <v>11.95</v>
      </c>
      <c r="L300" s="103" t="s">
        <v>1911</v>
      </c>
      <c r="M300" s="106"/>
      <c r="N300" s="157">
        <f>MouserListTable12[[#This Row],['# Initial]]*MouserListTable12[[#This Row],[Price (USD)]]</f>
        <v>0</v>
      </c>
      <c r="O300" s="106" t="s">
        <v>659</v>
      </c>
      <c r="P300" s="103">
        <f t="shared" si="5"/>
        <v>282</v>
      </c>
      <c r="Q300" s="103" t="s">
        <v>8</v>
      </c>
      <c r="R30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474-PRT-10088</v>
      </c>
      <c r="S300" s="195" t="str">
        <f>HYPERLINK("https://www.mouser.com/ProductDetail/" &amp;MouserListTable12[[#This Row],[Mouser SKU]])</f>
        <v>https://www.mouser.com/ProductDetail/474-PRT-10088</v>
      </c>
      <c r="T300" s="121">
        <v>0</v>
      </c>
      <c r="U300" s="121">
        <v>1</v>
      </c>
      <c r="V300" s="121">
        <v>0</v>
      </c>
      <c r="W300" s="121">
        <f>MouserListTable12[[#This Row],['#/Unit]]*FilterSpecs!$C$3+MouserListTable12[[#This Row],[Extra]]</f>
        <v>1</v>
      </c>
      <c r="X300" s="121">
        <f>IF(MouserListTable12[[#This Row],[Tag]]=FilterSpecs!$F$7,MouserListTable12[[#This Row],['#/Unit]]*MouserListTable12[[#This Row],[Price (USD)]],0)</f>
        <v>0</v>
      </c>
      <c r="Y300" s="121">
        <f>MouserListTable12[[#This Row],[Tot '#]]*MouserListTable12[[#This Row],[Price (USD)]]</f>
        <v>11.95</v>
      </c>
      <c r="Z300"/>
    </row>
    <row r="301" spans="1:26" s="146" customFormat="1" hidden="1" x14ac:dyDescent="0.3">
      <c r="A301" s="103" t="s">
        <v>896</v>
      </c>
      <c r="B301" s="103" t="s">
        <v>1301</v>
      </c>
      <c r="C301" s="103" t="s">
        <v>1906</v>
      </c>
      <c r="D301" s="106" t="str">
        <f>IF(MouserListTable12[[#This Row],[Vendor]]=FilterSpecs!$A$8,MouserListTable12[[#This Row],[Mouser SKU]], MouserListTable12[[#This Row],[Supplier SKU]])</f>
        <v>474-DEV-11632</v>
      </c>
      <c r="E301" s="121">
        <f>MouserListTable12[[#This Row],[Tot '#]]-MouserListTable12[[#This Row],['# Initial]]</f>
        <v>1</v>
      </c>
      <c r="F301" s="121">
        <f>IF(AND(MouserListTable12[[#This Row],[Tag]]&lt;&gt;FilterSpecs!$F$12, MouserListTable12[[#This Row],[Tag]]&lt;&gt;FilterSpecs!$F$9), MouserListTable12[[#This Row],['#/Unit]]*FilterSpecs!$B$3+MouserListTable12[[#This Row],[Extra Initial]],0)</f>
        <v>0</v>
      </c>
      <c r="G301" s="103" t="s">
        <v>1105</v>
      </c>
      <c r="H301" s="103" t="s">
        <v>1106</v>
      </c>
      <c r="I301" s="103" t="s">
        <v>1107</v>
      </c>
      <c r="J301" s="103">
        <v>1</v>
      </c>
      <c r="K301" s="157">
        <v>0.1</v>
      </c>
      <c r="L301" s="103" t="s">
        <v>1910</v>
      </c>
      <c r="M301" s="106"/>
      <c r="N301" s="157">
        <f>MouserListTable12[[#This Row],['# Initial]]*MouserListTable12[[#This Row],[Price (USD)]]</f>
        <v>0</v>
      </c>
      <c r="O301" s="106" t="s">
        <v>1104</v>
      </c>
      <c r="P301" s="103">
        <f t="shared" si="5"/>
        <v>283</v>
      </c>
      <c r="Q301" s="103" t="s">
        <v>8</v>
      </c>
      <c r="R30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474-DEV-11632</v>
      </c>
      <c r="S301" s="195" t="str">
        <f>HYPERLINK("https://www.mouser.com/ProductDetail/" &amp;MouserListTable12[[#This Row],[Mouser SKU]])</f>
        <v>https://www.mouser.com/ProductDetail/474-DEV-11632</v>
      </c>
      <c r="T301" s="121">
        <v>0</v>
      </c>
      <c r="U301" s="121">
        <v>1</v>
      </c>
      <c r="V301" s="121">
        <v>0</v>
      </c>
      <c r="W301" s="121">
        <f>MouserListTable12[[#This Row],['#/Unit]]*FilterSpecs!$C$3+MouserListTable12[[#This Row],[Extra]]</f>
        <v>1</v>
      </c>
      <c r="X301" s="121">
        <f>IF(MouserListTable12[[#This Row],[Tag]]=FilterSpecs!$F$7,MouserListTable12[[#This Row],['#/Unit]]*MouserListTable12[[#This Row],[Price (USD)]],0)</f>
        <v>0</v>
      </c>
      <c r="Y301" s="121">
        <f>MouserListTable12[[#This Row],[Tot '#]]*MouserListTable12[[#This Row],[Price (USD)]]</f>
        <v>0.1</v>
      </c>
      <c r="Z301"/>
    </row>
    <row r="302" spans="1:26" s="146" customFormat="1" hidden="1" x14ac:dyDescent="0.3">
      <c r="A302" s="103" t="s">
        <v>896</v>
      </c>
      <c r="B302" s="106" t="s">
        <v>1301</v>
      </c>
      <c r="C302" s="103" t="s">
        <v>1906</v>
      </c>
      <c r="D302" s="106" t="str">
        <f>IF(MouserListTable12[[#This Row],[Vendor]]=FilterSpecs!$A$8,MouserListTable12[[#This Row],[Mouser SKU]], MouserListTable12[[#This Row],[Supplier SKU]])</f>
        <v>485-2229</v>
      </c>
      <c r="E302" s="121">
        <f>MouserListTable12[[#This Row],[Tot '#]]-MouserListTable12[[#This Row],['# Initial]]</f>
        <v>0</v>
      </c>
      <c r="F302" s="121">
        <f>IF(AND(MouserListTable12[[#This Row],[Tag]]&lt;&gt;FilterSpecs!$F$12, MouserListTable12[[#This Row],[Tag]]&lt;&gt;FilterSpecs!$F$9), MouserListTable12[[#This Row],['#/Unit]]*FilterSpecs!$B$3+MouserListTable12[[#This Row],[Extra Initial]],0)</f>
        <v>0</v>
      </c>
      <c r="G302" s="103"/>
      <c r="H302" s="103"/>
      <c r="I302" s="126" t="s">
        <v>2092</v>
      </c>
      <c r="K302" s="158">
        <v>7.5</v>
      </c>
      <c r="L302" s="146" t="s">
        <v>1910</v>
      </c>
      <c r="N302" s="157">
        <f>MouserListTable12[[#This Row],['# Initial]]*MouserListTable12[[#This Row],[Price (USD)]]</f>
        <v>0</v>
      </c>
      <c r="O302" s="106" t="s">
        <v>2093</v>
      </c>
      <c r="P302" s="103">
        <f t="shared" si="5"/>
        <v>284</v>
      </c>
      <c r="Q302" s="103" t="s">
        <v>1898</v>
      </c>
      <c r="R30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485-2229</v>
      </c>
      <c r="S302" s="195" t="str">
        <f>HYPERLINK("https://www.mouser.com/ProductDetail/" &amp;MouserListTable12[[#This Row],[Mouser SKU]])</f>
        <v>https://www.mouser.com/ProductDetail/485-2229</v>
      </c>
      <c r="T302" s="121">
        <v>0</v>
      </c>
      <c r="U302" s="121">
        <v>0</v>
      </c>
      <c r="V302" s="121">
        <v>0</v>
      </c>
      <c r="W302" s="121">
        <f>MouserListTable12[[#This Row],['#/Unit]]*FilterSpecs!$C$3+MouserListTable12[[#This Row],[Extra]]</f>
        <v>0</v>
      </c>
      <c r="X302" s="121">
        <f>IF(MouserListTable12[[#This Row],[Tag]]=FilterSpecs!$F$7,MouserListTable12[[#This Row],['#/Unit]]*MouserListTable12[[#This Row],[Price (USD)]],0)</f>
        <v>0</v>
      </c>
      <c r="Y302" s="121">
        <f>MouserListTable12[[#This Row],[Tot '#]]*MouserListTable12[[#This Row],[Price (USD)]]</f>
        <v>0</v>
      </c>
      <c r="Z302"/>
    </row>
    <row r="303" spans="1:26" s="146" customFormat="1" hidden="1" x14ac:dyDescent="0.3">
      <c r="A303" s="103" t="s">
        <v>896</v>
      </c>
      <c r="B303" s="106" t="s">
        <v>1301</v>
      </c>
      <c r="C303" s="103" t="s">
        <v>1906</v>
      </c>
      <c r="D303" s="106" t="str">
        <f>IF(MouserListTable12[[#This Row],[Vendor]]=FilterSpecs!$A$8,MouserListTable12[[#This Row],[Mouser SKU]], MouserListTable12[[#This Row],[Supplier SKU]])</f>
        <v>485-2230</v>
      </c>
      <c r="E303" s="121">
        <f>MouserListTable12[[#This Row],[Tot '#]]-MouserListTable12[[#This Row],['# Initial]]</f>
        <v>0</v>
      </c>
      <c r="F303" s="121">
        <f>IF(AND(MouserListTable12[[#This Row],[Tag]]&lt;&gt;FilterSpecs!$F$12, MouserListTable12[[#This Row],[Tag]]&lt;&gt;FilterSpecs!$F$9), MouserListTable12[[#This Row],['#/Unit]]*FilterSpecs!$B$3+MouserListTable12[[#This Row],[Extra Initial]],0)</f>
        <v>0</v>
      </c>
      <c r="G303" s="103"/>
      <c r="H303" s="103"/>
      <c r="I303" s="126" t="s">
        <v>2090</v>
      </c>
      <c r="K303" s="158">
        <v>5.95</v>
      </c>
      <c r="L303" s="146" t="s">
        <v>1910</v>
      </c>
      <c r="N303" s="157">
        <f>MouserListTable12[[#This Row],['# Initial]]*MouserListTable12[[#This Row],[Price (USD)]]</f>
        <v>0</v>
      </c>
      <c r="O303" s="106" t="s">
        <v>2091</v>
      </c>
      <c r="P303" s="103">
        <f t="shared" si="5"/>
        <v>285</v>
      </c>
      <c r="Q303" s="103" t="s">
        <v>1898</v>
      </c>
      <c r="R30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485-2230</v>
      </c>
      <c r="S303" s="195" t="str">
        <f>HYPERLINK("https://www.mouser.com/ProductDetail/" &amp;MouserListTable12[[#This Row],[Mouser SKU]])</f>
        <v>https://www.mouser.com/ProductDetail/485-2230</v>
      </c>
      <c r="T303" s="121">
        <v>0</v>
      </c>
      <c r="U303" s="121">
        <v>0</v>
      </c>
      <c r="V303" s="121">
        <v>0</v>
      </c>
      <c r="W303" s="121">
        <f>MouserListTable12[[#This Row],['#/Unit]]*FilterSpecs!$C$3+MouserListTable12[[#This Row],[Extra]]</f>
        <v>0</v>
      </c>
      <c r="X303" s="121">
        <f>IF(MouserListTable12[[#This Row],[Tag]]=FilterSpecs!$F$7,MouserListTable12[[#This Row],['#/Unit]]*MouserListTable12[[#This Row],[Price (USD)]],0)</f>
        <v>0</v>
      </c>
      <c r="Y303" s="121">
        <f>MouserListTable12[[#This Row],[Tot '#]]*MouserListTable12[[#This Row],[Price (USD)]]</f>
        <v>0</v>
      </c>
      <c r="Z303"/>
    </row>
    <row r="304" spans="1:26" s="146" customFormat="1" x14ac:dyDescent="0.3">
      <c r="A304" s="103" t="s">
        <v>896</v>
      </c>
      <c r="B304" s="103" t="s">
        <v>890</v>
      </c>
      <c r="C304" s="103" t="s">
        <v>1906</v>
      </c>
      <c r="D304" s="106" t="str">
        <f>IF(MouserListTable12[[#This Row],[Vendor]]=FilterSpecs!$A$8,MouserListTable12[[#This Row],[Mouser SKU]], MouserListTable12[[#This Row],[Supplier SKU]])</f>
        <v>474-COM-10594</v>
      </c>
      <c r="E304" s="121">
        <f>MouserListTable12[[#This Row],[Tot '#]]-MouserListTable12[[#This Row],['# Initial]]</f>
        <v>0</v>
      </c>
      <c r="F304" s="121">
        <f>IF(AND(MouserListTable12[[#This Row],[Tag]]&lt;&gt;FilterSpecs!$F$12, MouserListTable12[[#This Row],[Tag]]&lt;&gt;FilterSpecs!$F$9), MouserListTable12[[#This Row],['#/Unit]]*FilterSpecs!$B$3+MouserListTable12[[#This Row],[Extra Initial]],0)</f>
        <v>5</v>
      </c>
      <c r="G304" s="103" t="s">
        <v>648</v>
      </c>
      <c r="H304" s="103" t="s">
        <v>649</v>
      </c>
      <c r="I304" s="103" t="s">
        <v>650</v>
      </c>
      <c r="J304" s="103">
        <v>1</v>
      </c>
      <c r="K304" s="157">
        <v>0.95</v>
      </c>
      <c r="L304" s="103" t="s">
        <v>1911</v>
      </c>
      <c r="M304" s="106"/>
      <c r="N304" s="157">
        <f>MouserListTable12[[#This Row],['# Initial]]*MouserListTable12[[#This Row],[Price (USD)]]</f>
        <v>4.75</v>
      </c>
      <c r="O304" s="106" t="s">
        <v>647</v>
      </c>
      <c r="P304" s="103">
        <f t="shared" si="5"/>
        <v>286</v>
      </c>
      <c r="Q304" s="103" t="s">
        <v>8</v>
      </c>
      <c r="R30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474-COM-10594</v>
      </c>
      <c r="S304" s="195" t="str">
        <f>HYPERLINK("https://www.mouser.com/ProductDetail/" &amp;MouserListTable12[[#This Row],[Mouser SKU]])</f>
        <v>https://www.mouser.com/ProductDetail/474-COM-10594</v>
      </c>
      <c r="T304" s="121">
        <v>1</v>
      </c>
      <c r="U304" s="121">
        <v>0</v>
      </c>
      <c r="V304" s="121">
        <v>0</v>
      </c>
      <c r="W304" s="121">
        <f>MouserListTable12[[#This Row],['#/Unit]]*FilterSpecs!$C$3+MouserListTable12[[#This Row],[Extra]]</f>
        <v>5</v>
      </c>
      <c r="X304" s="121">
        <f>IF(MouserListTable12[[#This Row],[Tag]]=FilterSpecs!$F$7,MouserListTable12[[#This Row],['#/Unit]]*MouserListTable12[[#This Row],[Price (USD)]],0)</f>
        <v>0.95</v>
      </c>
      <c r="Y304" s="121">
        <f>MouserListTable12[[#This Row],[Tot '#]]*MouserListTable12[[#This Row],[Price (USD)]]</f>
        <v>4.75</v>
      </c>
      <c r="Z304"/>
    </row>
    <row r="305" spans="1:26" s="146" customFormat="1" x14ac:dyDescent="0.3">
      <c r="A305" s="103" t="s">
        <v>896</v>
      </c>
      <c r="B305" s="103" t="s">
        <v>890</v>
      </c>
      <c r="C305" s="103" t="s">
        <v>1906</v>
      </c>
      <c r="D305" s="106" t="str">
        <f>IF(MouserListTable12[[#This Row],[Vendor]]=FilterSpecs!$A$8,MouserListTable12[[#This Row],[Mouser SKU]], MouserListTable12[[#This Row],[Supplier SKU]])</f>
        <v>474-PRT-10230</v>
      </c>
      <c r="E305" s="121">
        <f>MouserListTable12[[#This Row],[Tot '#]]-MouserListTable12[[#This Row],['# Initial]]</f>
        <v>0</v>
      </c>
      <c r="F305" s="121">
        <f>IF(AND(MouserListTable12[[#This Row],[Tag]]&lt;&gt;FilterSpecs!$F$12, MouserListTable12[[#This Row],[Tag]]&lt;&gt;FilterSpecs!$F$9), MouserListTable12[[#This Row],['#/Unit]]*FilterSpecs!$B$3+MouserListTable12[[#This Row],[Extra Initial]],0)</f>
        <v>5</v>
      </c>
      <c r="G305" s="103" t="s">
        <v>656</v>
      </c>
      <c r="H305" s="103" t="s">
        <v>657</v>
      </c>
      <c r="I305" s="103" t="s">
        <v>658</v>
      </c>
      <c r="J305" s="103">
        <v>1</v>
      </c>
      <c r="K305" s="157">
        <v>0.95</v>
      </c>
      <c r="L305" s="103" t="s">
        <v>1911</v>
      </c>
      <c r="M305" s="106"/>
      <c r="N305" s="157">
        <f>MouserListTable12[[#This Row],['# Initial]]*MouserListTable12[[#This Row],[Price (USD)]]</f>
        <v>4.75</v>
      </c>
      <c r="O305" s="106" t="s">
        <v>655</v>
      </c>
      <c r="P305" s="103">
        <f t="shared" si="5"/>
        <v>287</v>
      </c>
      <c r="Q305" s="103" t="s">
        <v>8</v>
      </c>
      <c r="R30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474-PRT-10230</v>
      </c>
      <c r="S305" s="195" t="str">
        <f>HYPERLINK("https://www.mouser.com/ProductDetail/" &amp;MouserListTable12[[#This Row],[Mouser SKU]])</f>
        <v>https://www.mouser.com/ProductDetail/474-PRT-10230</v>
      </c>
      <c r="T305" s="121">
        <v>1</v>
      </c>
      <c r="U305" s="121">
        <v>0</v>
      </c>
      <c r="V305" s="121">
        <v>0</v>
      </c>
      <c r="W305" s="121">
        <f>MouserListTable12[[#This Row],['#/Unit]]*FilterSpecs!$C$3+MouserListTable12[[#This Row],[Extra]]</f>
        <v>5</v>
      </c>
      <c r="X305" s="121">
        <f>IF(MouserListTable12[[#This Row],[Tag]]=FilterSpecs!$F$7,MouserListTable12[[#This Row],['#/Unit]]*MouserListTable12[[#This Row],[Price (USD)]],0)</f>
        <v>0.95</v>
      </c>
      <c r="Y305" s="121">
        <f>MouserListTable12[[#This Row],[Tot '#]]*MouserListTable12[[#This Row],[Price (USD)]]</f>
        <v>4.75</v>
      </c>
      <c r="Z305"/>
    </row>
    <row r="306" spans="1:26" s="146" customFormat="1" hidden="1" x14ac:dyDescent="0.3">
      <c r="A306" s="103" t="s">
        <v>896</v>
      </c>
      <c r="B306" s="103" t="s">
        <v>890</v>
      </c>
      <c r="C306" s="103" t="s">
        <v>1906</v>
      </c>
      <c r="D306" s="106" t="str">
        <f>IF(MouserListTable12[[#This Row],[Vendor]]=FilterSpecs!$A$8,MouserListTable12[[#This Row],[Mouser SKU]], MouserListTable12[[#This Row],[Supplier SKU]])</f>
        <v>485-550</v>
      </c>
      <c r="E306" s="121">
        <f>MouserListTable12[[#This Row],[Tot '#]]-MouserListTable12[[#This Row],['# Initial]]</f>
        <v>0</v>
      </c>
      <c r="F306" s="121">
        <f>IF(AND(MouserListTable12[[#This Row],[Tag]]&lt;&gt;FilterSpecs!$F$12, MouserListTable12[[#This Row],[Tag]]&lt;&gt;FilterSpecs!$F$9), MouserListTable12[[#This Row],['#/Unit]]*FilterSpecs!$B$3+MouserListTable12[[#This Row],[Extra Initial]],0)</f>
        <v>0</v>
      </c>
      <c r="G306" s="103"/>
      <c r="H306" s="103"/>
      <c r="I306" s="126" t="s">
        <v>2117</v>
      </c>
      <c r="K306" s="158">
        <v>0.95</v>
      </c>
      <c r="L306" s="126" t="s">
        <v>1910</v>
      </c>
      <c r="N306" s="157">
        <f>MouserListTable12[[#This Row],['# Initial]]*MouserListTable12[[#This Row],[Price (USD)]]</f>
        <v>0</v>
      </c>
      <c r="O306" s="106" t="s">
        <v>2116</v>
      </c>
      <c r="P306" s="103">
        <f t="shared" si="5"/>
        <v>288</v>
      </c>
      <c r="Q306" s="103" t="s">
        <v>1898</v>
      </c>
      <c r="R30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485-550</v>
      </c>
      <c r="S306" s="195" t="str">
        <f>HYPERLINK("https://www.mouser.com/ProductDetail/" &amp;MouserListTable12[[#This Row],[Mouser SKU]])</f>
        <v>https://www.mouser.com/ProductDetail/485-550</v>
      </c>
      <c r="T306" s="121">
        <v>0</v>
      </c>
      <c r="U306" s="121">
        <v>0</v>
      </c>
      <c r="V306" s="121">
        <v>0</v>
      </c>
      <c r="W306" s="121">
        <f>MouserListTable12[[#This Row],['#/Unit]]*FilterSpecs!$C$3+MouserListTable12[[#This Row],[Extra]]</f>
        <v>0</v>
      </c>
      <c r="X306" s="121">
        <f>IF(MouserListTable12[[#This Row],[Tag]]=FilterSpecs!$F$7,MouserListTable12[[#This Row],['#/Unit]]*MouserListTable12[[#This Row],[Price (USD)]],0)</f>
        <v>0</v>
      </c>
      <c r="Y306" s="121">
        <f>MouserListTable12[[#This Row],[Tot '#]]*MouserListTable12[[#This Row],[Price (USD)]]</f>
        <v>0</v>
      </c>
      <c r="Z306"/>
    </row>
    <row r="307" spans="1:26" s="146" customFormat="1" hidden="1" x14ac:dyDescent="0.3">
      <c r="A307" s="103" t="s">
        <v>896</v>
      </c>
      <c r="B307" s="103" t="s">
        <v>890</v>
      </c>
      <c r="C307" s="103" t="s">
        <v>1906</v>
      </c>
      <c r="D307" s="106" t="str">
        <f>IF(MouserListTable12[[#This Row],[Vendor]]=FilterSpecs!$A$8,MouserListTable12[[#This Row],[Mouser SKU]], MouserListTable12[[#This Row],[Supplier SKU]])</f>
        <v>474-PRT-09353</v>
      </c>
      <c r="E307" s="121">
        <f>MouserListTable12[[#This Row],[Tot '#]]-MouserListTable12[[#This Row],['# Initial]]</f>
        <v>2</v>
      </c>
      <c r="F307" s="121">
        <f>IF(AND(MouserListTable12[[#This Row],[Tag]]&lt;&gt;FilterSpecs!$F$12, MouserListTable12[[#This Row],[Tag]]&lt;&gt;FilterSpecs!$F$9), MouserListTable12[[#This Row],['#/Unit]]*FilterSpecs!$B$3+MouserListTable12[[#This Row],[Extra Initial]],0)</f>
        <v>0</v>
      </c>
      <c r="G307" s="103" t="s">
        <v>1249</v>
      </c>
      <c r="H307" s="103" t="s">
        <v>1250</v>
      </c>
      <c r="I307" s="103" t="s">
        <v>1251</v>
      </c>
      <c r="J307" s="103">
        <v>1</v>
      </c>
      <c r="K307" s="157">
        <v>7.95</v>
      </c>
      <c r="L307" s="103" t="s">
        <v>1910</v>
      </c>
      <c r="M307" s="106"/>
      <c r="N307" s="157">
        <f>MouserListTable12[[#This Row],['# Initial]]*MouserListTable12[[#This Row],[Price (USD)]]</f>
        <v>0</v>
      </c>
      <c r="O307" s="106" t="s">
        <v>1248</v>
      </c>
      <c r="P307" s="103">
        <f t="shared" si="5"/>
        <v>289</v>
      </c>
      <c r="Q307" s="103" t="s">
        <v>8</v>
      </c>
      <c r="R30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474-PRT-09353</v>
      </c>
      <c r="S307" s="195" t="str">
        <f>HYPERLINK("https://www.mouser.com/ProductDetail/" &amp;MouserListTable12[[#This Row],[Mouser SKU]])</f>
        <v>https://www.mouser.com/ProductDetail/474-PRT-09353</v>
      </c>
      <c r="T307" s="121">
        <v>0</v>
      </c>
      <c r="U307" s="121">
        <v>2</v>
      </c>
      <c r="V307" s="121">
        <v>0</v>
      </c>
      <c r="W307" s="121">
        <f>MouserListTable12[[#This Row],['#/Unit]]*FilterSpecs!$C$3+MouserListTable12[[#This Row],[Extra]]</f>
        <v>2</v>
      </c>
      <c r="X307" s="121">
        <f>IF(MouserListTable12[[#This Row],[Tag]]=FilterSpecs!$F$7,MouserListTable12[[#This Row],['#/Unit]]*MouserListTable12[[#This Row],[Price (USD)]],0)</f>
        <v>0</v>
      </c>
      <c r="Y307" s="121">
        <f>MouserListTable12[[#This Row],[Tot '#]]*MouserListTable12[[#This Row],[Price (USD)]]</f>
        <v>15.9</v>
      </c>
      <c r="Z307"/>
    </row>
    <row r="308" spans="1:26" s="144" customFormat="1" hidden="1" x14ac:dyDescent="0.3">
      <c r="A308" s="128" t="s">
        <v>896</v>
      </c>
      <c r="B308" s="128" t="s">
        <v>890</v>
      </c>
      <c r="C308" s="103" t="s">
        <v>1906</v>
      </c>
      <c r="D308" s="106" t="str">
        <f>IF(MouserListTable12[[#This Row],[Vendor]]=FilterSpecs!$A$8,MouserListTable12[[#This Row],[Mouser SKU]], MouserListTable12[[#This Row],[Supplier SKU]])</f>
        <v>485-344</v>
      </c>
      <c r="E308" s="121">
        <f>MouserListTable12[[#This Row],[Tot '#]]-MouserListTable12[[#This Row],['# Initial]]</f>
        <v>0</v>
      </c>
      <c r="F308" s="121">
        <f>IF(AND(MouserListTable12[[#This Row],[Tag]]&lt;&gt;FilterSpecs!$F$12, MouserListTable12[[#This Row],[Tag]]&lt;&gt;FilterSpecs!$F$9), MouserListTable12[[#This Row],['#/Unit]]*FilterSpecs!$B$3+MouserListTable12[[#This Row],[Extra Initial]],0)</f>
        <v>0</v>
      </c>
      <c r="G308" s="146"/>
      <c r="H308" s="146"/>
      <c r="I308" s="128" t="s">
        <v>2478</v>
      </c>
      <c r="J308" s="153">
        <v>115</v>
      </c>
      <c r="K308" s="159">
        <v>4.95</v>
      </c>
      <c r="L308" s="126" t="s">
        <v>1910</v>
      </c>
      <c r="M308" s="146"/>
      <c r="N308" s="157">
        <f>MouserListTable12[[#This Row],['# Initial]]*MouserListTable12[[#This Row],[Price (USD)]]</f>
        <v>0</v>
      </c>
      <c r="O308" s="153" t="s">
        <v>2479</v>
      </c>
      <c r="P308" s="103">
        <f t="shared" si="5"/>
        <v>290</v>
      </c>
      <c r="Q308" s="103" t="s">
        <v>1898</v>
      </c>
      <c r="R30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485-344</v>
      </c>
      <c r="S308" s="195" t="str">
        <f>HYPERLINK("https://www.mouser.com/ProductDetail/" &amp;MouserListTable12[[#This Row],[Mouser SKU]])</f>
        <v>https://www.mouser.com/ProductDetail/485-344</v>
      </c>
      <c r="T308" s="121">
        <v>0</v>
      </c>
      <c r="U308" s="121">
        <v>0</v>
      </c>
      <c r="V308" s="121">
        <v>0</v>
      </c>
      <c r="W308" s="121">
        <f>MouserListTable12[[#This Row],['#/Unit]]*FilterSpecs!$C$3+MouserListTable12[[#This Row],[Extra]]</f>
        <v>0</v>
      </c>
      <c r="X308" s="121">
        <f>IF(MouserListTable12[[#This Row],[Tag]]=FilterSpecs!$F$7,MouserListTable12[[#This Row],['#/Unit]]*MouserListTable12[[#This Row],[Price (USD)]],0)</f>
        <v>0</v>
      </c>
      <c r="Y308" s="121">
        <f>MouserListTable12[[#This Row],[Tot '#]]*MouserListTable12[[#This Row],[Price (USD)]]</f>
        <v>0</v>
      </c>
      <c r="Z308"/>
    </row>
    <row r="309" spans="1:26" s="144" customFormat="1" hidden="1" x14ac:dyDescent="0.3">
      <c r="A309" s="103" t="s">
        <v>896</v>
      </c>
      <c r="B309" s="103" t="s">
        <v>2026</v>
      </c>
      <c r="C309" s="103" t="s">
        <v>1906</v>
      </c>
      <c r="D309" s="106" t="str">
        <f>IF(MouserListTable12[[#This Row],[Vendor]]=FilterSpecs!$A$8,MouserListTable12[[#This Row],[Mouser SKU]], MouserListTable12[[#This Row],[Supplier SKU]])</f>
        <v>474-TOL-10951</v>
      </c>
      <c r="E309" s="121">
        <f>MouserListTable12[[#This Row],[Tot '#]]-MouserListTable12[[#This Row],['# Initial]]</f>
        <v>1</v>
      </c>
      <c r="F309" s="121">
        <f>IF(AND(MouserListTable12[[#This Row],[Tag]]&lt;&gt;FilterSpecs!$F$12, MouserListTable12[[#This Row],[Tag]]&lt;&gt;FilterSpecs!$F$9), MouserListTable12[[#This Row],['#/Unit]]*FilterSpecs!$B$3+MouserListTable12[[#This Row],[Extra Initial]],0)</f>
        <v>0</v>
      </c>
      <c r="G309" s="103" t="s">
        <v>1257</v>
      </c>
      <c r="H309" s="103" t="s">
        <v>1258</v>
      </c>
      <c r="I309" s="103" t="s">
        <v>1259</v>
      </c>
      <c r="J309" s="103"/>
      <c r="K309" s="157">
        <v>34.950000000000003</v>
      </c>
      <c r="L309" s="103" t="s">
        <v>2487</v>
      </c>
      <c r="M309" s="106"/>
      <c r="N309" s="157">
        <f>MouserListTable12[[#This Row],['# Initial]]*MouserListTable12[[#This Row],[Price (USD)]]</f>
        <v>0</v>
      </c>
      <c r="O309" s="106" t="s">
        <v>1256</v>
      </c>
      <c r="P309" s="103">
        <f t="shared" si="5"/>
        <v>291</v>
      </c>
      <c r="Q309" s="103" t="s">
        <v>8</v>
      </c>
      <c r="R30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474-TOL-10951</v>
      </c>
      <c r="S309" s="195" t="str">
        <f>HYPERLINK("https://www.mouser.com/ProductDetail/" &amp;MouserListTable12[[#This Row],[Mouser SKU]])</f>
        <v>https://www.mouser.com/ProductDetail/474-TOL-10951</v>
      </c>
      <c r="T309" s="121">
        <v>0</v>
      </c>
      <c r="U309" s="121">
        <v>1</v>
      </c>
      <c r="V309" s="121">
        <v>0</v>
      </c>
      <c r="W309" s="121">
        <f>MouserListTable12[[#This Row],['#/Unit]]*FilterSpecs!$C$3+MouserListTable12[[#This Row],[Extra]]</f>
        <v>1</v>
      </c>
      <c r="X309" s="121">
        <f>IF(MouserListTable12[[#This Row],[Tag]]=FilterSpecs!$F$7,MouserListTable12[[#This Row],['#/Unit]]*MouserListTable12[[#This Row],[Price (USD)]],0)</f>
        <v>0</v>
      </c>
      <c r="Y309" s="121">
        <f>MouserListTable12[[#This Row],[Tot '#]]*MouserListTable12[[#This Row],[Price (USD)]]</f>
        <v>34.950000000000003</v>
      </c>
      <c r="Z309"/>
    </row>
    <row r="310" spans="1:26" s="144" customFormat="1" x14ac:dyDescent="0.3">
      <c r="A310" s="126" t="s">
        <v>896</v>
      </c>
      <c r="B310" s="126" t="s">
        <v>2026</v>
      </c>
      <c r="C310" s="103" t="s">
        <v>1906</v>
      </c>
      <c r="D310" s="106" t="str">
        <f>IF(MouserListTable12[[#This Row],[Vendor]]=FilterSpecs!$A$8,MouserListTable12[[#This Row],[Mouser SKU]], MouserListTable12[[#This Row],[Supplier SKU]])</f>
        <v>474-TOL-10950</v>
      </c>
      <c r="E310" s="121">
        <f>MouserListTable12[[#This Row],[Tot '#]]-MouserListTable12[[#This Row],['# Initial]]</f>
        <v>0</v>
      </c>
      <c r="F310" s="121">
        <f>IF(AND(MouserListTable12[[#This Row],[Tag]]&lt;&gt;FilterSpecs!$F$12, MouserListTable12[[#This Row],[Tag]]&lt;&gt;FilterSpecs!$F$9), MouserListTable12[[#This Row],['#/Unit]]*FilterSpecs!$B$3+MouserListTable12[[#This Row],[Extra Initial]],0)</f>
        <v>2</v>
      </c>
      <c r="G310" s="103" t="s">
        <v>1261</v>
      </c>
      <c r="H310" s="103" t="s">
        <v>1262</v>
      </c>
      <c r="I310" s="103" t="s">
        <v>1263</v>
      </c>
      <c r="J310" s="103">
        <v>1</v>
      </c>
      <c r="K310" s="157">
        <v>9.9499999999999993</v>
      </c>
      <c r="L310" s="103" t="s">
        <v>1910</v>
      </c>
      <c r="M310" s="146"/>
      <c r="N310" s="157">
        <f>MouserListTable12[[#This Row],['# Initial]]*MouserListTable12[[#This Row],[Price (USD)]]</f>
        <v>19.899999999999999</v>
      </c>
      <c r="O310" s="106" t="s">
        <v>1260</v>
      </c>
      <c r="P310" s="103">
        <f t="shared" si="5"/>
        <v>292</v>
      </c>
      <c r="Q310" s="103" t="s">
        <v>8</v>
      </c>
      <c r="R31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474-TOL-10950</v>
      </c>
      <c r="S310" s="195" t="str">
        <f>HYPERLINK("https://www.mouser.com/ProductDetail/" &amp;MouserListTable12[[#This Row],[Mouser SKU]])</f>
        <v>https://www.mouser.com/ProductDetail/474-TOL-10950</v>
      </c>
      <c r="T310" s="121">
        <v>0</v>
      </c>
      <c r="U310" s="121">
        <v>2</v>
      </c>
      <c r="V310" s="121">
        <v>2</v>
      </c>
      <c r="W310" s="121">
        <f>MouserListTable12[[#This Row],['#/Unit]]*FilterSpecs!$C$3+MouserListTable12[[#This Row],[Extra]]</f>
        <v>2</v>
      </c>
      <c r="X310" s="121">
        <f>IF(MouserListTable12[[#This Row],[Tag]]=FilterSpecs!$F$7,MouserListTable12[[#This Row],['#/Unit]]*MouserListTable12[[#This Row],[Price (USD)]],0)</f>
        <v>0</v>
      </c>
      <c r="Y310" s="121">
        <f>MouserListTable12[[#This Row],[Tot '#]]*MouserListTable12[[#This Row],[Price (USD)]]</f>
        <v>19.899999999999999</v>
      </c>
      <c r="Z310"/>
    </row>
    <row r="311" spans="1:26" s="144" customFormat="1" x14ac:dyDescent="0.3">
      <c r="A311" s="103" t="s">
        <v>896</v>
      </c>
      <c r="B311" s="103" t="s">
        <v>2026</v>
      </c>
      <c r="C311" s="103" t="s">
        <v>1906</v>
      </c>
      <c r="D311" s="106" t="str">
        <f>IF(MouserListTable12[[#This Row],[Vendor]]=FilterSpecs!$A$8,MouserListTable12[[#This Row],[Mouser SKU]], MouserListTable12[[#This Row],[Supplier SKU]])</f>
        <v>485-2504</v>
      </c>
      <c r="E311" s="121">
        <f>MouserListTable12[[#This Row],[Tot '#]]-MouserListTable12[[#This Row],['# Initial]]</f>
        <v>0</v>
      </c>
      <c r="F311" s="121">
        <f>IF(AND(MouserListTable12[[#This Row],[Tag]]&lt;&gt;FilterSpecs!$F$12, MouserListTable12[[#This Row],[Tag]]&lt;&gt;FilterSpecs!$F$9), MouserListTable12[[#This Row],['#/Unit]]*FilterSpecs!$B$3+MouserListTable12[[#This Row],[Extra Initial]],0)</f>
        <v>3</v>
      </c>
      <c r="G311" s="103"/>
      <c r="H311" s="103"/>
      <c r="I311" s="103" t="s">
        <v>2121</v>
      </c>
      <c r="J311" s="146"/>
      <c r="K311" s="157">
        <v>4.95</v>
      </c>
      <c r="L311" s="103" t="s">
        <v>1910</v>
      </c>
      <c r="M311" s="106"/>
      <c r="N311" s="157">
        <f>MouserListTable12[[#This Row],['# Initial]]*MouserListTable12[[#This Row],[Price (USD)]]</f>
        <v>14.850000000000001</v>
      </c>
      <c r="O311" s="106" t="s">
        <v>2120</v>
      </c>
      <c r="P311" s="103">
        <f t="shared" si="5"/>
        <v>293</v>
      </c>
      <c r="Q311" s="103" t="s">
        <v>1898</v>
      </c>
      <c r="R31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485-2504</v>
      </c>
      <c r="S311" s="195" t="str">
        <f>HYPERLINK("https://www.mouser.com/ProductDetail/" &amp;MouserListTable12[[#This Row],[Mouser SKU]])</f>
        <v>https://www.mouser.com/ProductDetail/485-2504</v>
      </c>
      <c r="T311" s="121">
        <v>0</v>
      </c>
      <c r="U311" s="121">
        <v>3</v>
      </c>
      <c r="V311" s="121">
        <v>3</v>
      </c>
      <c r="W311" s="121">
        <f>MouserListTable12[[#This Row],['#/Unit]]*FilterSpecs!$C$3+MouserListTable12[[#This Row],[Extra]]</f>
        <v>3</v>
      </c>
      <c r="X311" s="121">
        <f>IF(MouserListTable12[[#This Row],[Tag]]=FilterSpecs!$F$7,MouserListTable12[[#This Row],['#/Unit]]*MouserListTable12[[#This Row],[Price (USD)]],0)</f>
        <v>0</v>
      </c>
      <c r="Y311" s="121">
        <f>MouserListTable12[[#This Row],[Tot '#]]*MouserListTable12[[#This Row],[Price (USD)]]</f>
        <v>14.850000000000001</v>
      </c>
      <c r="Z311"/>
    </row>
    <row r="312" spans="1:26" s="144" customFormat="1" x14ac:dyDescent="0.3">
      <c r="A312" s="103" t="s">
        <v>896</v>
      </c>
      <c r="B312" s="103" t="s">
        <v>2026</v>
      </c>
      <c r="C312" s="103" t="s">
        <v>1906</v>
      </c>
      <c r="D312" s="106" t="str">
        <f>IF(MouserListTable12[[#This Row],[Vendor]]=FilterSpecs!$A$8,MouserListTable12[[#This Row],[Mouser SKU]], MouserListTable12[[#This Row],[Supplier SKU]])</f>
        <v>485-437</v>
      </c>
      <c r="E312" s="121">
        <f>MouserListTable12[[#This Row],[Tot '#]]-MouserListTable12[[#This Row],['# Initial]]</f>
        <v>0</v>
      </c>
      <c r="F312" s="121">
        <f>IF(AND(MouserListTable12[[#This Row],[Tag]]&lt;&gt;FilterSpecs!$F$12, MouserListTable12[[#This Row],[Tag]]&lt;&gt;FilterSpecs!$F$9), MouserListTable12[[#This Row],['#/Unit]]*FilterSpecs!$B$3+MouserListTable12[[#This Row],[Extra Initial]],0)</f>
        <v>1</v>
      </c>
      <c r="G312" s="103"/>
      <c r="H312" s="103"/>
      <c r="I312" s="103" t="s">
        <v>2123</v>
      </c>
      <c r="J312" s="146"/>
      <c r="K312" s="157">
        <v>20.2</v>
      </c>
      <c r="L312" s="103" t="s">
        <v>1910</v>
      </c>
      <c r="M312" s="106"/>
      <c r="N312" s="157">
        <f>MouserListTable12[[#This Row],['# Initial]]*MouserListTable12[[#This Row],[Price (USD)]]</f>
        <v>20.2</v>
      </c>
      <c r="O312" s="106" t="s">
        <v>2122</v>
      </c>
      <c r="P312" s="103">
        <f t="shared" si="5"/>
        <v>294</v>
      </c>
      <c r="Q312" s="103" t="s">
        <v>1898</v>
      </c>
      <c r="R31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485-437</v>
      </c>
      <c r="S312" s="195" t="str">
        <f>HYPERLINK("https://www.mouser.com/ProductDetail/" &amp;MouserListTable12[[#This Row],[Mouser SKU]])</f>
        <v>https://www.mouser.com/ProductDetail/485-437</v>
      </c>
      <c r="T312" s="121">
        <v>0</v>
      </c>
      <c r="U312" s="121">
        <v>1</v>
      </c>
      <c r="V312" s="121">
        <v>1</v>
      </c>
      <c r="W312" s="121">
        <f>MouserListTable12[[#This Row],['#/Unit]]*FilterSpecs!$C$3+MouserListTable12[[#This Row],[Extra]]</f>
        <v>1</v>
      </c>
      <c r="X312" s="121">
        <f>IF(MouserListTable12[[#This Row],[Tag]]=FilterSpecs!$F$7,MouserListTable12[[#This Row],['#/Unit]]*MouserListTable12[[#This Row],[Price (USD)]],0)</f>
        <v>0</v>
      </c>
      <c r="Y312" s="121">
        <f>MouserListTable12[[#This Row],[Tot '#]]*MouserListTable12[[#This Row],[Price (USD)]]</f>
        <v>20.2</v>
      </c>
      <c r="Z312"/>
    </row>
    <row r="313" spans="1:26" s="144" customFormat="1" x14ac:dyDescent="0.3">
      <c r="A313" s="103" t="s">
        <v>896</v>
      </c>
      <c r="B313" s="103" t="s">
        <v>1302</v>
      </c>
      <c r="C313" s="103" t="s">
        <v>1906</v>
      </c>
      <c r="D313" s="106" t="str">
        <f>IF(MouserListTable12[[#This Row],[Vendor]]=FilterSpecs!$A$8,MouserListTable12[[#This Row],[Mouser SKU]], MouserListTable12[[#This Row],[Supplier SKU]])</f>
        <v>474-PRT-11510</v>
      </c>
      <c r="E313" s="121">
        <f>MouserListTable12[[#This Row],[Tot '#]]-MouserListTable12[[#This Row],['# Initial]]</f>
        <v>0</v>
      </c>
      <c r="F313" s="121">
        <f>IF(AND(MouserListTable12[[#This Row],[Tag]]&lt;&gt;FilterSpecs!$F$12, MouserListTable12[[#This Row],[Tag]]&lt;&gt;FilterSpecs!$F$9), MouserListTable12[[#This Row],['#/Unit]]*FilterSpecs!$B$3+MouserListTable12[[#This Row],[Extra Initial]],0)</f>
        <v>5</v>
      </c>
      <c r="G313" s="103" t="s">
        <v>1089</v>
      </c>
      <c r="H313" s="103" t="s">
        <v>1090</v>
      </c>
      <c r="I313" s="103" t="s">
        <v>1091</v>
      </c>
      <c r="J313" s="103">
        <v>1</v>
      </c>
      <c r="K313" s="157">
        <v>1.95</v>
      </c>
      <c r="L313" s="103" t="s">
        <v>1911</v>
      </c>
      <c r="M313" s="103" t="s">
        <v>1210</v>
      </c>
      <c r="N313" s="157">
        <f>MouserListTable12[[#This Row],['# Initial]]*MouserListTable12[[#This Row],[Price (USD)]]</f>
        <v>9.75</v>
      </c>
      <c r="O313" s="106" t="s">
        <v>1088</v>
      </c>
      <c r="P313" s="103">
        <f t="shared" si="5"/>
        <v>295</v>
      </c>
      <c r="Q313" s="103" t="s">
        <v>8</v>
      </c>
      <c r="R31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474-PRT-11510</v>
      </c>
      <c r="S313" s="195" t="str">
        <f>HYPERLINK("https://www.mouser.com/ProductDetail/" &amp;MouserListTable12[[#This Row],[Mouser SKU]])</f>
        <v>https://www.mouser.com/ProductDetail/474-PRT-11510</v>
      </c>
      <c r="T313" s="121">
        <v>1</v>
      </c>
      <c r="U313" s="121">
        <v>0</v>
      </c>
      <c r="V313" s="121">
        <v>0</v>
      </c>
      <c r="W313" s="121">
        <f>MouserListTable12[[#This Row],['#/Unit]]*FilterSpecs!$C$3+MouserListTable12[[#This Row],[Extra]]</f>
        <v>5</v>
      </c>
      <c r="X313" s="121">
        <f>IF(MouserListTable12[[#This Row],[Tag]]=FilterSpecs!$F$7,MouserListTable12[[#This Row],['#/Unit]]*MouserListTable12[[#This Row],[Price (USD)]],0)</f>
        <v>1.95</v>
      </c>
      <c r="Y313" s="121">
        <f>MouserListTable12[[#This Row],[Tot '#]]*MouserListTable12[[#This Row],[Price (USD)]]</f>
        <v>9.75</v>
      </c>
      <c r="Z313"/>
    </row>
    <row r="314" spans="1:26" s="144" customFormat="1" x14ac:dyDescent="0.3">
      <c r="A314" s="103" t="s">
        <v>896</v>
      </c>
      <c r="B314" s="103" t="s">
        <v>1302</v>
      </c>
      <c r="C314" s="103" t="s">
        <v>1906</v>
      </c>
      <c r="D314" s="106" t="str">
        <f>IF(MouserListTable12[[#This Row],[Vendor]]=FilterSpecs!$A$8,MouserListTable12[[#This Row],[Mouser SKU]], MouserListTable12[[#This Row],[Supplier SKU]])</f>
        <v>474-PRT-14340</v>
      </c>
      <c r="E314" s="121">
        <f>MouserListTable12[[#This Row],[Tot '#]]-MouserListTable12[[#This Row],['# Initial]]</f>
        <v>0</v>
      </c>
      <c r="F314" s="121">
        <f>IF(AND(MouserListTable12[[#This Row],[Tag]]&lt;&gt;FilterSpecs!$F$12, MouserListTable12[[#This Row],[Tag]]&lt;&gt;FilterSpecs!$F$9), MouserListTable12[[#This Row],['#/Unit]]*FilterSpecs!$B$3+MouserListTable12[[#This Row],[Extra Initial]],0)</f>
        <v>5</v>
      </c>
      <c r="G314" s="103" t="s">
        <v>1269</v>
      </c>
      <c r="H314" s="103" t="s">
        <v>1270</v>
      </c>
      <c r="I314" s="103" t="s">
        <v>1271</v>
      </c>
      <c r="J314" s="103"/>
      <c r="K314" s="157">
        <v>1.57</v>
      </c>
      <c r="L314" s="103" t="s">
        <v>1911</v>
      </c>
      <c r="M314" s="106"/>
      <c r="N314" s="157">
        <f>MouserListTable12[[#This Row],['# Initial]]*MouserListTable12[[#This Row],[Price (USD)]]</f>
        <v>7.8500000000000005</v>
      </c>
      <c r="O314" s="106" t="s">
        <v>1268</v>
      </c>
      <c r="P314" s="103">
        <f t="shared" si="5"/>
        <v>296</v>
      </c>
      <c r="Q314" s="103" t="s">
        <v>8</v>
      </c>
      <c r="R31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474-PRT-14340</v>
      </c>
      <c r="S314" s="195" t="str">
        <f>HYPERLINK("https://www.mouser.com/ProductDetail/" &amp;MouserListTable12[[#This Row],[Mouser SKU]])</f>
        <v>https://www.mouser.com/ProductDetail/474-PRT-14340</v>
      </c>
      <c r="T314" s="121">
        <v>1</v>
      </c>
      <c r="U314" s="121">
        <v>0</v>
      </c>
      <c r="V314" s="121">
        <v>0</v>
      </c>
      <c r="W314" s="121">
        <f>MouserListTable12[[#This Row],['#/Unit]]*FilterSpecs!$C$3+MouserListTable12[[#This Row],[Extra]]</f>
        <v>5</v>
      </c>
      <c r="X314" s="121">
        <f>IF(MouserListTable12[[#This Row],[Tag]]=FilterSpecs!$F$7,MouserListTable12[[#This Row],['#/Unit]]*MouserListTable12[[#This Row],[Price (USD)]],0)</f>
        <v>1.57</v>
      </c>
      <c r="Y314" s="121">
        <f>MouserListTable12[[#This Row],[Tot '#]]*MouserListTable12[[#This Row],[Price (USD)]]</f>
        <v>7.8500000000000005</v>
      </c>
      <c r="Z314"/>
    </row>
    <row r="315" spans="1:26" s="144" customFormat="1" x14ac:dyDescent="0.3">
      <c r="A315" s="103" t="s">
        <v>896</v>
      </c>
      <c r="B315" s="103" t="s">
        <v>1302</v>
      </c>
      <c r="C315" s="103" t="s">
        <v>1906</v>
      </c>
      <c r="D315" s="106" t="str">
        <f>IF(MouserListTable12[[#This Row],[Vendor]]=FilterSpecs!$A$8,MouserListTable12[[#This Row],[Mouser SKU]], MouserListTable12[[#This Row],[Supplier SKU]])</f>
        <v>474-PRT-00121</v>
      </c>
      <c r="E315" s="121">
        <f>MouserListTable12[[#This Row],[Tot '#]]-MouserListTable12[[#This Row],['# Initial]]</f>
        <v>0</v>
      </c>
      <c r="F315" s="121">
        <f>IF(AND(MouserListTable12[[#This Row],[Tag]]&lt;&gt;FilterSpecs!$F$12, MouserListTable12[[#This Row],[Tag]]&lt;&gt;FilterSpecs!$F$9), MouserListTable12[[#This Row],['#/Unit]]*FilterSpecs!$B$3+MouserListTable12[[#This Row],[Extra Initial]],0)</f>
        <v>5</v>
      </c>
      <c r="G315" s="103" t="s">
        <v>1085</v>
      </c>
      <c r="H315" s="103" t="s">
        <v>1086</v>
      </c>
      <c r="I315" s="103" t="s">
        <v>1087</v>
      </c>
      <c r="J315" s="103">
        <v>1</v>
      </c>
      <c r="K315" s="157">
        <v>0.95</v>
      </c>
      <c r="L315" s="103" t="s">
        <v>1911</v>
      </c>
      <c r="M315" s="103" t="s">
        <v>1210</v>
      </c>
      <c r="N315" s="157">
        <f>MouserListTable12[[#This Row],['# Initial]]*MouserListTable12[[#This Row],[Price (USD)]]</f>
        <v>4.75</v>
      </c>
      <c r="O315" s="106" t="s">
        <v>1084</v>
      </c>
      <c r="P315" s="103">
        <f t="shared" si="5"/>
        <v>297</v>
      </c>
      <c r="Q315" s="103" t="s">
        <v>8</v>
      </c>
      <c r="R31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474-PRT-00121</v>
      </c>
      <c r="S315" s="195" t="str">
        <f>HYPERLINK("https://www.mouser.com/ProductDetail/" &amp;MouserListTable12[[#This Row],[Mouser SKU]])</f>
        <v>https://www.mouser.com/ProductDetail/474-PRT-00121</v>
      </c>
      <c r="T315" s="121">
        <v>1</v>
      </c>
      <c r="U315" s="121">
        <v>0</v>
      </c>
      <c r="V315" s="121">
        <v>0</v>
      </c>
      <c r="W315" s="121">
        <f>MouserListTable12[[#This Row],['#/Unit]]*FilterSpecs!$C$3+MouserListTable12[[#This Row],[Extra]]</f>
        <v>5</v>
      </c>
      <c r="X315" s="121">
        <f>IF(MouserListTable12[[#This Row],[Tag]]=FilterSpecs!$F$7,MouserListTable12[[#This Row],['#/Unit]]*MouserListTable12[[#This Row],[Price (USD)]],0)</f>
        <v>0.95</v>
      </c>
      <c r="Y315" s="121">
        <f>MouserListTable12[[#This Row],[Tot '#]]*MouserListTable12[[#This Row],[Price (USD)]]</f>
        <v>4.75</v>
      </c>
      <c r="Z315"/>
    </row>
    <row r="316" spans="1:26" s="144" customFormat="1" x14ac:dyDescent="0.3">
      <c r="A316" s="103" t="s">
        <v>896</v>
      </c>
      <c r="B316" s="103" t="s">
        <v>1302</v>
      </c>
      <c r="C316" s="103" t="s">
        <v>1906</v>
      </c>
      <c r="D316" s="106" t="str">
        <f>IF(MouserListTable12[[#This Row],[Vendor]]=FilterSpecs!$A$8,MouserListTable12[[#This Row],[Mouser SKU]], MouserListTable12[[#This Row],[Supplier SKU]])</f>
        <v>485-977</v>
      </c>
      <c r="E316" s="121">
        <f>MouserListTable12[[#This Row],[Tot '#]]-MouserListTable12[[#This Row],['# Initial]]</f>
        <v>0</v>
      </c>
      <c r="F316" s="121">
        <f>IF(AND(MouserListTable12[[#This Row],[Tag]]&lt;&gt;FilterSpecs!$F$12, MouserListTable12[[#This Row],[Tag]]&lt;&gt;FilterSpecs!$F$9), MouserListTable12[[#This Row],['#/Unit]]*FilterSpecs!$B$3+MouserListTable12[[#This Row],[Extra Initial]],0)</f>
        <v>10</v>
      </c>
      <c r="G316" s="103"/>
      <c r="H316" s="103"/>
      <c r="I316" s="103" t="s">
        <v>2119</v>
      </c>
      <c r="J316" s="146"/>
      <c r="K316" s="157">
        <v>0.75</v>
      </c>
      <c r="L316" s="103" t="s">
        <v>1911</v>
      </c>
      <c r="M316" s="106"/>
      <c r="N316" s="157">
        <f>MouserListTable12[[#This Row],['# Initial]]*MouserListTable12[[#This Row],[Price (USD)]]</f>
        <v>7.5</v>
      </c>
      <c r="O316" s="106" t="s">
        <v>2118</v>
      </c>
      <c r="P316" s="103">
        <f t="shared" si="5"/>
        <v>298</v>
      </c>
      <c r="Q316" s="103" t="s">
        <v>1898</v>
      </c>
      <c r="R31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485-977</v>
      </c>
      <c r="S316" s="195" t="str">
        <f>HYPERLINK("https://www.mouser.com/ProductDetail/" &amp;MouserListTable12[[#This Row],[Mouser SKU]])</f>
        <v>https://www.mouser.com/ProductDetail/485-977</v>
      </c>
      <c r="T316" s="121">
        <v>2</v>
      </c>
      <c r="U316" s="121">
        <v>0</v>
      </c>
      <c r="V316" s="121">
        <v>0</v>
      </c>
      <c r="W316" s="121">
        <f>MouserListTable12[[#This Row],['#/Unit]]*FilterSpecs!$C$3+MouserListTable12[[#This Row],[Extra]]</f>
        <v>10</v>
      </c>
      <c r="X316" s="121">
        <f>IF(MouserListTable12[[#This Row],[Tag]]=FilterSpecs!$F$7,MouserListTable12[[#This Row],['#/Unit]]*MouserListTable12[[#This Row],[Price (USD)]],0)</f>
        <v>1.5</v>
      </c>
      <c r="Y316" s="121">
        <f>MouserListTable12[[#This Row],[Tot '#]]*MouserListTable12[[#This Row],[Price (USD)]]</f>
        <v>7.5</v>
      </c>
      <c r="Z316"/>
    </row>
    <row r="317" spans="1:26" s="144" customFormat="1" hidden="1" x14ac:dyDescent="0.3">
      <c r="A317" s="103" t="s">
        <v>896</v>
      </c>
      <c r="B317" s="103" t="s">
        <v>1302</v>
      </c>
      <c r="C317" s="103" t="s">
        <v>1906</v>
      </c>
      <c r="D317" s="106" t="str">
        <f>IF(MouserListTable12[[#This Row],[Vendor]]=FilterSpecs!$A$8,MouserListTable12[[#This Row],[Mouser SKU]], MouserListTable12[[#This Row],[Supplier SKU]])</f>
        <v>474-PRT-09599</v>
      </c>
      <c r="E317" s="121">
        <f>MouserListTable12[[#This Row],[Tot '#]]-MouserListTable12[[#This Row],['# Initial]]</f>
        <v>2</v>
      </c>
      <c r="F317" s="121">
        <f>IF(AND(MouserListTable12[[#This Row],[Tag]]&lt;&gt;FilterSpecs!$F$12, MouserListTable12[[#This Row],[Tag]]&lt;&gt;FilterSpecs!$F$9), MouserListTable12[[#This Row],['#/Unit]]*FilterSpecs!$B$3+MouserListTable12[[#This Row],[Extra Initial]],0)</f>
        <v>0</v>
      </c>
      <c r="G317" s="103" t="s">
        <v>1265</v>
      </c>
      <c r="H317" s="103" t="s">
        <v>1266</v>
      </c>
      <c r="I317" s="103" t="s">
        <v>1267</v>
      </c>
      <c r="J317" s="103">
        <v>1</v>
      </c>
      <c r="K317" s="157">
        <v>1.95</v>
      </c>
      <c r="L317" s="103" t="s">
        <v>2487</v>
      </c>
      <c r="M317" s="106"/>
      <c r="N317" s="157">
        <f>MouserListTable12[[#This Row],['# Initial]]*MouserListTable12[[#This Row],[Price (USD)]]</f>
        <v>0</v>
      </c>
      <c r="O317" s="106" t="s">
        <v>1264</v>
      </c>
      <c r="P317" s="103">
        <f t="shared" si="5"/>
        <v>299</v>
      </c>
      <c r="Q317" s="103" t="s">
        <v>8</v>
      </c>
      <c r="R31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474-PRT-09599</v>
      </c>
      <c r="S317" s="195" t="str">
        <f>HYPERLINK("https://www.mouser.com/ProductDetail/" &amp;MouserListTable12[[#This Row],[Mouser SKU]])</f>
        <v>https://www.mouser.com/ProductDetail/474-PRT-09599</v>
      </c>
      <c r="T317" s="121">
        <v>0</v>
      </c>
      <c r="U317" s="121">
        <v>2</v>
      </c>
      <c r="V317" s="121">
        <v>0</v>
      </c>
      <c r="W317" s="121">
        <f>MouserListTable12[[#This Row],['#/Unit]]*FilterSpecs!$C$3+MouserListTable12[[#This Row],[Extra]]</f>
        <v>2</v>
      </c>
      <c r="X317" s="121">
        <f>IF(MouserListTable12[[#This Row],[Tag]]=FilterSpecs!$F$7,MouserListTable12[[#This Row],['#/Unit]]*MouserListTable12[[#This Row],[Price (USD)]],0)</f>
        <v>0</v>
      </c>
      <c r="Y317" s="121">
        <f>MouserListTable12[[#This Row],[Tot '#]]*MouserListTable12[[#This Row],[Price (USD)]]</f>
        <v>3.9</v>
      </c>
      <c r="Z317"/>
    </row>
    <row r="318" spans="1:26" s="144" customFormat="1" x14ac:dyDescent="0.3">
      <c r="A318" s="103" t="s">
        <v>896</v>
      </c>
      <c r="B318" s="103" t="s">
        <v>1302</v>
      </c>
      <c r="C318" s="103" t="s">
        <v>1906</v>
      </c>
      <c r="D318" s="106" t="str">
        <f>IF(MouserListTable12[[#This Row],[Vendor]]=FilterSpecs!$A$8,MouserListTable12[[#This Row],[Mouser SKU]], MouserListTable12[[#This Row],[Supplier SKU]])</f>
        <v>474-PRT-09599</v>
      </c>
      <c r="E318" s="121">
        <f>MouserListTable12[[#This Row],[Tot '#]]-MouserListTable12[[#This Row],['# Initial]]</f>
        <v>0</v>
      </c>
      <c r="F318" s="121">
        <f>IF(AND(MouserListTable12[[#This Row],[Tag]]&lt;&gt;FilterSpecs!$F$12, MouserListTable12[[#This Row],[Tag]]&lt;&gt;FilterSpecs!$F$9), MouserListTable12[[#This Row],['#/Unit]]*FilterSpecs!$B$3+MouserListTable12[[#This Row],[Extra Initial]],0)</f>
        <v>2</v>
      </c>
      <c r="G318" s="103" t="s">
        <v>1265</v>
      </c>
      <c r="H318" s="103" t="s">
        <v>1266</v>
      </c>
      <c r="I318" s="103" t="s">
        <v>1267</v>
      </c>
      <c r="J318" s="103">
        <v>1</v>
      </c>
      <c r="K318" s="157">
        <v>1.95</v>
      </c>
      <c r="L318" s="103" t="s">
        <v>1910</v>
      </c>
      <c r="M318" s="106"/>
      <c r="N318" s="157">
        <f>MouserListTable12[[#This Row],['# Initial]]*MouserListTable12[[#This Row],[Price (USD)]]</f>
        <v>3.9</v>
      </c>
      <c r="O318" s="106" t="s">
        <v>1264</v>
      </c>
      <c r="P318" s="103">
        <f t="shared" si="5"/>
        <v>300</v>
      </c>
      <c r="Q318" s="103" t="s">
        <v>8</v>
      </c>
      <c r="R31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474-PRT-09599</v>
      </c>
      <c r="S318" s="195" t="str">
        <f>HYPERLINK("https://www.mouser.com/ProductDetail/" &amp;MouserListTable12[[#This Row],[Mouser SKU]])</f>
        <v>https://www.mouser.com/ProductDetail/474-PRT-09599</v>
      </c>
      <c r="T318" s="121">
        <v>0</v>
      </c>
      <c r="U318" s="121">
        <v>2</v>
      </c>
      <c r="V318" s="121">
        <v>2</v>
      </c>
      <c r="W318" s="121">
        <f>MouserListTable12[[#This Row],['#/Unit]]*FilterSpecs!$C$3+MouserListTable12[[#This Row],[Extra]]</f>
        <v>2</v>
      </c>
      <c r="X318" s="121">
        <f>IF(MouserListTable12[[#This Row],[Tag]]=FilterSpecs!$F$7,MouserListTable12[[#This Row],['#/Unit]]*MouserListTable12[[#This Row],[Price (USD)]],0)</f>
        <v>0</v>
      </c>
      <c r="Y318" s="121">
        <f>MouserListTable12[[#This Row],[Tot '#]]*MouserListTable12[[#This Row],[Price (USD)]]</f>
        <v>3.9</v>
      </c>
      <c r="Z318"/>
    </row>
    <row r="319" spans="1:26" s="144" customFormat="1" x14ac:dyDescent="0.3">
      <c r="A319" s="103" t="s">
        <v>896</v>
      </c>
      <c r="B319" s="103" t="s">
        <v>1302</v>
      </c>
      <c r="C319" s="103" t="s">
        <v>1906</v>
      </c>
      <c r="D319" s="106" t="str">
        <f>IF(MouserListTable12[[#This Row],[Vendor]]=FilterSpecs!$A$8,MouserListTable12[[#This Row],[Mouser SKU]], MouserListTable12[[#This Row],[Supplier SKU]])</f>
        <v>474-PRT-09771</v>
      </c>
      <c r="E319" s="121">
        <f>MouserListTable12[[#This Row],[Tot '#]]-MouserListTable12[[#This Row],['# Initial]]</f>
        <v>0</v>
      </c>
      <c r="F319" s="121">
        <f>IF(AND(MouserListTable12[[#This Row],[Tag]]&lt;&gt;FilterSpecs!$F$12, MouserListTable12[[#This Row],[Tag]]&lt;&gt;FilterSpecs!$F$9), MouserListTable12[[#This Row],['#/Unit]]*FilterSpecs!$B$3+MouserListTable12[[#This Row],[Extra Initial]],0)</f>
        <v>3</v>
      </c>
      <c r="G319" s="103" t="s">
        <v>1081</v>
      </c>
      <c r="H319" s="103" t="s">
        <v>1082</v>
      </c>
      <c r="I319" s="103" t="s">
        <v>1083</v>
      </c>
      <c r="J319" s="103"/>
      <c r="K319" s="157">
        <v>3.95</v>
      </c>
      <c r="L319" s="103" t="s">
        <v>1910</v>
      </c>
      <c r="M319" s="106"/>
      <c r="N319" s="157">
        <f>MouserListTable12[[#This Row],['# Initial]]*MouserListTable12[[#This Row],[Price (USD)]]</f>
        <v>11.850000000000001</v>
      </c>
      <c r="O319" s="106" t="s">
        <v>1080</v>
      </c>
      <c r="P319" s="103">
        <f>IF($P317="List #",1,$P317+1)</f>
        <v>300</v>
      </c>
      <c r="Q319" s="103" t="s">
        <v>8</v>
      </c>
      <c r="R31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474-PRT-09771</v>
      </c>
      <c r="S319" s="195" t="str">
        <f>HYPERLINK("https://www.mouser.com/ProductDetail/" &amp;MouserListTable12[[#This Row],[Mouser SKU]])</f>
        <v>https://www.mouser.com/ProductDetail/474-PRT-09771</v>
      </c>
      <c r="T319" s="121">
        <v>0</v>
      </c>
      <c r="U319" s="121">
        <v>3</v>
      </c>
      <c r="V319" s="121">
        <v>3</v>
      </c>
      <c r="W319" s="121">
        <f>MouserListTable12[[#This Row],['#/Unit]]*FilterSpecs!$C$3+MouserListTable12[[#This Row],[Extra]]</f>
        <v>3</v>
      </c>
      <c r="X319" s="121">
        <f>IF(MouserListTable12[[#This Row],[Tag]]=FilterSpecs!$F$7,MouserListTable12[[#This Row],['#/Unit]]*MouserListTable12[[#This Row],[Price (USD)]],0)</f>
        <v>0</v>
      </c>
      <c r="Y319" s="121">
        <f>MouserListTable12[[#This Row],[Tot '#]]*MouserListTable12[[#This Row],[Price (USD)]]</f>
        <v>11.850000000000001</v>
      </c>
      <c r="Z319"/>
    </row>
    <row r="320" spans="1:26" s="144" customFormat="1" x14ac:dyDescent="0.3">
      <c r="A320" s="103" t="s">
        <v>896</v>
      </c>
      <c r="B320" s="103" t="s">
        <v>995</v>
      </c>
      <c r="C320" s="103" t="s">
        <v>1906</v>
      </c>
      <c r="D320" s="106" t="str">
        <f>IF(MouserListTable12[[#This Row],[Vendor]]=FilterSpecs!$A$8,MouserListTable12[[#This Row],[Mouser SKU]], MouserListTable12[[#This Row],[Supplier SKU]])</f>
        <v>474-PRT-11796</v>
      </c>
      <c r="E320" s="121">
        <f>MouserListTable12[[#This Row],[Tot '#]]-MouserListTable12[[#This Row],['# Initial]]</f>
        <v>0</v>
      </c>
      <c r="F320" s="121">
        <f>IF(AND(MouserListTable12[[#This Row],[Tag]]&lt;&gt;FilterSpecs!$F$12, MouserListTable12[[#This Row],[Tag]]&lt;&gt;FilterSpecs!$F$9), MouserListTable12[[#This Row],['#/Unit]]*FilterSpecs!$B$3+MouserListTable12[[#This Row],[Extra Initial]],0)</f>
        <v>5</v>
      </c>
      <c r="G320" s="103" t="s">
        <v>644</v>
      </c>
      <c r="H320" s="103" t="s">
        <v>645</v>
      </c>
      <c r="I320" s="103" t="s">
        <v>646</v>
      </c>
      <c r="J320" s="103"/>
      <c r="K320" s="157">
        <v>3.95</v>
      </c>
      <c r="L320" s="103" t="s">
        <v>1911</v>
      </c>
      <c r="M320" s="106"/>
      <c r="N320" s="157">
        <f>MouserListTable12[[#This Row],['# Initial]]*MouserListTable12[[#This Row],[Price (USD)]]</f>
        <v>19.75</v>
      </c>
      <c r="O320" s="106" t="s">
        <v>643</v>
      </c>
      <c r="P320" s="103">
        <f t="shared" si="5"/>
        <v>301</v>
      </c>
      <c r="Q320" s="103" t="s">
        <v>8</v>
      </c>
      <c r="R32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474-PRT-11796</v>
      </c>
      <c r="S320" s="195" t="str">
        <f>HYPERLINK("https://www.mouser.com/ProductDetail/" &amp;MouserListTable12[[#This Row],[Mouser SKU]])</f>
        <v>https://www.mouser.com/ProductDetail/474-PRT-11796</v>
      </c>
      <c r="T320" s="121">
        <v>1</v>
      </c>
      <c r="U320" s="121">
        <v>0</v>
      </c>
      <c r="V320" s="121">
        <v>0</v>
      </c>
      <c r="W320" s="121">
        <f>MouserListTable12[[#This Row],['#/Unit]]*FilterSpecs!$C$3+MouserListTable12[[#This Row],[Extra]]</f>
        <v>5</v>
      </c>
      <c r="X320" s="121">
        <f>IF(MouserListTable12[[#This Row],[Tag]]=FilterSpecs!$F$7,MouserListTable12[[#This Row],['#/Unit]]*MouserListTable12[[#This Row],[Price (USD)]],0)</f>
        <v>3.95</v>
      </c>
      <c r="Y320" s="121">
        <f>MouserListTable12[[#This Row],[Tot '#]]*MouserListTable12[[#This Row],[Price (USD)]]</f>
        <v>19.75</v>
      </c>
      <c r="Z320"/>
    </row>
    <row r="321" spans="1:26" s="144" customFormat="1" x14ac:dyDescent="0.3">
      <c r="A321" s="103" t="s">
        <v>896</v>
      </c>
      <c r="B321" s="103" t="s">
        <v>995</v>
      </c>
      <c r="C321" s="103" t="s">
        <v>1906</v>
      </c>
      <c r="D321" s="106" t="str">
        <f>IF(MouserListTable12[[#This Row],[Vendor]]=FilterSpecs!$A$8,MouserListTable12[[#This Row],[Mouser SKU]], MouserListTable12[[#This Row],[Supplier SKU]])</f>
        <v>474-PRT-10927</v>
      </c>
      <c r="E321" s="121">
        <f>MouserListTable12[[#This Row],[Tot '#]]-MouserListTable12[[#This Row],['# Initial]]</f>
        <v>0</v>
      </c>
      <c r="F321" s="121">
        <f>IF(AND(MouserListTable12[[#This Row],[Tag]]&lt;&gt;FilterSpecs!$F$12, MouserListTable12[[#This Row],[Tag]]&lt;&gt;FilterSpecs!$F$9), MouserListTable12[[#This Row],['#/Unit]]*FilterSpecs!$B$3+MouserListTable12[[#This Row],[Extra Initial]],0)</f>
        <v>5</v>
      </c>
      <c r="G321" s="103" t="s">
        <v>652</v>
      </c>
      <c r="H321" s="103" t="s">
        <v>653</v>
      </c>
      <c r="I321" s="103" t="s">
        <v>654</v>
      </c>
      <c r="J321" s="103">
        <v>1</v>
      </c>
      <c r="K321" s="157">
        <v>2.95</v>
      </c>
      <c r="L321" s="103" t="s">
        <v>1911</v>
      </c>
      <c r="M321" s="106"/>
      <c r="N321" s="157">
        <f>MouserListTable12[[#This Row],['# Initial]]*MouserListTable12[[#This Row],[Price (USD)]]</f>
        <v>14.75</v>
      </c>
      <c r="O321" s="106" t="s">
        <v>651</v>
      </c>
      <c r="P321" s="103">
        <f t="shared" si="5"/>
        <v>302</v>
      </c>
      <c r="Q321" s="103" t="s">
        <v>8</v>
      </c>
      <c r="R32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474-PRT-10927</v>
      </c>
      <c r="S321" s="195" t="str">
        <f>HYPERLINK("https://www.mouser.com/ProductDetail/" &amp;MouserListTable12[[#This Row],[Mouser SKU]])</f>
        <v>https://www.mouser.com/ProductDetail/474-PRT-10927</v>
      </c>
      <c r="T321" s="121">
        <v>1</v>
      </c>
      <c r="U321" s="121">
        <v>0</v>
      </c>
      <c r="V321" s="121">
        <v>0</v>
      </c>
      <c r="W321" s="121">
        <f>MouserListTable12[[#This Row],['#/Unit]]*FilterSpecs!$C$3+MouserListTable12[[#This Row],[Extra]]</f>
        <v>5</v>
      </c>
      <c r="X321" s="121">
        <f>IF(MouserListTable12[[#This Row],[Tag]]=FilterSpecs!$F$7,MouserListTable12[[#This Row],['#/Unit]]*MouserListTable12[[#This Row],[Price (USD)]],0)</f>
        <v>2.95</v>
      </c>
      <c r="Y321" s="121">
        <f>MouserListTable12[[#This Row],[Tot '#]]*MouserListTable12[[#This Row],[Price (USD)]]</f>
        <v>14.75</v>
      </c>
      <c r="Z321"/>
    </row>
    <row r="322" spans="1:26" s="144" customFormat="1" x14ac:dyDescent="0.3">
      <c r="A322" s="103" t="s">
        <v>896</v>
      </c>
      <c r="B322" s="103" t="s">
        <v>995</v>
      </c>
      <c r="C322" s="103" t="s">
        <v>1906</v>
      </c>
      <c r="D322" s="106" t="str">
        <f>IF(MouserListTable12[[#This Row],[Vendor]]=FilterSpecs!$A$8,MouserListTable12[[#This Row],[Mouser SKU]], MouserListTable12[[#This Row],[Supplier SKU]])</f>
        <v>474-PRT-10453</v>
      </c>
      <c r="E322" s="121">
        <f>MouserListTable12[[#This Row],[Tot '#]]-MouserListTable12[[#This Row],['# Initial]]</f>
        <v>0</v>
      </c>
      <c r="F322" s="121">
        <f>IF(AND(MouserListTable12[[#This Row],[Tag]]&lt;&gt;FilterSpecs!$F$12, MouserListTable12[[#This Row],[Tag]]&lt;&gt;FilterSpecs!$F$9), MouserListTable12[[#This Row],['#/Unit]]*FilterSpecs!$B$3+MouserListTable12[[#This Row],[Extra Initial]],0)</f>
        <v>5</v>
      </c>
      <c r="G322" s="103" t="s">
        <v>708</v>
      </c>
      <c r="H322" s="103" t="s">
        <v>709</v>
      </c>
      <c r="I322" s="103" t="s">
        <v>710</v>
      </c>
      <c r="J322" s="103">
        <v>1</v>
      </c>
      <c r="K322" s="157">
        <v>1.5</v>
      </c>
      <c r="L322" s="103" t="s">
        <v>1911</v>
      </c>
      <c r="M322" s="106"/>
      <c r="N322" s="157">
        <f>MouserListTable12[[#This Row],['# Initial]]*MouserListTable12[[#This Row],[Price (USD)]]</f>
        <v>7.5</v>
      </c>
      <c r="O322" s="106" t="s">
        <v>707</v>
      </c>
      <c r="P322" s="103">
        <f t="shared" si="5"/>
        <v>303</v>
      </c>
      <c r="Q322" s="103" t="s">
        <v>8</v>
      </c>
      <c r="R32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474-PRT-10453</v>
      </c>
      <c r="S322" s="195" t="str">
        <f>HYPERLINK("https://www.mouser.com/ProductDetail/" &amp;MouserListTable12[[#This Row],[Mouser SKU]])</f>
        <v>https://www.mouser.com/ProductDetail/474-PRT-10453</v>
      </c>
      <c r="T322" s="121">
        <v>1</v>
      </c>
      <c r="U322" s="121">
        <v>0</v>
      </c>
      <c r="V322" s="121">
        <v>0</v>
      </c>
      <c r="W322" s="121">
        <f>MouserListTable12[[#This Row],['#/Unit]]*FilterSpecs!$C$3+MouserListTable12[[#This Row],[Extra]]</f>
        <v>5</v>
      </c>
      <c r="X322" s="121">
        <f>IF(MouserListTable12[[#This Row],[Tag]]=FilterSpecs!$F$7,MouserListTable12[[#This Row],['#/Unit]]*MouserListTable12[[#This Row],[Price (USD)]],0)</f>
        <v>1.5</v>
      </c>
      <c r="Y322" s="121">
        <f>MouserListTable12[[#This Row],[Tot '#]]*MouserListTable12[[#This Row],[Price (USD)]]</f>
        <v>7.5</v>
      </c>
      <c r="Z322"/>
    </row>
    <row r="323" spans="1:26" s="144" customFormat="1" x14ac:dyDescent="0.3">
      <c r="A323" s="103" t="s">
        <v>896</v>
      </c>
      <c r="B323" s="103" t="s">
        <v>995</v>
      </c>
      <c r="C323" s="103" t="s">
        <v>1906</v>
      </c>
      <c r="D323" s="106" t="str">
        <f>IF(MouserListTable12[[#This Row],[Vendor]]=FilterSpecs!$A$8,MouserListTable12[[#This Row],[Mouser SKU]], MouserListTable12[[#This Row],[Supplier SKU]])</f>
        <v>474-PRT-10738</v>
      </c>
      <c r="E323" s="121">
        <f>MouserListTable12[[#This Row],[Tot '#]]-MouserListTable12[[#This Row],['# Initial]]</f>
        <v>0</v>
      </c>
      <c r="F323" s="121">
        <f>IF(AND(MouserListTable12[[#This Row],[Tag]]&lt;&gt;FilterSpecs!$F$12, MouserListTable12[[#This Row],[Tag]]&lt;&gt;FilterSpecs!$F$9), MouserListTable12[[#This Row],['#/Unit]]*FilterSpecs!$B$3+MouserListTable12[[#This Row],[Extra Initial]],0)</f>
        <v>5</v>
      </c>
      <c r="G323" s="103" t="s">
        <v>910</v>
      </c>
      <c r="H323" s="103" t="s">
        <v>911</v>
      </c>
      <c r="I323" s="103" t="s">
        <v>912</v>
      </c>
      <c r="J323" s="103">
        <v>1</v>
      </c>
      <c r="K323" s="157">
        <v>3.95</v>
      </c>
      <c r="L323" s="103" t="s">
        <v>1911</v>
      </c>
      <c r="M323" s="106"/>
      <c r="N323" s="157">
        <f>MouserListTable12[[#This Row],['# Initial]]*MouserListTable12[[#This Row],[Price (USD)]]</f>
        <v>19.75</v>
      </c>
      <c r="O323" s="106" t="s">
        <v>909</v>
      </c>
      <c r="P323" s="103">
        <f t="shared" si="5"/>
        <v>304</v>
      </c>
      <c r="Q323" s="103" t="s">
        <v>8</v>
      </c>
      <c r="R32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474-PRT-10738</v>
      </c>
      <c r="S323" s="195" t="str">
        <f>HYPERLINK("https://www.mouser.com/ProductDetail/" &amp;MouserListTable12[[#This Row],[Mouser SKU]])</f>
        <v>https://www.mouser.com/ProductDetail/474-PRT-10738</v>
      </c>
      <c r="T323" s="121">
        <v>1</v>
      </c>
      <c r="U323" s="121">
        <v>0</v>
      </c>
      <c r="V323" s="121">
        <v>0</v>
      </c>
      <c r="W323" s="121">
        <f>MouserListTable12[[#This Row],['#/Unit]]*FilterSpecs!$C$3+MouserListTable12[[#This Row],[Extra]]</f>
        <v>5</v>
      </c>
      <c r="X323" s="121">
        <f>IF(MouserListTable12[[#This Row],[Tag]]=FilterSpecs!$F$7,MouserListTable12[[#This Row],['#/Unit]]*MouserListTable12[[#This Row],[Price (USD)]],0)</f>
        <v>3.95</v>
      </c>
      <c r="Y323" s="121">
        <f>MouserListTable12[[#This Row],[Tot '#]]*MouserListTable12[[#This Row],[Price (USD)]]</f>
        <v>19.75</v>
      </c>
      <c r="Z323"/>
    </row>
    <row r="324" spans="1:26" s="144" customFormat="1" x14ac:dyDescent="0.3">
      <c r="A324" s="103" t="s">
        <v>896</v>
      </c>
      <c r="B324" s="103" t="s">
        <v>995</v>
      </c>
      <c r="C324" s="103" t="s">
        <v>1906</v>
      </c>
      <c r="D324" s="106" t="str">
        <f>IF(MouserListTable12[[#This Row],[Vendor]]=FilterSpecs!$A$8,MouserListTable12[[#This Row],[Mouser SKU]], MouserListTable12[[#This Row],[Supplier SKU]])</f>
        <v>474-PRT-10450</v>
      </c>
      <c r="E324" s="121">
        <f>MouserListTable12[[#This Row],[Tot '#]]-MouserListTable12[[#This Row],['# Initial]]</f>
        <v>0</v>
      </c>
      <c r="F324" s="121">
        <f>IF(AND(MouserListTable12[[#This Row],[Tag]]&lt;&gt;FilterSpecs!$F$12, MouserListTable12[[#This Row],[Tag]]&lt;&gt;FilterSpecs!$F$9), MouserListTable12[[#This Row],['#/Unit]]*FilterSpecs!$B$3+MouserListTable12[[#This Row],[Extra Initial]],0)</f>
        <v>5</v>
      </c>
      <c r="G324" s="103" t="s">
        <v>914</v>
      </c>
      <c r="H324" s="103" t="s">
        <v>915</v>
      </c>
      <c r="I324" s="103" t="s">
        <v>916</v>
      </c>
      <c r="J324" s="103">
        <v>1</v>
      </c>
      <c r="K324" s="157">
        <v>1.5</v>
      </c>
      <c r="L324" s="103" t="s">
        <v>1911</v>
      </c>
      <c r="M324" s="106"/>
      <c r="N324" s="157">
        <f>MouserListTable12[[#This Row],['# Initial]]*MouserListTable12[[#This Row],[Price (USD)]]</f>
        <v>7.5</v>
      </c>
      <c r="O324" s="106" t="s">
        <v>913</v>
      </c>
      <c r="P324" s="103">
        <f t="shared" si="5"/>
        <v>305</v>
      </c>
      <c r="Q324" s="103" t="s">
        <v>8</v>
      </c>
      <c r="R32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474-PRT-10450</v>
      </c>
      <c r="S324" s="195" t="str">
        <f>HYPERLINK("https://www.mouser.com/ProductDetail/" &amp;MouserListTable12[[#This Row],[Mouser SKU]])</f>
        <v>https://www.mouser.com/ProductDetail/474-PRT-10450</v>
      </c>
      <c r="T324" s="121">
        <v>1</v>
      </c>
      <c r="U324" s="121">
        <v>0</v>
      </c>
      <c r="V324" s="121">
        <v>0</v>
      </c>
      <c r="W324" s="121">
        <f>MouserListTable12[[#This Row],['#/Unit]]*FilterSpecs!$C$3+MouserListTable12[[#This Row],[Extra]]</f>
        <v>5</v>
      </c>
      <c r="X324" s="121">
        <f>IF(MouserListTable12[[#This Row],[Tag]]=FilterSpecs!$F$7,MouserListTable12[[#This Row],['#/Unit]]*MouserListTable12[[#This Row],[Price (USD)]],0)</f>
        <v>1.5</v>
      </c>
      <c r="Y324" s="121">
        <f>MouserListTable12[[#This Row],[Tot '#]]*MouserListTable12[[#This Row],[Price (USD)]]</f>
        <v>7.5</v>
      </c>
      <c r="Z324"/>
    </row>
    <row r="325" spans="1:26" s="144" customFormat="1" x14ac:dyDescent="0.3">
      <c r="A325" s="103" t="s">
        <v>896</v>
      </c>
      <c r="B325" s="103" t="s">
        <v>995</v>
      </c>
      <c r="C325" s="103" t="s">
        <v>1906</v>
      </c>
      <c r="D325" s="106" t="str">
        <f>IF(MouserListTable12[[#This Row],[Vendor]]=FilterSpecs!$A$8,MouserListTable12[[#This Row],[Mouser SKU]], MouserListTable12[[#This Row],[Supplier SKU]])</f>
        <v>474-PRT-10463</v>
      </c>
      <c r="E325" s="121">
        <f>MouserListTable12[[#This Row],[Tot '#]]-MouserListTable12[[#This Row],['# Initial]]</f>
        <v>0</v>
      </c>
      <c r="F325" s="121">
        <f>IF(AND(MouserListTable12[[#This Row],[Tag]]&lt;&gt;FilterSpecs!$F$12, MouserListTable12[[#This Row],[Tag]]&lt;&gt;FilterSpecs!$F$9), MouserListTable12[[#This Row],['#/Unit]]*FilterSpecs!$B$3+MouserListTable12[[#This Row],[Extra Initial]],0)</f>
        <v>20</v>
      </c>
      <c r="G325" s="103" t="s">
        <v>938</v>
      </c>
      <c r="H325" s="103" t="s">
        <v>939</v>
      </c>
      <c r="I325" s="103" t="s">
        <v>940</v>
      </c>
      <c r="J325" s="103">
        <v>1</v>
      </c>
      <c r="K325" s="157">
        <v>3.95</v>
      </c>
      <c r="L325" s="103" t="s">
        <v>1911</v>
      </c>
      <c r="M325" s="106"/>
      <c r="N325" s="157">
        <f>MouserListTable12[[#This Row],['# Initial]]*MouserListTable12[[#This Row],[Price (USD)]]</f>
        <v>79</v>
      </c>
      <c r="O325" s="106" t="s">
        <v>937</v>
      </c>
      <c r="P325" s="103">
        <f t="shared" si="5"/>
        <v>306</v>
      </c>
      <c r="Q325" s="103" t="s">
        <v>8</v>
      </c>
      <c r="R32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474-PRT-10463</v>
      </c>
      <c r="S325" s="195" t="str">
        <f>HYPERLINK("https://www.mouser.com/ProductDetail/" &amp;MouserListTable12[[#This Row],[Mouser SKU]])</f>
        <v>https://www.mouser.com/ProductDetail/474-PRT-10463</v>
      </c>
      <c r="T325" s="121">
        <v>4</v>
      </c>
      <c r="U325" s="121">
        <v>0</v>
      </c>
      <c r="V325" s="121">
        <v>0</v>
      </c>
      <c r="W325" s="121">
        <f>MouserListTable12[[#This Row],['#/Unit]]*FilterSpecs!$C$3+MouserListTable12[[#This Row],[Extra]]</f>
        <v>20</v>
      </c>
      <c r="X325" s="121">
        <f>IF(MouserListTable12[[#This Row],[Tag]]=FilterSpecs!$F$7,MouserListTable12[[#This Row],['#/Unit]]*MouserListTable12[[#This Row],[Price (USD)]],0)</f>
        <v>15.8</v>
      </c>
      <c r="Y325" s="121">
        <f>MouserListTable12[[#This Row],[Tot '#]]*MouserListTable12[[#This Row],[Price (USD)]]</f>
        <v>79</v>
      </c>
      <c r="Z325"/>
    </row>
    <row r="326" spans="1:26" s="146" customFormat="1" x14ac:dyDescent="0.3">
      <c r="A326" s="103" t="s">
        <v>896</v>
      </c>
      <c r="B326" s="103" t="s">
        <v>1303</v>
      </c>
      <c r="C326" s="103" t="s">
        <v>1906</v>
      </c>
      <c r="D326" s="106" t="str">
        <f>IF(MouserListTable12[[#This Row],[Vendor]]=FilterSpecs!$A$8,MouserListTable12[[#This Row],[Mouser SKU]], MouserListTable12[[#This Row],[Supplier SKU]])</f>
        <v>474-PRT-10561</v>
      </c>
      <c r="E326" s="121">
        <f>MouserListTable12[[#This Row],[Tot '#]]-MouserListTable12[[#This Row],['# Initial]]</f>
        <v>0</v>
      </c>
      <c r="F326" s="121">
        <f>IF(AND(MouserListTable12[[#This Row],[Tag]]&lt;&gt;FilterSpecs!$F$12, MouserListTable12[[#This Row],[Tag]]&lt;&gt;FilterSpecs!$F$9), MouserListTable12[[#This Row],['#/Unit]]*FilterSpecs!$B$3+MouserListTable12[[#This Row],[Extra Initial]],0)</f>
        <v>1</v>
      </c>
      <c r="G326" s="103" t="s">
        <v>1241</v>
      </c>
      <c r="H326" s="103" t="s">
        <v>1242</v>
      </c>
      <c r="I326" s="103" t="s">
        <v>1243</v>
      </c>
      <c r="J326" s="103">
        <v>1</v>
      </c>
      <c r="K326" s="157">
        <v>2.95</v>
      </c>
      <c r="L326" s="103" t="s">
        <v>1910</v>
      </c>
      <c r="M326" s="106"/>
      <c r="N326" s="157">
        <f>MouserListTable12[[#This Row],['# Initial]]*MouserListTable12[[#This Row],[Price (USD)]]</f>
        <v>2.95</v>
      </c>
      <c r="O326" s="106" t="s">
        <v>1240</v>
      </c>
      <c r="P326" s="103">
        <f t="shared" si="5"/>
        <v>307</v>
      </c>
      <c r="Q326" s="103" t="s">
        <v>8</v>
      </c>
      <c r="R32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474-PRT-10561</v>
      </c>
      <c r="S326" s="195" t="str">
        <f>HYPERLINK("https://www.mouser.com/ProductDetail/" &amp;MouserListTable12[[#This Row],[Mouser SKU]])</f>
        <v>https://www.mouser.com/ProductDetail/474-PRT-10561</v>
      </c>
      <c r="T326" s="121">
        <v>0</v>
      </c>
      <c r="U326" s="121">
        <v>1</v>
      </c>
      <c r="V326" s="121">
        <v>1</v>
      </c>
      <c r="W326" s="121">
        <f>MouserListTable12[[#This Row],['#/Unit]]*FilterSpecs!$C$3+MouserListTable12[[#This Row],[Extra]]</f>
        <v>1</v>
      </c>
      <c r="X326" s="121">
        <f>IF(MouserListTable12[[#This Row],[Tag]]=FilterSpecs!$F$7,MouserListTable12[[#This Row],['#/Unit]]*MouserListTable12[[#This Row],[Price (USD)]],0)</f>
        <v>0</v>
      </c>
      <c r="Y326" s="121">
        <f>MouserListTable12[[#This Row],[Tot '#]]*MouserListTable12[[#This Row],[Price (USD)]]</f>
        <v>2.95</v>
      </c>
      <c r="Z326"/>
    </row>
    <row r="327" spans="1:26" s="146" customFormat="1" x14ac:dyDescent="0.3">
      <c r="A327" s="103" t="s">
        <v>896</v>
      </c>
      <c r="B327" s="103" t="s">
        <v>1303</v>
      </c>
      <c r="C327" s="103" t="s">
        <v>1906</v>
      </c>
      <c r="D327" s="106" t="str">
        <f>IF(MouserListTable12[[#This Row],[Vendor]]=FilterSpecs!$A$8,MouserListTable12[[#This Row],[Mouser SKU]], MouserListTable12[[#This Row],[Supplier SKU]])</f>
        <v>474-PRT-13827</v>
      </c>
      <c r="E327" s="121">
        <f>MouserListTable12[[#This Row],[Tot '#]]-MouserListTable12[[#This Row],['# Initial]]</f>
        <v>0</v>
      </c>
      <c r="F327" s="121">
        <f>IF(AND(MouserListTable12[[#This Row],[Tag]]&lt;&gt;FilterSpecs!$F$12, MouserListTable12[[#This Row],[Tag]]&lt;&gt;FilterSpecs!$F$9), MouserListTable12[[#This Row],['#/Unit]]*FilterSpecs!$B$3+MouserListTable12[[#This Row],[Extra Initial]],0)</f>
        <v>1</v>
      </c>
      <c r="G327" s="103" t="s">
        <v>1245</v>
      </c>
      <c r="H327" s="103" t="s">
        <v>1246</v>
      </c>
      <c r="I327" s="103" t="s">
        <v>1247</v>
      </c>
      <c r="J327" s="103">
        <v>1</v>
      </c>
      <c r="K327" s="157">
        <v>3.95</v>
      </c>
      <c r="L327" s="103" t="s">
        <v>1910</v>
      </c>
      <c r="M327" s="106"/>
      <c r="N327" s="157">
        <f>MouserListTable12[[#This Row],['# Initial]]*MouserListTable12[[#This Row],[Price (USD)]]</f>
        <v>3.95</v>
      </c>
      <c r="O327" s="106" t="s">
        <v>1244</v>
      </c>
      <c r="P327" s="103">
        <f t="shared" si="5"/>
        <v>308</v>
      </c>
      <c r="Q327" s="103" t="s">
        <v>8</v>
      </c>
      <c r="R32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474-PRT-13827</v>
      </c>
      <c r="S327" s="195" t="str">
        <f>HYPERLINK("https://www.mouser.com/ProductDetail/" &amp;MouserListTable12[[#This Row],[Mouser SKU]])</f>
        <v>https://www.mouser.com/ProductDetail/474-PRT-13827</v>
      </c>
      <c r="T327" s="121">
        <v>0</v>
      </c>
      <c r="U327" s="121">
        <v>1</v>
      </c>
      <c r="V327" s="121">
        <v>1</v>
      </c>
      <c r="W327" s="121">
        <f>MouserListTable12[[#This Row],['#/Unit]]*FilterSpecs!$C$3+MouserListTable12[[#This Row],[Extra]]</f>
        <v>1</v>
      </c>
      <c r="X327" s="121">
        <f>IF(MouserListTable12[[#This Row],[Tag]]=FilterSpecs!$F$7,MouserListTable12[[#This Row],['#/Unit]]*MouserListTable12[[#This Row],[Price (USD)]],0)</f>
        <v>0</v>
      </c>
      <c r="Y327" s="121">
        <f>MouserListTable12[[#This Row],[Tot '#]]*MouserListTable12[[#This Row],[Price (USD)]]</f>
        <v>3.95</v>
      </c>
      <c r="Z327"/>
    </row>
    <row r="328" spans="1:26" s="146" customFormat="1" x14ac:dyDescent="0.3">
      <c r="A328" s="103" t="s">
        <v>897</v>
      </c>
      <c r="B328" s="103" t="s">
        <v>891</v>
      </c>
      <c r="C328" s="103" t="s">
        <v>1906</v>
      </c>
      <c r="D328" s="106" t="str">
        <f>IF(MouserListTable12[[#This Row],[Vendor]]=FilterSpecs!$A$8,MouserListTable12[[#This Row],[Mouser SKU]], MouserListTable12[[#This Row],[Supplier SKU]])</f>
        <v>474-BOB-10467</v>
      </c>
      <c r="E328" s="121">
        <f>MouserListTable12[[#This Row],[Tot '#]]-MouserListTable12[[#This Row],['# Initial]]</f>
        <v>0</v>
      </c>
      <c r="F328" s="121">
        <f>IF(AND(MouserListTable12[[#This Row],[Tag]]&lt;&gt;FilterSpecs!$F$12, MouserListTable12[[#This Row],[Tag]]&lt;&gt;FilterSpecs!$F$9), MouserListTable12[[#This Row],['#/Unit]]*FilterSpecs!$B$3+MouserListTable12[[#This Row],[Extra Initial]],0)</f>
        <v>5</v>
      </c>
      <c r="G328" s="103" t="s">
        <v>1296</v>
      </c>
      <c r="H328" s="103" t="s">
        <v>1297</v>
      </c>
      <c r="I328" s="103" t="s">
        <v>1298</v>
      </c>
      <c r="J328" s="103">
        <v>1</v>
      </c>
      <c r="K328" s="157">
        <v>1.5</v>
      </c>
      <c r="L328" s="106" t="s">
        <v>1911</v>
      </c>
      <c r="M328" s="103"/>
      <c r="N328" s="157">
        <f>MouserListTable12[[#This Row],['# Initial]]*MouserListTable12[[#This Row],[Price (USD)]]</f>
        <v>7.5</v>
      </c>
      <c r="O328" s="106" t="s">
        <v>1295</v>
      </c>
      <c r="P328" s="103">
        <f t="shared" si="5"/>
        <v>309</v>
      </c>
      <c r="Q328" s="103" t="s">
        <v>8</v>
      </c>
      <c r="R32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474-BOB-10467</v>
      </c>
      <c r="S328" s="195" t="str">
        <f>HYPERLINK("https://www.mouser.com/ProductDetail/" &amp;MouserListTable12[[#This Row],[Mouser SKU]])</f>
        <v>https://www.mouser.com/ProductDetail/474-BOB-10467</v>
      </c>
      <c r="T328" s="121">
        <v>1</v>
      </c>
      <c r="U328" s="121">
        <v>0</v>
      </c>
      <c r="V328" s="121">
        <v>0</v>
      </c>
      <c r="W328" s="121">
        <f>MouserListTable12[[#This Row],['#/Unit]]*FilterSpecs!$C$3+MouserListTable12[[#This Row],[Extra]]</f>
        <v>5</v>
      </c>
      <c r="X328" s="121">
        <f>IF(MouserListTable12[[#This Row],[Tag]]=FilterSpecs!$F$7,MouserListTable12[[#This Row],['#/Unit]]*MouserListTable12[[#This Row],[Price (USD)]],0)</f>
        <v>1.5</v>
      </c>
      <c r="Y328" s="121">
        <f>MouserListTable12[[#This Row],[Tot '#]]*MouserListTable12[[#This Row],[Price (USD)]]</f>
        <v>7.5</v>
      </c>
      <c r="Z328"/>
    </row>
    <row r="329" spans="1:26" s="146" customFormat="1" x14ac:dyDescent="0.3">
      <c r="A329" s="103" t="s">
        <v>897</v>
      </c>
      <c r="B329" s="103" t="s">
        <v>891</v>
      </c>
      <c r="C329" s="103" t="s">
        <v>1906</v>
      </c>
      <c r="D329" s="106" t="str">
        <f>IF(MouserListTable12[[#This Row],[Vendor]]=FilterSpecs!$A$8,MouserListTable12[[#This Row],[Mouser SKU]], MouserListTable12[[#This Row],[Supplier SKU]])</f>
        <v>474-COM-10443</v>
      </c>
      <c r="E329" s="121">
        <f>MouserListTable12[[#This Row],[Tot '#]]-MouserListTable12[[#This Row],['# Initial]]</f>
        <v>0</v>
      </c>
      <c r="F329" s="121">
        <f>IF(AND(MouserListTable12[[#This Row],[Tag]]&lt;&gt;FilterSpecs!$F$12, MouserListTable12[[#This Row],[Tag]]&lt;&gt;FilterSpecs!$F$9), MouserListTable12[[#This Row],['#/Unit]]*FilterSpecs!$B$3+MouserListTable12[[#This Row],[Extra Initial]],0)</f>
        <v>5</v>
      </c>
      <c r="G329" s="103" t="s">
        <v>604</v>
      </c>
      <c r="H329" s="103" t="s">
        <v>605</v>
      </c>
      <c r="I329" s="103" t="s">
        <v>606</v>
      </c>
      <c r="J329" s="103"/>
      <c r="K329" s="157">
        <v>1.95</v>
      </c>
      <c r="L329" s="103" t="s">
        <v>1911</v>
      </c>
      <c r="M329" s="103"/>
      <c r="N329" s="157">
        <f>MouserListTable12[[#This Row],['# Initial]]*MouserListTable12[[#This Row],[Price (USD)]]</f>
        <v>9.75</v>
      </c>
      <c r="O329" s="106" t="s">
        <v>603</v>
      </c>
      <c r="P329" s="103">
        <f t="shared" si="5"/>
        <v>310</v>
      </c>
      <c r="Q329" s="103" t="s">
        <v>8</v>
      </c>
      <c r="R32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474-COM-10443</v>
      </c>
      <c r="S329" s="195" t="str">
        <f>HYPERLINK("https://www.mouser.com/ProductDetail/" &amp;MouserListTable12[[#This Row],[Mouser SKU]])</f>
        <v>https://www.mouser.com/ProductDetail/474-COM-10443</v>
      </c>
      <c r="T329" s="121">
        <v>1</v>
      </c>
      <c r="U329" s="121">
        <v>0</v>
      </c>
      <c r="V329" s="121">
        <v>0</v>
      </c>
      <c r="W329" s="121">
        <f>MouserListTable12[[#This Row],['#/Unit]]*FilterSpecs!$C$3+MouserListTable12[[#This Row],[Extra]]</f>
        <v>5</v>
      </c>
      <c r="X329" s="121">
        <f>IF(MouserListTable12[[#This Row],[Tag]]=FilterSpecs!$F$7,MouserListTable12[[#This Row],['#/Unit]]*MouserListTable12[[#This Row],[Price (USD)]],0)</f>
        <v>1.95</v>
      </c>
      <c r="Y329" s="121">
        <f>MouserListTable12[[#This Row],[Tot '#]]*MouserListTable12[[#This Row],[Price (USD)]]</f>
        <v>9.75</v>
      </c>
      <c r="Z329"/>
    </row>
    <row r="330" spans="1:26" s="146" customFormat="1" x14ac:dyDescent="0.3">
      <c r="A330" s="103" t="s">
        <v>897</v>
      </c>
      <c r="B330" s="103" t="s">
        <v>891</v>
      </c>
      <c r="C330" s="103" t="s">
        <v>1906</v>
      </c>
      <c r="D330" s="106" t="str">
        <f>IF(MouserListTable12[[#This Row],[Vendor]]=FilterSpecs!$A$8,MouserListTable12[[#This Row],[Mouser SKU]], MouserListTable12[[#This Row],[Supplier SKU]])</f>
        <v>474-COM-10440</v>
      </c>
      <c r="E330" s="121">
        <f>MouserListTable12[[#This Row],[Tot '#]]-MouserListTable12[[#This Row],['# Initial]]</f>
        <v>0</v>
      </c>
      <c r="F330" s="121">
        <f>IF(AND(MouserListTable12[[#This Row],[Tag]]&lt;&gt;FilterSpecs!$F$12, MouserListTable12[[#This Row],[Tag]]&lt;&gt;FilterSpecs!$F$9), MouserListTable12[[#This Row],['#/Unit]]*FilterSpecs!$B$3+MouserListTable12[[#This Row],[Extra Initial]],0)</f>
        <v>5</v>
      </c>
      <c r="G330" s="103" t="s">
        <v>608</v>
      </c>
      <c r="H330" s="103" t="s">
        <v>609</v>
      </c>
      <c r="I330" s="103" t="s">
        <v>610</v>
      </c>
      <c r="J330" s="103"/>
      <c r="K330" s="157">
        <v>1.95</v>
      </c>
      <c r="L330" s="103" t="s">
        <v>1911</v>
      </c>
      <c r="M330" s="103"/>
      <c r="N330" s="157">
        <f>MouserListTable12[[#This Row],['# Initial]]*MouserListTable12[[#This Row],[Price (USD)]]</f>
        <v>9.75</v>
      </c>
      <c r="O330" s="106" t="s">
        <v>607</v>
      </c>
      <c r="P330" s="103">
        <f t="shared" si="5"/>
        <v>311</v>
      </c>
      <c r="Q330" s="103" t="s">
        <v>8</v>
      </c>
      <c r="R33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474-COM-10440</v>
      </c>
      <c r="S330" s="195" t="str">
        <f>HYPERLINK("https://www.mouser.com/ProductDetail/" &amp;MouserListTable12[[#This Row],[Mouser SKU]])</f>
        <v>https://www.mouser.com/ProductDetail/474-COM-10440</v>
      </c>
      <c r="T330" s="121">
        <v>1</v>
      </c>
      <c r="U330" s="121">
        <v>0</v>
      </c>
      <c r="V330" s="121">
        <v>0</v>
      </c>
      <c r="W330" s="121">
        <f>MouserListTable12[[#This Row],['#/Unit]]*FilterSpecs!$C$3+MouserListTable12[[#This Row],[Extra]]</f>
        <v>5</v>
      </c>
      <c r="X330" s="121">
        <f>IF(MouserListTable12[[#This Row],[Tag]]=FilterSpecs!$F$7,MouserListTable12[[#This Row],['#/Unit]]*MouserListTable12[[#This Row],[Price (USD)]],0)</f>
        <v>1.95</v>
      </c>
      <c r="Y330" s="121">
        <f>MouserListTable12[[#This Row],[Tot '#]]*MouserListTable12[[#This Row],[Price (USD)]]</f>
        <v>9.75</v>
      </c>
      <c r="Z330"/>
    </row>
    <row r="331" spans="1:26" s="146" customFormat="1" x14ac:dyDescent="0.3">
      <c r="A331" s="103" t="s">
        <v>897</v>
      </c>
      <c r="B331" s="103" t="s">
        <v>891</v>
      </c>
      <c r="C331" s="103" t="s">
        <v>1906</v>
      </c>
      <c r="D331" s="106" t="str">
        <f>IF(MouserListTable12[[#This Row],[Vendor]]=FilterSpecs!$A$8,MouserListTable12[[#This Row],[Mouser SKU]], MouserListTable12[[#This Row],[Supplier SKU]])</f>
        <v>474-COM-10442</v>
      </c>
      <c r="E331" s="121">
        <f>MouserListTable12[[#This Row],[Tot '#]]-MouserListTable12[[#This Row],['# Initial]]</f>
        <v>0</v>
      </c>
      <c r="F331" s="121">
        <f>IF(AND(MouserListTable12[[#This Row],[Tag]]&lt;&gt;FilterSpecs!$F$12, MouserListTable12[[#This Row],[Tag]]&lt;&gt;FilterSpecs!$F$9), MouserListTable12[[#This Row],['#/Unit]]*FilterSpecs!$B$3+MouserListTable12[[#This Row],[Extra Initial]],0)</f>
        <v>5</v>
      </c>
      <c r="G331" s="103" t="s">
        <v>1299</v>
      </c>
      <c r="H331" s="103" t="s">
        <v>1300</v>
      </c>
      <c r="I331" s="103" t="s">
        <v>1294</v>
      </c>
      <c r="J331" s="103"/>
      <c r="K331" s="157">
        <v>1.95</v>
      </c>
      <c r="L331" s="103" t="s">
        <v>1911</v>
      </c>
      <c r="M331" s="103"/>
      <c r="N331" s="157">
        <f>MouserListTable12[[#This Row],['# Initial]]*MouserListTable12[[#This Row],[Price (USD)]]</f>
        <v>9.75</v>
      </c>
      <c r="O331" s="106" t="s">
        <v>1293</v>
      </c>
      <c r="P331" s="103">
        <f t="shared" si="5"/>
        <v>312</v>
      </c>
      <c r="Q331" s="103" t="s">
        <v>8</v>
      </c>
      <c r="R33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474-COM-10442</v>
      </c>
      <c r="S331" s="195" t="str">
        <f>HYPERLINK("https://www.mouser.com/ProductDetail/" &amp;MouserListTable12[[#This Row],[Mouser SKU]])</f>
        <v>https://www.mouser.com/ProductDetail/474-COM-10442</v>
      </c>
      <c r="T331" s="121">
        <v>1</v>
      </c>
      <c r="U331" s="121">
        <v>0</v>
      </c>
      <c r="V331" s="121">
        <v>0</v>
      </c>
      <c r="W331" s="121">
        <f>MouserListTable12[[#This Row],['#/Unit]]*FilterSpecs!$C$3+MouserListTable12[[#This Row],[Extra]]</f>
        <v>5</v>
      </c>
      <c r="X331" s="121">
        <f>IF(MouserListTable12[[#This Row],[Tag]]=FilterSpecs!$F$7,MouserListTable12[[#This Row],['#/Unit]]*MouserListTable12[[#This Row],[Price (USD)]],0)</f>
        <v>1.95</v>
      </c>
      <c r="Y331" s="121">
        <f>MouserListTable12[[#This Row],[Tot '#]]*MouserListTable12[[#This Row],[Price (USD)]]</f>
        <v>9.75</v>
      </c>
      <c r="Z331"/>
    </row>
    <row r="332" spans="1:26" s="144" customFormat="1" hidden="1" x14ac:dyDescent="0.3">
      <c r="A332" s="126" t="s">
        <v>897</v>
      </c>
      <c r="B332" s="126" t="s">
        <v>891</v>
      </c>
      <c r="C332" s="103" t="s">
        <v>1906</v>
      </c>
      <c r="D332" s="106" t="str">
        <f>IF(MouserListTable12[[#This Row],[Vendor]]=FilterSpecs!$A$8,MouserListTable12[[#This Row],[Mouser SKU]], MouserListTable12[[#This Row],[Supplier SKU]])</f>
        <v>474-COM-10441</v>
      </c>
      <c r="E332" s="121">
        <f>MouserListTable12[[#This Row],[Tot '#]]-MouserListTable12[[#This Row],['# Initial]]</f>
        <v>0</v>
      </c>
      <c r="F332" s="121">
        <f>IF(AND(MouserListTable12[[#This Row],[Tag]]&lt;&gt;FilterSpecs!$F$12, MouserListTable12[[#This Row],[Tag]]&lt;&gt;FilterSpecs!$F$9), MouserListTable12[[#This Row],['#/Unit]]*FilterSpecs!$B$3+MouserListTable12[[#This Row],[Extra Initial]],0)</f>
        <v>0</v>
      </c>
      <c r="G332" s="103" t="s">
        <v>1710</v>
      </c>
      <c r="H332" s="103" t="s">
        <v>1711</v>
      </c>
      <c r="I332" s="103" t="s">
        <v>1712</v>
      </c>
      <c r="J332" s="103"/>
      <c r="K332" s="157">
        <v>1.95</v>
      </c>
      <c r="L332" s="103" t="s">
        <v>1910</v>
      </c>
      <c r="M332" s="103"/>
      <c r="N332" s="157">
        <f>MouserListTable12[[#This Row],['# Initial]]*MouserListTable12[[#This Row],[Price (USD)]]</f>
        <v>0</v>
      </c>
      <c r="O332" s="106" t="s">
        <v>1709</v>
      </c>
      <c r="P332" s="103">
        <f t="shared" si="5"/>
        <v>313</v>
      </c>
      <c r="Q332" s="103" t="s">
        <v>8</v>
      </c>
      <c r="R33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474-COM-10441</v>
      </c>
      <c r="S332" s="195" t="str">
        <f>HYPERLINK("https://www.mouser.com/ProductDetail/" &amp;MouserListTable12[[#This Row],[Mouser SKU]])</f>
        <v>https://www.mouser.com/ProductDetail/474-COM-10441</v>
      </c>
      <c r="T332" s="121">
        <v>0</v>
      </c>
      <c r="U332" s="121">
        <v>0</v>
      </c>
      <c r="V332" s="121">
        <v>0</v>
      </c>
      <c r="W332" s="121">
        <f>MouserListTable12[[#This Row],['#/Unit]]*FilterSpecs!$C$3+MouserListTable12[[#This Row],[Extra]]</f>
        <v>0</v>
      </c>
      <c r="X332" s="121">
        <f>IF(MouserListTable12[[#This Row],[Tag]]=FilterSpecs!$F$7,MouserListTable12[[#This Row],['#/Unit]]*MouserListTable12[[#This Row],[Price (USD)]],0)</f>
        <v>0</v>
      </c>
      <c r="Y332" s="121">
        <f>MouserListTable12[[#This Row],[Tot '#]]*MouserListTable12[[#This Row],[Price (USD)]]</f>
        <v>0</v>
      </c>
      <c r="Z332"/>
    </row>
    <row r="333" spans="1:26" s="144" customFormat="1" hidden="1" x14ac:dyDescent="0.3">
      <c r="A333" s="103" t="s">
        <v>897</v>
      </c>
      <c r="B333" s="103" t="s">
        <v>891</v>
      </c>
      <c r="C333" s="103" t="s">
        <v>1906</v>
      </c>
      <c r="D333" s="106" t="str">
        <f>IF(MouserListTable12[[#This Row],[Vendor]]=FilterSpecs!$A$8,MouserListTable12[[#This Row],[Mouser SKU]], MouserListTable12[[#This Row],[Supplier SKU]])</f>
        <v>474-COM-10439</v>
      </c>
      <c r="E333" s="121">
        <f>MouserListTable12[[#This Row],[Tot '#]]-MouserListTable12[[#This Row],['# Initial]]</f>
        <v>1</v>
      </c>
      <c r="F333" s="121">
        <f>IF(AND(MouserListTable12[[#This Row],[Tag]]&lt;&gt;FilterSpecs!$F$12, MouserListTable12[[#This Row],[Tag]]&lt;&gt;FilterSpecs!$F$9), MouserListTable12[[#This Row],['#/Unit]]*FilterSpecs!$B$3+MouserListTable12[[#This Row],[Extra Initial]],0)</f>
        <v>0</v>
      </c>
      <c r="G333" s="103" t="s">
        <v>1714</v>
      </c>
      <c r="H333" s="103" t="s">
        <v>1715</v>
      </c>
      <c r="I333" s="103" t="s">
        <v>1716</v>
      </c>
      <c r="J333" s="103"/>
      <c r="K333" s="157">
        <v>1.95</v>
      </c>
      <c r="L333" s="103" t="s">
        <v>1910</v>
      </c>
      <c r="M333" s="103"/>
      <c r="N333" s="157">
        <f>MouserListTable12[[#This Row],['# Initial]]*MouserListTable12[[#This Row],[Price (USD)]]</f>
        <v>0</v>
      </c>
      <c r="O333" s="106" t="s">
        <v>1713</v>
      </c>
      <c r="P333" s="103">
        <f t="shared" si="5"/>
        <v>314</v>
      </c>
      <c r="Q333" s="103" t="s">
        <v>8</v>
      </c>
      <c r="R33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474-COM-10439</v>
      </c>
      <c r="S333" s="195" t="str">
        <f>HYPERLINK("https://www.mouser.com/ProductDetail/" &amp;MouserListTable12[[#This Row],[Mouser SKU]])</f>
        <v>https://www.mouser.com/ProductDetail/474-COM-10439</v>
      </c>
      <c r="T333" s="121">
        <v>0</v>
      </c>
      <c r="U333" s="121">
        <v>1</v>
      </c>
      <c r="V333" s="121">
        <v>0</v>
      </c>
      <c r="W333" s="121">
        <f>MouserListTable12[[#This Row],['#/Unit]]*FilterSpecs!$C$3+MouserListTable12[[#This Row],[Extra]]</f>
        <v>1</v>
      </c>
      <c r="X333" s="121">
        <f>IF(MouserListTable12[[#This Row],[Tag]]=FilterSpecs!$F$7,MouserListTable12[[#This Row],['#/Unit]]*MouserListTable12[[#This Row],[Price (USD)]],0)</f>
        <v>0</v>
      </c>
      <c r="Y333" s="121">
        <f>MouserListTable12[[#This Row],[Tot '#]]*MouserListTable12[[#This Row],[Price (USD)]]</f>
        <v>1.95</v>
      </c>
      <c r="Z333"/>
    </row>
    <row r="334" spans="1:26" s="144" customFormat="1" hidden="1" x14ac:dyDescent="0.3">
      <c r="A334" s="103" t="s">
        <v>897</v>
      </c>
      <c r="B334" s="103" t="s">
        <v>891</v>
      </c>
      <c r="C334" s="103" t="s">
        <v>1906</v>
      </c>
      <c r="D334" s="106" t="str">
        <f>IF(MouserListTable12[[#This Row],[Vendor]]=FilterSpecs!$A$8,MouserListTable12[[#This Row],[Mouser SKU]], MouserListTable12[[#This Row],[Supplier SKU]])</f>
        <v>485-1119</v>
      </c>
      <c r="E334" s="121">
        <f>MouserListTable12[[#This Row],[Tot '#]]-MouserListTable12[[#This Row],['# Initial]]</f>
        <v>0</v>
      </c>
      <c r="F334" s="121">
        <f>IF(AND(MouserListTable12[[#This Row],[Tag]]&lt;&gt;FilterSpecs!$F$12, MouserListTable12[[#This Row],[Tag]]&lt;&gt;FilterSpecs!$F$9), MouserListTable12[[#This Row],['#/Unit]]*FilterSpecs!$B$3+MouserListTable12[[#This Row],[Extra Initial]],0)</f>
        <v>0</v>
      </c>
      <c r="G334" s="103"/>
      <c r="H334" s="103"/>
      <c r="I334" s="126" t="s">
        <v>2137</v>
      </c>
      <c r="J334" s="146"/>
      <c r="K334" s="158">
        <v>2.5</v>
      </c>
      <c r="L334" s="126" t="s">
        <v>1910</v>
      </c>
      <c r="M334" s="146"/>
      <c r="N334" s="157">
        <f>MouserListTable12[[#This Row],['# Initial]]*MouserListTable12[[#This Row],[Price (USD)]]</f>
        <v>0</v>
      </c>
      <c r="O334" s="106" t="s">
        <v>2136</v>
      </c>
      <c r="P334" s="103">
        <f t="shared" si="5"/>
        <v>315</v>
      </c>
      <c r="Q334" s="103" t="s">
        <v>1898</v>
      </c>
      <c r="R33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485-1119</v>
      </c>
      <c r="S334" s="195" t="str">
        <f>HYPERLINK("https://www.mouser.com/ProductDetail/" &amp;MouserListTable12[[#This Row],[Mouser SKU]])</f>
        <v>https://www.mouser.com/ProductDetail/485-1119</v>
      </c>
      <c r="T334" s="121">
        <v>0</v>
      </c>
      <c r="U334" s="121">
        <v>0</v>
      </c>
      <c r="V334" s="121">
        <v>0</v>
      </c>
      <c r="W334" s="121">
        <f>MouserListTable12[[#This Row],['#/Unit]]*FilterSpecs!$C$3+MouserListTable12[[#This Row],[Extra]]</f>
        <v>0</v>
      </c>
      <c r="X334" s="121">
        <f>IF(MouserListTable12[[#This Row],[Tag]]=FilterSpecs!$F$7,MouserListTable12[[#This Row],['#/Unit]]*MouserListTable12[[#This Row],[Price (USD)]],0)</f>
        <v>0</v>
      </c>
      <c r="Y334" s="121">
        <f>MouserListTable12[[#This Row],[Tot '#]]*MouserListTable12[[#This Row],[Price (USD)]]</f>
        <v>0</v>
      </c>
      <c r="Z334"/>
    </row>
    <row r="335" spans="1:26" s="144" customFormat="1" x14ac:dyDescent="0.3">
      <c r="A335" s="103" t="s">
        <v>897</v>
      </c>
      <c r="B335" s="103" t="s">
        <v>891</v>
      </c>
      <c r="C335" s="103" t="s">
        <v>1906</v>
      </c>
      <c r="D335" s="106" t="str">
        <f>IF(MouserListTable12[[#This Row],[Vendor]]=FilterSpecs!$A$8,MouserListTable12[[#This Row],[Mouser SKU]], MouserListTable12[[#This Row],[Supplier SKU]])</f>
        <v>474-COM-00097</v>
      </c>
      <c r="E335" s="121">
        <f>MouserListTable12[[#This Row],[Tot '#]]-MouserListTable12[[#This Row],['# Initial]]</f>
        <v>0</v>
      </c>
      <c r="F335" s="121">
        <f>IF(AND(MouserListTable12[[#This Row],[Tag]]&lt;&gt;FilterSpecs!$F$12, MouserListTable12[[#This Row],[Tag]]&lt;&gt;FilterSpecs!$F$9), MouserListTable12[[#This Row],['#/Unit]]*FilterSpecs!$B$3+MouserListTable12[[#This Row],[Extra Initial]],0)</f>
        <v>5</v>
      </c>
      <c r="G335" s="103" t="s">
        <v>616</v>
      </c>
      <c r="H335" s="103" t="s">
        <v>617</v>
      </c>
      <c r="I335" s="103" t="s">
        <v>618</v>
      </c>
      <c r="J335" s="103">
        <v>1</v>
      </c>
      <c r="K335" s="157">
        <v>0.35</v>
      </c>
      <c r="L335" s="103" t="s">
        <v>1911</v>
      </c>
      <c r="M335" s="103"/>
      <c r="N335" s="157">
        <f>MouserListTable12[[#This Row],['# Initial]]*MouserListTable12[[#This Row],[Price (USD)]]</f>
        <v>1.75</v>
      </c>
      <c r="O335" s="106" t="s">
        <v>615</v>
      </c>
      <c r="P335" s="103">
        <f t="shared" si="5"/>
        <v>316</v>
      </c>
      <c r="Q335" s="103" t="s">
        <v>8</v>
      </c>
      <c r="R33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474-COM-00097</v>
      </c>
      <c r="S335" s="195" t="str">
        <f>HYPERLINK("https://www.mouser.com/ProductDetail/" &amp;MouserListTable12[[#This Row],[Mouser SKU]])</f>
        <v>https://www.mouser.com/ProductDetail/474-COM-00097</v>
      </c>
      <c r="T335" s="121">
        <v>1</v>
      </c>
      <c r="U335" s="121">
        <v>0</v>
      </c>
      <c r="V335" s="121">
        <v>0</v>
      </c>
      <c r="W335" s="121">
        <f>MouserListTable12[[#This Row],['#/Unit]]*FilterSpecs!$C$3+MouserListTable12[[#This Row],[Extra]]</f>
        <v>5</v>
      </c>
      <c r="X335" s="121">
        <f>IF(MouserListTable12[[#This Row],[Tag]]=FilterSpecs!$F$7,MouserListTable12[[#This Row],['#/Unit]]*MouserListTable12[[#This Row],[Price (USD)]],0)</f>
        <v>0.35</v>
      </c>
      <c r="Y335" s="121">
        <f>MouserListTable12[[#This Row],[Tot '#]]*MouserListTable12[[#This Row],[Price (USD)]]</f>
        <v>1.75</v>
      </c>
      <c r="Z335"/>
    </row>
    <row r="336" spans="1:26" s="144" customFormat="1" x14ac:dyDescent="0.3">
      <c r="A336" s="103" t="s">
        <v>897</v>
      </c>
      <c r="B336" s="103" t="s">
        <v>891</v>
      </c>
      <c r="C336" s="103" t="s">
        <v>1906</v>
      </c>
      <c r="D336" s="106" t="str">
        <f>IF(MouserListTable12[[#This Row],[Vendor]]=FilterSpecs!$A$8,MouserListTable12[[#This Row],[Mouser SKU]], MouserListTable12[[#This Row],[Supplier SKU]])</f>
        <v>474-COM-08605</v>
      </c>
      <c r="E336" s="121">
        <f>MouserListTable12[[#This Row],[Tot '#]]-MouserListTable12[[#This Row],['# Initial]]</f>
        <v>0</v>
      </c>
      <c r="F336" s="121">
        <f>IF(AND(MouserListTable12[[#This Row],[Tag]]&lt;&gt;FilterSpecs!$F$12, MouserListTable12[[#This Row],[Tag]]&lt;&gt;FilterSpecs!$F$9), MouserListTable12[[#This Row],['#/Unit]]*FilterSpecs!$B$3+MouserListTable12[[#This Row],[Extra Initial]],0)</f>
        <v>5</v>
      </c>
      <c r="G336" s="103" t="s">
        <v>628</v>
      </c>
      <c r="H336" s="103" t="s">
        <v>629</v>
      </c>
      <c r="I336" s="103" t="s">
        <v>630</v>
      </c>
      <c r="J336" s="103">
        <v>1</v>
      </c>
      <c r="K336" s="157">
        <v>0.5</v>
      </c>
      <c r="L336" s="103" t="s">
        <v>1911</v>
      </c>
      <c r="M336" s="103"/>
      <c r="N336" s="157">
        <f>MouserListTable12[[#This Row],['# Initial]]*MouserListTable12[[#This Row],[Price (USD)]]</f>
        <v>2.5</v>
      </c>
      <c r="O336" s="106" t="s">
        <v>627</v>
      </c>
      <c r="P336" s="103">
        <f t="shared" si="5"/>
        <v>317</v>
      </c>
      <c r="Q336" s="103" t="s">
        <v>8</v>
      </c>
      <c r="R33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474-COM-08605</v>
      </c>
      <c r="S336" s="195" t="str">
        <f>HYPERLINK("https://www.mouser.com/ProductDetail/" &amp;MouserListTable12[[#This Row],[Mouser SKU]])</f>
        <v>https://www.mouser.com/ProductDetail/474-COM-08605</v>
      </c>
      <c r="T336" s="121">
        <v>1</v>
      </c>
      <c r="U336" s="121">
        <v>0</v>
      </c>
      <c r="V336" s="121">
        <v>0</v>
      </c>
      <c r="W336" s="121">
        <f>MouserListTable12[[#This Row],['#/Unit]]*FilterSpecs!$C$3+MouserListTable12[[#This Row],[Extra]]</f>
        <v>5</v>
      </c>
      <c r="X336" s="121">
        <f>IF(MouserListTable12[[#This Row],[Tag]]=FilterSpecs!$F$7,MouserListTable12[[#This Row],['#/Unit]]*MouserListTable12[[#This Row],[Price (USD)]],0)</f>
        <v>0.5</v>
      </c>
      <c r="Y336" s="121">
        <f>MouserListTable12[[#This Row],[Tot '#]]*MouserListTable12[[#This Row],[Price (USD)]]</f>
        <v>2.5</v>
      </c>
      <c r="Z336"/>
    </row>
    <row r="337" spans="1:26" s="144" customFormat="1" x14ac:dyDescent="0.3">
      <c r="A337" s="103" t="s">
        <v>897</v>
      </c>
      <c r="B337" s="103" t="s">
        <v>891</v>
      </c>
      <c r="C337" s="103" t="s">
        <v>1906</v>
      </c>
      <c r="D337" s="106" t="str">
        <f>IF(MouserListTable12[[#This Row],[Vendor]]=FilterSpecs!$A$8,MouserListTable12[[#This Row],[Mouser SKU]], MouserListTable12[[#This Row],[Supplier SKU]])</f>
        <v>474-COM-09190</v>
      </c>
      <c r="E337" s="121">
        <f>MouserListTable12[[#This Row],[Tot '#]]-MouserListTable12[[#This Row],['# Initial]]</f>
        <v>0</v>
      </c>
      <c r="F337" s="121">
        <f>IF(AND(MouserListTable12[[#This Row],[Tag]]&lt;&gt;FilterSpecs!$F$12, MouserListTable12[[#This Row],[Tag]]&lt;&gt;FilterSpecs!$F$9), MouserListTable12[[#This Row],['#/Unit]]*FilterSpecs!$B$3+MouserListTable12[[#This Row],[Extra Initial]],0)</f>
        <v>5</v>
      </c>
      <c r="G337" s="103" t="s">
        <v>624</v>
      </c>
      <c r="H337" s="103" t="s">
        <v>625</v>
      </c>
      <c r="I337" s="103" t="s">
        <v>626</v>
      </c>
      <c r="J337" s="103">
        <v>1</v>
      </c>
      <c r="K337" s="157">
        <v>0.5</v>
      </c>
      <c r="L337" s="103" t="s">
        <v>1911</v>
      </c>
      <c r="M337" s="103"/>
      <c r="N337" s="157">
        <f>MouserListTable12[[#This Row],['# Initial]]*MouserListTable12[[#This Row],[Price (USD)]]</f>
        <v>2.5</v>
      </c>
      <c r="O337" s="106" t="s">
        <v>623</v>
      </c>
      <c r="P337" s="103">
        <f t="shared" si="5"/>
        <v>318</v>
      </c>
      <c r="Q337" s="103" t="s">
        <v>8</v>
      </c>
      <c r="R33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474-COM-09190</v>
      </c>
      <c r="S337" s="195" t="str">
        <f>HYPERLINK("https://www.mouser.com/ProductDetail/" &amp;MouserListTable12[[#This Row],[Mouser SKU]])</f>
        <v>https://www.mouser.com/ProductDetail/474-COM-09190</v>
      </c>
      <c r="T337" s="121">
        <v>1</v>
      </c>
      <c r="U337" s="121">
        <v>0</v>
      </c>
      <c r="V337" s="121">
        <v>0</v>
      </c>
      <c r="W337" s="121">
        <f>MouserListTable12[[#This Row],['#/Unit]]*FilterSpecs!$C$3+MouserListTable12[[#This Row],[Extra]]</f>
        <v>5</v>
      </c>
      <c r="X337" s="121">
        <f>IF(MouserListTable12[[#This Row],[Tag]]=FilterSpecs!$F$7,MouserListTable12[[#This Row],['#/Unit]]*MouserListTable12[[#This Row],[Price (USD)]],0)</f>
        <v>0.5</v>
      </c>
      <c r="Y337" s="121">
        <f>MouserListTable12[[#This Row],[Tot '#]]*MouserListTable12[[#This Row],[Price (USD)]]</f>
        <v>2.5</v>
      </c>
      <c r="Z337"/>
    </row>
    <row r="338" spans="1:26" s="144" customFormat="1" hidden="1" x14ac:dyDescent="0.3">
      <c r="A338" s="103" t="s">
        <v>897</v>
      </c>
      <c r="B338" s="103" t="s">
        <v>891</v>
      </c>
      <c r="C338" s="103" t="s">
        <v>1906</v>
      </c>
      <c r="D338" s="106" t="str">
        <f>IF(MouserListTable12[[#This Row],[Vendor]]=FilterSpecs!$A$8,MouserListTable12[[#This Row],[Mouser SKU]], MouserListTable12[[#This Row],[Supplier SKU]])</f>
        <v>485-3105</v>
      </c>
      <c r="E338" s="121">
        <f>MouserListTable12[[#This Row],[Tot '#]]-MouserListTable12[[#This Row],['# Initial]]</f>
        <v>0</v>
      </c>
      <c r="F338" s="121">
        <f>IF(AND(MouserListTable12[[#This Row],[Tag]]&lt;&gt;FilterSpecs!$F$12, MouserListTable12[[#This Row],[Tag]]&lt;&gt;FilterSpecs!$F$9), MouserListTable12[[#This Row],['#/Unit]]*FilterSpecs!$B$3+MouserListTable12[[#This Row],[Extra Initial]],0)</f>
        <v>0</v>
      </c>
      <c r="G338" s="103"/>
      <c r="H338" s="103"/>
      <c r="I338" s="126" t="s">
        <v>2125</v>
      </c>
      <c r="J338" s="146"/>
      <c r="K338" s="158">
        <v>1.95</v>
      </c>
      <c r="L338" s="126" t="s">
        <v>1910</v>
      </c>
      <c r="M338" s="146"/>
      <c r="N338" s="157">
        <f>MouserListTable12[[#This Row],['# Initial]]*MouserListTable12[[#This Row],[Price (USD)]]</f>
        <v>0</v>
      </c>
      <c r="O338" s="106" t="s">
        <v>2124</v>
      </c>
      <c r="P338" s="103">
        <f t="shared" si="5"/>
        <v>319</v>
      </c>
      <c r="Q338" s="103" t="s">
        <v>1898</v>
      </c>
      <c r="R33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485-3105</v>
      </c>
      <c r="S338" s="195" t="str">
        <f>HYPERLINK("https://www.mouser.com/ProductDetail/" &amp;MouserListTable12[[#This Row],[Mouser SKU]])</f>
        <v>https://www.mouser.com/ProductDetail/485-3105</v>
      </c>
      <c r="T338" s="121">
        <v>0</v>
      </c>
      <c r="U338" s="121">
        <v>0</v>
      </c>
      <c r="V338" s="121">
        <v>0</v>
      </c>
      <c r="W338" s="121">
        <f>MouserListTable12[[#This Row],['#/Unit]]*FilterSpecs!$C$3+MouserListTable12[[#This Row],[Extra]]</f>
        <v>0</v>
      </c>
      <c r="X338" s="121">
        <f>IF(MouserListTable12[[#This Row],[Tag]]=FilterSpecs!$F$7,MouserListTable12[[#This Row],['#/Unit]]*MouserListTable12[[#This Row],[Price (USD)]],0)</f>
        <v>0</v>
      </c>
      <c r="Y338" s="121">
        <f>MouserListTable12[[#This Row],[Tot '#]]*MouserListTable12[[#This Row],[Price (USD)]]</f>
        <v>0</v>
      </c>
      <c r="Z338"/>
    </row>
    <row r="339" spans="1:26" s="146" customFormat="1" hidden="1" x14ac:dyDescent="0.3">
      <c r="A339" s="103" t="s">
        <v>897</v>
      </c>
      <c r="B339" s="103" t="s">
        <v>891</v>
      </c>
      <c r="C339" s="103" t="s">
        <v>1906</v>
      </c>
      <c r="D339" s="106" t="str">
        <f>IF(MouserListTable12[[#This Row],[Vendor]]=FilterSpecs!$A$8,MouserListTable12[[#This Row],[Mouser SKU]], MouserListTable12[[#This Row],[Supplier SKU]])</f>
        <v>485-3104</v>
      </c>
      <c r="E339" s="121">
        <f>MouserListTable12[[#This Row],[Tot '#]]-MouserListTable12[[#This Row],['# Initial]]</f>
        <v>0</v>
      </c>
      <c r="F339" s="121">
        <f>IF(AND(MouserListTable12[[#This Row],[Tag]]&lt;&gt;FilterSpecs!$F$12, MouserListTable12[[#This Row],[Tag]]&lt;&gt;FilterSpecs!$F$9), MouserListTable12[[#This Row],['#/Unit]]*FilterSpecs!$B$3+MouserListTable12[[#This Row],[Extra Initial]],0)</f>
        <v>0</v>
      </c>
      <c r="G339" s="103"/>
      <c r="H339" s="103"/>
      <c r="I339" s="126" t="s">
        <v>2127</v>
      </c>
      <c r="K339" s="158">
        <v>1.95</v>
      </c>
      <c r="L339" s="126" t="s">
        <v>1910</v>
      </c>
      <c r="N339" s="157">
        <f>MouserListTable12[[#This Row],['# Initial]]*MouserListTable12[[#This Row],[Price (USD)]]</f>
        <v>0</v>
      </c>
      <c r="O339" s="106" t="s">
        <v>2126</v>
      </c>
      <c r="P339" s="103">
        <f t="shared" ref="P339:P402" si="6">IF($P338="List #",1,$P338+1)</f>
        <v>320</v>
      </c>
      <c r="Q339" s="103" t="s">
        <v>1898</v>
      </c>
      <c r="R33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485-3104</v>
      </c>
      <c r="S339" s="195" t="str">
        <f>HYPERLINK("https://www.mouser.com/ProductDetail/" &amp;MouserListTable12[[#This Row],[Mouser SKU]])</f>
        <v>https://www.mouser.com/ProductDetail/485-3104</v>
      </c>
      <c r="T339" s="121">
        <v>0</v>
      </c>
      <c r="U339" s="121">
        <v>0</v>
      </c>
      <c r="V339" s="121">
        <v>0</v>
      </c>
      <c r="W339" s="121">
        <f>MouserListTable12[[#This Row],['#/Unit]]*FilterSpecs!$C$3+MouserListTable12[[#This Row],[Extra]]</f>
        <v>0</v>
      </c>
      <c r="X339" s="121">
        <f>IF(MouserListTable12[[#This Row],[Tag]]=FilterSpecs!$F$7,MouserListTable12[[#This Row],['#/Unit]]*MouserListTable12[[#This Row],[Price (USD)]],0)</f>
        <v>0</v>
      </c>
      <c r="Y339" s="121">
        <f>MouserListTable12[[#This Row],[Tot '#]]*MouserListTable12[[#This Row],[Price (USD)]]</f>
        <v>0</v>
      </c>
      <c r="Z339"/>
    </row>
    <row r="340" spans="1:26" s="146" customFormat="1" x14ac:dyDescent="0.3">
      <c r="A340" s="103" t="s">
        <v>897</v>
      </c>
      <c r="B340" s="103" t="s">
        <v>891</v>
      </c>
      <c r="C340" s="103" t="s">
        <v>1906</v>
      </c>
      <c r="D340" s="106" t="str">
        <f>IF(MouserListTable12[[#This Row],[Vendor]]=FilterSpecs!$A$8,MouserListTable12[[#This Row],[Mouser SKU]], MouserListTable12[[#This Row],[Supplier SKU]])</f>
        <v>474-COM-10791</v>
      </c>
      <c r="E340" s="121">
        <f>MouserListTable12[[#This Row],[Tot '#]]-MouserListTable12[[#This Row],['# Initial]]</f>
        <v>0</v>
      </c>
      <c r="F340" s="121">
        <f>IF(AND(MouserListTable12[[#This Row],[Tag]]&lt;&gt;FilterSpecs!$F$12, MouserListTable12[[#This Row],[Tag]]&lt;&gt;FilterSpecs!$F$9), MouserListTable12[[#This Row],['#/Unit]]*FilterSpecs!$B$3+MouserListTable12[[#This Row],[Extra Initial]],0)</f>
        <v>5</v>
      </c>
      <c r="G340" s="103" t="s">
        <v>620</v>
      </c>
      <c r="H340" s="103" t="s">
        <v>621</v>
      </c>
      <c r="I340" s="103" t="s">
        <v>622</v>
      </c>
      <c r="J340" s="103">
        <v>1</v>
      </c>
      <c r="K340" s="157">
        <v>0.5</v>
      </c>
      <c r="L340" s="103" t="s">
        <v>1911</v>
      </c>
      <c r="M340" s="103"/>
      <c r="N340" s="157">
        <f>MouserListTable12[[#This Row],['# Initial]]*MouserListTable12[[#This Row],[Price (USD)]]</f>
        <v>2.5</v>
      </c>
      <c r="O340" s="106" t="s">
        <v>619</v>
      </c>
      <c r="P340" s="103">
        <f t="shared" si="6"/>
        <v>321</v>
      </c>
      <c r="Q340" s="103" t="s">
        <v>8</v>
      </c>
      <c r="R34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474-COM-10791</v>
      </c>
      <c r="S340" s="195" t="str">
        <f>HYPERLINK("https://www.mouser.com/ProductDetail/" &amp;MouserListTable12[[#This Row],[Mouser SKU]])</f>
        <v>https://www.mouser.com/ProductDetail/474-COM-10791</v>
      </c>
      <c r="T340" s="121">
        <v>1</v>
      </c>
      <c r="U340" s="121">
        <v>0</v>
      </c>
      <c r="V340" s="121">
        <v>0</v>
      </c>
      <c r="W340" s="121">
        <f>MouserListTable12[[#This Row],['#/Unit]]*FilterSpecs!$C$3+MouserListTable12[[#This Row],[Extra]]</f>
        <v>5</v>
      </c>
      <c r="X340" s="121">
        <f>IF(MouserListTable12[[#This Row],[Tag]]=FilterSpecs!$F$7,MouserListTable12[[#This Row],['#/Unit]]*MouserListTable12[[#This Row],[Price (USD)]],0)</f>
        <v>0.5</v>
      </c>
      <c r="Y340" s="121">
        <f>MouserListTable12[[#This Row],[Tot '#]]*MouserListTable12[[#This Row],[Price (USD)]]</f>
        <v>2.5</v>
      </c>
      <c r="Z340"/>
    </row>
    <row r="341" spans="1:26" s="146" customFormat="1" x14ac:dyDescent="0.3">
      <c r="A341" s="103" t="s">
        <v>897</v>
      </c>
      <c r="B341" s="103" t="s">
        <v>891</v>
      </c>
      <c r="C341" s="103" t="s">
        <v>1906</v>
      </c>
      <c r="D341" s="106" t="str">
        <f>IF(MouserListTable12[[#This Row],[Vendor]]=FilterSpecs!$A$8,MouserListTable12[[#This Row],[Mouser SKU]], MouserListTable12[[#This Row],[Supplier SKU]])</f>
        <v>474-COM-08837</v>
      </c>
      <c r="E341" s="121">
        <f>MouserListTable12[[#This Row],[Tot '#]]-MouserListTable12[[#This Row],['# Initial]]</f>
        <v>2</v>
      </c>
      <c r="F341" s="121">
        <f>IF(AND(MouserListTable12[[#This Row],[Tag]]&lt;&gt;FilterSpecs!$F$12, MouserListTable12[[#This Row],[Tag]]&lt;&gt;FilterSpecs!$F$9), MouserListTable12[[#This Row],['#/Unit]]*FilterSpecs!$B$3+MouserListTable12[[#This Row],[Extra Initial]],0)</f>
        <v>5</v>
      </c>
      <c r="G341" s="103" t="s">
        <v>532</v>
      </c>
      <c r="H341" s="103" t="s">
        <v>533</v>
      </c>
      <c r="I341" s="103" t="s">
        <v>534</v>
      </c>
      <c r="J341" s="103">
        <v>1</v>
      </c>
      <c r="K341" s="157">
        <v>0.95</v>
      </c>
      <c r="L341" s="106" t="s">
        <v>1911</v>
      </c>
      <c r="M341" s="103"/>
      <c r="N341" s="157">
        <f>MouserListTable12[[#This Row],['# Initial]]*MouserListTable12[[#This Row],[Price (USD)]]</f>
        <v>4.75</v>
      </c>
      <c r="O341" s="106" t="s">
        <v>531</v>
      </c>
      <c r="P341" s="103">
        <f t="shared" si="6"/>
        <v>322</v>
      </c>
      <c r="Q341" s="103" t="s">
        <v>8</v>
      </c>
      <c r="R34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474-COM-08837</v>
      </c>
      <c r="S341" s="195" t="str">
        <f>HYPERLINK("https://www.mouser.com/ProductDetail/" &amp;MouserListTable12[[#This Row],[Mouser SKU]])</f>
        <v>https://www.mouser.com/ProductDetail/474-COM-08837</v>
      </c>
      <c r="T341" s="121">
        <v>1</v>
      </c>
      <c r="U341" s="121">
        <v>2</v>
      </c>
      <c r="V341" s="121">
        <v>0</v>
      </c>
      <c r="W341" s="121">
        <f>MouserListTable12[[#This Row],['#/Unit]]*FilterSpecs!$C$3+MouserListTable12[[#This Row],[Extra]]</f>
        <v>7</v>
      </c>
      <c r="X341" s="121">
        <f>IF(MouserListTable12[[#This Row],[Tag]]=FilterSpecs!$F$7,MouserListTable12[[#This Row],['#/Unit]]*MouserListTable12[[#This Row],[Price (USD)]],0)</f>
        <v>0.95</v>
      </c>
      <c r="Y341" s="121">
        <f>MouserListTable12[[#This Row],[Tot '#]]*MouserListTable12[[#This Row],[Price (USD)]]</f>
        <v>6.6499999999999995</v>
      </c>
      <c r="Z341"/>
    </row>
    <row r="342" spans="1:26" s="146" customFormat="1" x14ac:dyDescent="0.3">
      <c r="A342" s="103" t="s">
        <v>897</v>
      </c>
      <c r="B342" s="103" t="s">
        <v>891</v>
      </c>
      <c r="C342" s="103" t="s">
        <v>1906</v>
      </c>
      <c r="D342" s="106" t="str">
        <f>IF(MouserListTable12[[#This Row],[Vendor]]=FilterSpecs!$A$8,MouserListTable12[[#This Row],[Mouser SKU]], MouserListTable12[[#This Row],[Supplier SKU]])</f>
        <v>474-COM-00102</v>
      </c>
      <c r="E342" s="121">
        <f>MouserListTable12[[#This Row],[Tot '#]]-MouserListTable12[[#This Row],['# Initial]]</f>
        <v>0</v>
      </c>
      <c r="F342" s="121">
        <f>IF(AND(MouserListTable12[[#This Row],[Tag]]&lt;&gt;FilterSpecs!$F$12, MouserListTable12[[#This Row],[Tag]]&lt;&gt;FilterSpecs!$F$9), MouserListTable12[[#This Row],['#/Unit]]*FilterSpecs!$B$3+MouserListTable12[[#This Row],[Extra Initial]],0)</f>
        <v>5</v>
      </c>
      <c r="G342" s="103" t="s">
        <v>632</v>
      </c>
      <c r="H342" s="103" t="s">
        <v>633</v>
      </c>
      <c r="I342" s="103" t="s">
        <v>2579</v>
      </c>
      <c r="J342" s="103">
        <v>1</v>
      </c>
      <c r="K342" s="157">
        <v>1.5</v>
      </c>
      <c r="L342" s="103" t="s">
        <v>1911</v>
      </c>
      <c r="M342" s="103"/>
      <c r="N342" s="157">
        <f>MouserListTable12[[#This Row],['# Initial]]*MouserListTable12[[#This Row],[Price (USD)]]</f>
        <v>7.5</v>
      </c>
      <c r="O342" s="106" t="s">
        <v>631</v>
      </c>
      <c r="P342" s="103">
        <f t="shared" si="6"/>
        <v>323</v>
      </c>
      <c r="Q342" s="103" t="s">
        <v>8</v>
      </c>
      <c r="R34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474-COM-00102</v>
      </c>
      <c r="S342" s="195" t="str">
        <f>HYPERLINK("https://www.mouser.com/ProductDetail/" &amp;MouserListTable12[[#This Row],[Mouser SKU]])</f>
        <v>https://www.mouser.com/ProductDetail/474-COM-00102</v>
      </c>
      <c r="T342" s="121">
        <v>1</v>
      </c>
      <c r="U342" s="121">
        <v>0</v>
      </c>
      <c r="V342" s="121">
        <v>0</v>
      </c>
      <c r="W342" s="121">
        <f>MouserListTable12[[#This Row],['#/Unit]]*FilterSpecs!$C$3+MouserListTable12[[#This Row],[Extra]]</f>
        <v>5</v>
      </c>
      <c r="X342" s="121">
        <f>IF(MouserListTable12[[#This Row],[Tag]]=FilterSpecs!$F$7,MouserListTable12[[#This Row],['#/Unit]]*MouserListTable12[[#This Row],[Price (USD)]],0)</f>
        <v>1.5</v>
      </c>
      <c r="Y342" s="121">
        <f>MouserListTable12[[#This Row],[Tot '#]]*MouserListTable12[[#This Row],[Price (USD)]]</f>
        <v>7.5</v>
      </c>
      <c r="Z342"/>
    </row>
    <row r="343" spans="1:26" s="146" customFormat="1" hidden="1" x14ac:dyDescent="0.3">
      <c r="A343" s="103" t="s">
        <v>897</v>
      </c>
      <c r="B343" s="103" t="s">
        <v>891</v>
      </c>
      <c r="C343" s="103" t="s">
        <v>1906</v>
      </c>
      <c r="D343" s="106" t="str">
        <f>IF(MouserListTable12[[#This Row],[Vendor]]=FilterSpecs!$A$8,MouserListTable12[[#This Row],[Mouser SKU]], MouserListTable12[[#This Row],[Supplier SKU]])</f>
        <v>474-COM-09609</v>
      </c>
      <c r="E343" s="121">
        <f>MouserListTable12[[#This Row],[Tot '#]]-MouserListTable12[[#This Row],['# Initial]]</f>
        <v>0</v>
      </c>
      <c r="F343" s="121">
        <f>IF(AND(MouserListTable12[[#This Row],[Tag]]&lt;&gt;FilterSpecs!$F$12, MouserListTable12[[#This Row],[Tag]]&lt;&gt;FilterSpecs!$F$9), MouserListTable12[[#This Row],['#/Unit]]*FilterSpecs!$B$3+MouserListTable12[[#This Row],[Extra Initial]],0)</f>
        <v>0</v>
      </c>
      <c r="G343" s="103" t="s">
        <v>1335</v>
      </c>
      <c r="H343" s="103" t="s">
        <v>1336</v>
      </c>
      <c r="I343" s="103" t="s">
        <v>1337</v>
      </c>
      <c r="J343" s="103">
        <v>1</v>
      </c>
      <c r="K343" s="157">
        <v>0.75</v>
      </c>
      <c r="L343" s="103" t="s">
        <v>2487</v>
      </c>
      <c r="M343" s="103"/>
      <c r="N343" s="157">
        <f>MouserListTable12[[#This Row],['# Initial]]*MouserListTable12[[#This Row],[Price (USD)]]</f>
        <v>0</v>
      </c>
      <c r="O343" s="106" t="s">
        <v>1334</v>
      </c>
      <c r="P343" s="103">
        <f t="shared" si="6"/>
        <v>324</v>
      </c>
      <c r="Q343" s="103" t="s">
        <v>8</v>
      </c>
      <c r="R34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474-COM-09609</v>
      </c>
      <c r="S343" s="195" t="str">
        <f>HYPERLINK("https://www.mouser.com/ProductDetail/" &amp;MouserListTable12[[#This Row],[Mouser SKU]])</f>
        <v>https://www.mouser.com/ProductDetail/474-COM-09609</v>
      </c>
      <c r="T343" s="121">
        <v>0</v>
      </c>
      <c r="U343" s="121">
        <v>0</v>
      </c>
      <c r="V343" s="121">
        <v>0</v>
      </c>
      <c r="W343" s="121">
        <f>MouserListTable12[[#This Row],['#/Unit]]*FilterSpecs!$C$3+MouserListTable12[[#This Row],[Extra]]</f>
        <v>0</v>
      </c>
      <c r="X343" s="121">
        <f>IF(MouserListTable12[[#This Row],[Tag]]=FilterSpecs!$F$7,MouserListTable12[[#This Row],['#/Unit]]*MouserListTable12[[#This Row],[Price (USD)]],0)</f>
        <v>0</v>
      </c>
      <c r="Y343" s="121">
        <f>MouserListTable12[[#This Row],[Tot '#]]*MouserListTable12[[#This Row],[Price (USD)]]</f>
        <v>0</v>
      </c>
      <c r="Z343"/>
    </row>
    <row r="344" spans="1:26" s="144" customFormat="1" hidden="1" x14ac:dyDescent="0.3">
      <c r="A344" s="103" t="s">
        <v>897</v>
      </c>
      <c r="B344" s="103" t="s">
        <v>891</v>
      </c>
      <c r="C344" s="103" t="s">
        <v>1906</v>
      </c>
      <c r="D344" s="106" t="str">
        <f>IF(MouserListTable12[[#This Row],[Vendor]]=FilterSpecs!$A$8,MouserListTable12[[#This Row],[Mouser SKU]], MouserListTable12[[#This Row],[Supplier SKU]])</f>
        <v>474-COM-13834</v>
      </c>
      <c r="E344" s="121">
        <f>MouserListTable12[[#This Row],[Tot '#]]-MouserListTable12[[#This Row],['# Initial]]</f>
        <v>1</v>
      </c>
      <c r="F344" s="121">
        <f>IF(AND(MouserListTable12[[#This Row],[Tag]]&lt;&gt;FilterSpecs!$F$12, MouserListTable12[[#This Row],[Tag]]&lt;&gt;FilterSpecs!$F$9), MouserListTable12[[#This Row],['#/Unit]]*FilterSpecs!$B$3+MouserListTable12[[#This Row],[Extra Initial]],0)</f>
        <v>0</v>
      </c>
      <c r="G344" s="103" t="s">
        <v>1678</v>
      </c>
      <c r="H344" s="103" t="s">
        <v>1679</v>
      </c>
      <c r="I344" s="103" t="s">
        <v>1680</v>
      </c>
      <c r="J344" s="103">
        <v>1</v>
      </c>
      <c r="K344" s="157">
        <v>0.95</v>
      </c>
      <c r="L344" s="103" t="s">
        <v>1910</v>
      </c>
      <c r="M344" s="103"/>
      <c r="N344" s="157">
        <f>MouserListTable12[[#This Row],['# Initial]]*MouserListTable12[[#This Row],[Price (USD)]]</f>
        <v>0</v>
      </c>
      <c r="O344" s="106" t="s">
        <v>1677</v>
      </c>
      <c r="P344" s="103">
        <f t="shared" si="6"/>
        <v>325</v>
      </c>
      <c r="Q344" s="103" t="s">
        <v>8</v>
      </c>
      <c r="R34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474-COM-13834</v>
      </c>
      <c r="S344" s="195" t="str">
        <f>HYPERLINK("https://www.mouser.com/ProductDetail/" &amp;MouserListTable12[[#This Row],[Mouser SKU]])</f>
        <v>https://www.mouser.com/ProductDetail/474-COM-13834</v>
      </c>
      <c r="T344" s="121">
        <v>0</v>
      </c>
      <c r="U344" s="121">
        <v>1</v>
      </c>
      <c r="V344" s="121">
        <v>0</v>
      </c>
      <c r="W344" s="121">
        <f>MouserListTable12[[#This Row],['#/Unit]]*FilterSpecs!$C$3+MouserListTable12[[#This Row],[Extra]]</f>
        <v>1</v>
      </c>
      <c r="X344" s="121">
        <f>IF(MouserListTable12[[#This Row],[Tag]]=FilterSpecs!$F$7,MouserListTable12[[#This Row],['#/Unit]]*MouserListTable12[[#This Row],[Price (USD)]],0)</f>
        <v>0</v>
      </c>
      <c r="Y344" s="121">
        <f>MouserListTable12[[#This Row],[Tot '#]]*MouserListTable12[[#This Row],[Price (USD)]]</f>
        <v>0.95</v>
      </c>
      <c r="Z344"/>
    </row>
    <row r="345" spans="1:26" s="144" customFormat="1" hidden="1" x14ac:dyDescent="0.3">
      <c r="A345" s="103" t="s">
        <v>897</v>
      </c>
      <c r="B345" s="103" t="s">
        <v>891</v>
      </c>
      <c r="C345" s="103" t="s">
        <v>1906</v>
      </c>
      <c r="D345" s="106" t="str">
        <f>IF(MouserListTable12[[#This Row],[Vendor]]=FilterSpecs!$A$8,MouserListTable12[[#This Row],[Mouser SKU]], MouserListTable12[[#This Row],[Supplier SKU]])</f>
        <v>474-COM-10063</v>
      </c>
      <c r="E345" s="121">
        <f>MouserListTable12[[#This Row],[Tot '#]]-MouserListTable12[[#This Row],['# Initial]]</f>
        <v>1</v>
      </c>
      <c r="F345" s="121">
        <f>IF(AND(MouserListTable12[[#This Row],[Tag]]&lt;&gt;FilterSpecs!$F$12, MouserListTable12[[#This Row],[Tag]]&lt;&gt;FilterSpecs!$F$9), MouserListTable12[[#This Row],['#/Unit]]*FilterSpecs!$B$3+MouserListTable12[[#This Row],[Extra Initial]],0)</f>
        <v>0</v>
      </c>
      <c r="G345" s="103" t="s">
        <v>1694</v>
      </c>
      <c r="H345" s="103" t="s">
        <v>1695</v>
      </c>
      <c r="I345" s="103" t="s">
        <v>1696</v>
      </c>
      <c r="J345" s="103">
        <v>1</v>
      </c>
      <c r="K345" s="157">
        <v>1.95</v>
      </c>
      <c r="L345" s="103" t="s">
        <v>1910</v>
      </c>
      <c r="M345" s="103"/>
      <c r="N345" s="157">
        <f>MouserListTable12[[#This Row],['# Initial]]*MouserListTable12[[#This Row],[Price (USD)]]</f>
        <v>0</v>
      </c>
      <c r="O345" s="106" t="s">
        <v>1693</v>
      </c>
      <c r="P345" s="103">
        <f t="shared" si="6"/>
        <v>326</v>
      </c>
      <c r="Q345" s="103" t="s">
        <v>8</v>
      </c>
      <c r="R34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474-COM-10063</v>
      </c>
      <c r="S345" s="195" t="str">
        <f>HYPERLINK("https://www.mouser.com/ProductDetail/" &amp;MouserListTable12[[#This Row],[Mouser SKU]])</f>
        <v>https://www.mouser.com/ProductDetail/474-COM-10063</v>
      </c>
      <c r="T345" s="121">
        <v>0</v>
      </c>
      <c r="U345" s="121">
        <v>1</v>
      </c>
      <c r="V345" s="121">
        <v>0</v>
      </c>
      <c r="W345" s="121">
        <f>MouserListTable12[[#This Row],['#/Unit]]*FilterSpecs!$C$3+MouserListTable12[[#This Row],[Extra]]</f>
        <v>1</v>
      </c>
      <c r="X345" s="121">
        <f>IF(MouserListTable12[[#This Row],[Tag]]=FilterSpecs!$F$7,MouserListTable12[[#This Row],['#/Unit]]*MouserListTable12[[#This Row],[Price (USD)]],0)</f>
        <v>0</v>
      </c>
      <c r="Y345" s="121">
        <f>MouserListTable12[[#This Row],[Tot '#]]*MouserListTable12[[#This Row],[Price (USD)]]</f>
        <v>1.95</v>
      </c>
      <c r="Z345"/>
    </row>
    <row r="346" spans="1:26" s="144" customFormat="1" hidden="1" x14ac:dyDescent="0.3">
      <c r="A346" s="103" t="s">
        <v>897</v>
      </c>
      <c r="B346" s="103" t="s">
        <v>891</v>
      </c>
      <c r="C346" s="103" t="s">
        <v>1906</v>
      </c>
      <c r="D346" s="106" t="str">
        <f>IF(MouserListTable12[[#This Row],[Vendor]]=FilterSpecs!$A$8,MouserListTable12[[#This Row],[Mouser SKU]], MouserListTable12[[#This Row],[Supplier SKU]])</f>
        <v>474-COM-09426</v>
      </c>
      <c r="E346" s="121">
        <f>MouserListTable12[[#This Row],[Tot '#]]-MouserListTable12[[#This Row],['# Initial]]</f>
        <v>1</v>
      </c>
      <c r="F346" s="121">
        <f>IF(AND(MouserListTable12[[#This Row],[Tag]]&lt;&gt;FilterSpecs!$F$12, MouserListTable12[[#This Row],[Tag]]&lt;&gt;FilterSpecs!$F$9), MouserListTable12[[#This Row],['#/Unit]]*FilterSpecs!$B$3+MouserListTable12[[#This Row],[Extra Initial]],0)</f>
        <v>0</v>
      </c>
      <c r="G346" s="103" t="s">
        <v>1690</v>
      </c>
      <c r="H346" s="103" t="s">
        <v>1691</v>
      </c>
      <c r="I346" s="103" t="s">
        <v>1692</v>
      </c>
      <c r="J346" s="103">
        <v>1</v>
      </c>
      <c r="K346" s="157">
        <v>3.5</v>
      </c>
      <c r="L346" s="103" t="s">
        <v>2487</v>
      </c>
      <c r="M346" s="103"/>
      <c r="N346" s="157">
        <f>MouserListTable12[[#This Row],['# Initial]]*MouserListTable12[[#This Row],[Price (USD)]]</f>
        <v>0</v>
      </c>
      <c r="O346" s="106" t="s">
        <v>1689</v>
      </c>
      <c r="P346" s="103">
        <f t="shared" si="6"/>
        <v>327</v>
      </c>
      <c r="Q346" s="103" t="s">
        <v>8</v>
      </c>
      <c r="R34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474-COM-09426</v>
      </c>
      <c r="S346" s="195" t="str">
        <f>HYPERLINK("https://www.mouser.com/ProductDetail/" &amp;MouserListTable12[[#This Row],[Mouser SKU]])</f>
        <v>https://www.mouser.com/ProductDetail/474-COM-09426</v>
      </c>
      <c r="T346" s="121">
        <v>0</v>
      </c>
      <c r="U346" s="121">
        <v>1</v>
      </c>
      <c r="V346" s="121">
        <v>0</v>
      </c>
      <c r="W346" s="121">
        <f>MouserListTable12[[#This Row],['#/Unit]]*FilterSpecs!$C$3+MouserListTable12[[#This Row],[Extra]]</f>
        <v>1</v>
      </c>
      <c r="X346" s="121">
        <f>IF(MouserListTable12[[#This Row],[Tag]]=FilterSpecs!$F$7,MouserListTable12[[#This Row],['#/Unit]]*MouserListTable12[[#This Row],[Price (USD)]],0)</f>
        <v>0</v>
      </c>
      <c r="Y346" s="121">
        <f>MouserListTable12[[#This Row],[Tot '#]]*MouserListTable12[[#This Row],[Price (USD)]]</f>
        <v>3.5</v>
      </c>
      <c r="Z346"/>
    </row>
    <row r="347" spans="1:26" s="146" customFormat="1" hidden="1" x14ac:dyDescent="0.3">
      <c r="A347" s="103" t="s">
        <v>897</v>
      </c>
      <c r="B347" s="103" t="s">
        <v>891</v>
      </c>
      <c r="C347" s="103" t="s">
        <v>1906</v>
      </c>
      <c r="D347" s="106" t="str">
        <f>IF(MouserListTable12[[#This Row],[Vendor]]=FilterSpecs!$A$8,MouserListTable12[[#This Row],[Mouser SKU]], MouserListTable12[[#This Row],[Supplier SKU]])</f>
        <v>474-COM-10002</v>
      </c>
      <c r="E347" s="121">
        <f>MouserListTable12[[#This Row],[Tot '#]]-MouserListTable12[[#This Row],['# Initial]]</f>
        <v>3</v>
      </c>
      <c r="F347" s="121">
        <f>IF(AND(MouserListTable12[[#This Row],[Tag]]&lt;&gt;FilterSpecs!$F$12, MouserListTable12[[#This Row],[Tag]]&lt;&gt;FilterSpecs!$F$9), MouserListTable12[[#This Row],['#/Unit]]*FilterSpecs!$B$3+MouserListTable12[[#This Row],[Extra Initial]],0)</f>
        <v>0</v>
      </c>
      <c r="G347" s="103" t="s">
        <v>732</v>
      </c>
      <c r="H347" s="103" t="s">
        <v>733</v>
      </c>
      <c r="I347" s="103" t="s">
        <v>734</v>
      </c>
      <c r="J347" s="103"/>
      <c r="K347" s="157">
        <v>1.5</v>
      </c>
      <c r="L347" s="103" t="s">
        <v>1910</v>
      </c>
      <c r="M347" s="106"/>
      <c r="N347" s="157">
        <f>MouserListTable12[[#This Row],['# Initial]]*MouserListTable12[[#This Row],[Price (USD)]]</f>
        <v>0</v>
      </c>
      <c r="O347" s="106" t="s">
        <v>731</v>
      </c>
      <c r="P347" s="103">
        <f t="shared" si="6"/>
        <v>328</v>
      </c>
      <c r="Q347" s="103" t="s">
        <v>8</v>
      </c>
      <c r="R34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474-COM-10002</v>
      </c>
      <c r="S347" s="195" t="str">
        <f>HYPERLINK("https://www.mouser.com/ProductDetail/" &amp;MouserListTable12[[#This Row],[Mouser SKU]])</f>
        <v>https://www.mouser.com/ProductDetail/474-COM-10002</v>
      </c>
      <c r="T347" s="121">
        <v>0</v>
      </c>
      <c r="U347" s="121">
        <v>3</v>
      </c>
      <c r="V347" s="121">
        <v>0</v>
      </c>
      <c r="W347" s="121">
        <f>MouserListTable12[[#This Row],['#/Unit]]*FilterSpecs!$C$3+MouserListTable12[[#This Row],[Extra]]</f>
        <v>3</v>
      </c>
      <c r="X347" s="121">
        <f>IF(MouserListTable12[[#This Row],[Tag]]=FilterSpecs!$F$7,MouserListTable12[[#This Row],['#/Unit]]*MouserListTable12[[#This Row],[Price (USD)]],0)</f>
        <v>0</v>
      </c>
      <c r="Y347" s="121">
        <f>MouserListTable12[[#This Row],[Tot '#]]*MouserListTable12[[#This Row],[Price (USD)]]</f>
        <v>4.5</v>
      </c>
      <c r="Z347"/>
    </row>
    <row r="348" spans="1:26" s="146" customFormat="1" hidden="1" x14ac:dyDescent="0.3">
      <c r="A348" s="103" t="s">
        <v>897</v>
      </c>
      <c r="B348" s="103" t="s">
        <v>891</v>
      </c>
      <c r="C348" s="103" t="s">
        <v>1906</v>
      </c>
      <c r="D348" s="106" t="str">
        <f>IF(MouserListTable12[[#This Row],[Vendor]]=FilterSpecs!$A$8,MouserListTable12[[#This Row],[Mouser SKU]], MouserListTable12[[#This Row],[Supplier SKU]])</f>
        <v>474-COM-10001</v>
      </c>
      <c r="E348" s="121">
        <f>MouserListTable12[[#This Row],[Tot '#]]-MouserListTable12[[#This Row],['# Initial]]</f>
        <v>0</v>
      </c>
      <c r="F348" s="121">
        <f>IF(AND(MouserListTable12[[#This Row],[Tag]]&lt;&gt;FilterSpecs!$F$12, MouserListTable12[[#This Row],[Tag]]&lt;&gt;FilterSpecs!$F$9), MouserListTable12[[#This Row],['#/Unit]]*FilterSpecs!$B$3+MouserListTable12[[#This Row],[Extra Initial]],0)</f>
        <v>0</v>
      </c>
      <c r="G348" s="103" t="s">
        <v>732</v>
      </c>
      <c r="H348" s="103" t="s">
        <v>733</v>
      </c>
      <c r="I348" s="103" t="s">
        <v>1667</v>
      </c>
      <c r="J348" s="103"/>
      <c r="K348" s="157">
        <v>1.5</v>
      </c>
      <c r="L348" s="103" t="s">
        <v>2487</v>
      </c>
      <c r="N348" s="157">
        <f>MouserListTable12[[#This Row],['# Initial]]*MouserListTable12[[#This Row],[Price (USD)]]</f>
        <v>0</v>
      </c>
      <c r="O348" s="106" t="s">
        <v>1668</v>
      </c>
      <c r="P348" s="103">
        <f t="shared" si="6"/>
        <v>329</v>
      </c>
      <c r="Q348" s="103" t="s">
        <v>8</v>
      </c>
      <c r="R34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474-COM-10001</v>
      </c>
      <c r="S348" s="195" t="str">
        <f>HYPERLINK("https://www.mouser.com/ProductDetail/" &amp;MouserListTable12[[#This Row],[Mouser SKU]])</f>
        <v>https://www.mouser.com/ProductDetail/474-COM-10001</v>
      </c>
      <c r="T348" s="121">
        <v>0</v>
      </c>
      <c r="U348" s="121">
        <v>0</v>
      </c>
      <c r="V348" s="121">
        <v>0</v>
      </c>
      <c r="W348" s="121">
        <f>MouserListTable12[[#This Row],['#/Unit]]*FilterSpecs!$C$3+MouserListTable12[[#This Row],[Extra]]</f>
        <v>0</v>
      </c>
      <c r="X348" s="121">
        <f>IF(MouserListTable12[[#This Row],[Tag]]=FilterSpecs!$F$7,MouserListTable12[[#This Row],['#/Unit]]*MouserListTable12[[#This Row],[Price (USD)]],0)</f>
        <v>0</v>
      </c>
      <c r="Y348" s="121">
        <f>MouserListTable12[[#This Row],[Tot '#]]*MouserListTable12[[#This Row],[Price (USD)]]</f>
        <v>0</v>
      </c>
      <c r="Z348"/>
    </row>
    <row r="349" spans="1:26" s="144" customFormat="1" x14ac:dyDescent="0.3">
      <c r="A349" s="103" t="s">
        <v>897</v>
      </c>
      <c r="B349" s="103" t="s">
        <v>891</v>
      </c>
      <c r="C349" s="103" t="s">
        <v>1906</v>
      </c>
      <c r="D349" s="106" t="str">
        <f>IF(MouserListTable12[[#This Row],[Vendor]]=FilterSpecs!$A$8,MouserListTable12[[#This Row],[Mouser SKU]], MouserListTable12[[#This Row],[Supplier SKU]])</f>
        <v>485-2047</v>
      </c>
      <c r="E349" s="121">
        <f>MouserListTable12[[#This Row],[Tot '#]]-MouserListTable12[[#This Row],['# Initial]]</f>
        <v>0</v>
      </c>
      <c r="F349" s="121">
        <f>IF(AND(MouserListTable12[[#This Row],[Tag]]&lt;&gt;FilterSpecs!$F$12, MouserListTable12[[#This Row],[Tag]]&lt;&gt;FilterSpecs!$F$9), MouserListTable12[[#This Row],['#/Unit]]*FilterSpecs!$B$3+MouserListTable12[[#This Row],[Extra Initial]],0)</f>
        <v>10</v>
      </c>
      <c r="G349" s="103"/>
      <c r="H349" s="103"/>
      <c r="I349" s="126" t="s">
        <v>2129</v>
      </c>
      <c r="J349" s="146"/>
      <c r="K349" s="158">
        <v>0.5</v>
      </c>
      <c r="L349" s="126" t="s">
        <v>1911</v>
      </c>
      <c r="M349" s="146"/>
      <c r="N349" s="157">
        <f>MouserListTable12[[#This Row],['# Initial]]*MouserListTable12[[#This Row],[Price (USD)]]</f>
        <v>5</v>
      </c>
      <c r="O349" s="106" t="s">
        <v>2128</v>
      </c>
      <c r="P349" s="103">
        <f t="shared" si="6"/>
        <v>330</v>
      </c>
      <c r="Q349" s="103" t="s">
        <v>1898</v>
      </c>
      <c r="R34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485-2047</v>
      </c>
      <c r="S349" s="195" t="str">
        <f>HYPERLINK("https://www.mouser.com/ProductDetail/" &amp;MouserListTable12[[#This Row],[Mouser SKU]])</f>
        <v>https://www.mouser.com/ProductDetail/485-2047</v>
      </c>
      <c r="T349" s="121">
        <f>SUM(T541:T548)</f>
        <v>2</v>
      </c>
      <c r="U349" s="121">
        <f t="shared" ref="U349:V349" si="7">SUM(U540:U547)</f>
        <v>0</v>
      </c>
      <c r="V349" s="121">
        <f t="shared" si="7"/>
        <v>0</v>
      </c>
      <c r="W349" s="121">
        <f>MouserListTable12[[#This Row],['#/Unit]]*FilterSpecs!$C$3+MouserListTable12[[#This Row],[Extra]]</f>
        <v>10</v>
      </c>
      <c r="X349" s="121">
        <f>IF(MouserListTable12[[#This Row],[Tag]]=FilterSpecs!$F$7,MouserListTable12[[#This Row],['#/Unit]]*MouserListTable12[[#This Row],[Price (USD)]],0)</f>
        <v>1</v>
      </c>
      <c r="Y349" s="121">
        <f>MouserListTable12[[#This Row],[Tot '#]]*MouserListTable12[[#This Row],[Price (USD)]]</f>
        <v>5</v>
      </c>
      <c r="Z349"/>
    </row>
    <row r="350" spans="1:26" s="144" customFormat="1" hidden="1" x14ac:dyDescent="0.3">
      <c r="A350" s="103" t="s">
        <v>897</v>
      </c>
      <c r="B350" s="103" t="s">
        <v>891</v>
      </c>
      <c r="C350" s="103" t="s">
        <v>1906</v>
      </c>
      <c r="D350" s="106" t="str">
        <f>IF(MouserListTable12[[#This Row],[Vendor]]=FilterSpecs!$A$8,MouserListTable12[[#This Row],[Mouser SKU]], MouserListTable12[[#This Row],[Supplier SKU]])</f>
        <v>485-2055</v>
      </c>
      <c r="E350" s="121">
        <f>MouserListTable12[[#This Row],[Tot '#]]-MouserListTable12[[#This Row],['# Initial]]</f>
        <v>0</v>
      </c>
      <c r="F350" s="121">
        <f>IF(AND(MouserListTable12[[#This Row],[Tag]]&lt;&gt;FilterSpecs!$F$12, MouserListTable12[[#This Row],[Tag]]&lt;&gt;FilterSpecs!$F$9), MouserListTable12[[#This Row],['#/Unit]]*FilterSpecs!$B$3+MouserListTable12[[#This Row],[Extra Initial]],0)</f>
        <v>0</v>
      </c>
      <c r="G350" s="103"/>
      <c r="H350" s="103"/>
      <c r="I350" s="126" t="s">
        <v>2131</v>
      </c>
      <c r="J350" s="146"/>
      <c r="K350" s="158">
        <v>0.95</v>
      </c>
      <c r="L350" s="126" t="s">
        <v>1910</v>
      </c>
      <c r="M350" s="146"/>
      <c r="N350" s="157">
        <f>MouserListTable12[[#This Row],['# Initial]]*MouserListTable12[[#This Row],[Price (USD)]]</f>
        <v>0</v>
      </c>
      <c r="O350" s="106" t="s">
        <v>2130</v>
      </c>
      <c r="P350" s="103">
        <f t="shared" si="6"/>
        <v>331</v>
      </c>
      <c r="Q350" s="103" t="s">
        <v>1898</v>
      </c>
      <c r="R35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485-2055</v>
      </c>
      <c r="S350" s="195" t="str">
        <f>HYPERLINK("https://www.mouser.com/ProductDetail/" &amp;MouserListTable12[[#This Row],[Mouser SKU]])</f>
        <v>https://www.mouser.com/ProductDetail/485-2055</v>
      </c>
      <c r="T350" s="121">
        <v>0</v>
      </c>
      <c r="U350" s="121">
        <v>0</v>
      </c>
      <c r="V350" s="121">
        <v>0</v>
      </c>
      <c r="W350" s="121">
        <f>MouserListTable12[[#This Row],['#/Unit]]*FilterSpecs!$C$3+MouserListTable12[[#This Row],[Extra]]</f>
        <v>0</v>
      </c>
      <c r="X350" s="121">
        <f>IF(MouserListTable12[[#This Row],[Tag]]=FilterSpecs!$F$7,MouserListTable12[[#This Row],['#/Unit]]*MouserListTable12[[#This Row],[Price (USD)]],0)</f>
        <v>0</v>
      </c>
      <c r="Y350" s="121">
        <f>MouserListTable12[[#This Row],[Tot '#]]*MouserListTable12[[#This Row],[Price (USD)]]</f>
        <v>0</v>
      </c>
      <c r="Z350"/>
    </row>
    <row r="351" spans="1:26" s="144" customFormat="1" hidden="1" x14ac:dyDescent="0.3">
      <c r="A351" s="103" t="s">
        <v>897</v>
      </c>
      <c r="B351" s="103" t="s">
        <v>891</v>
      </c>
      <c r="C351" s="103" t="s">
        <v>1906</v>
      </c>
      <c r="D351" s="106" t="str">
        <f>IF(MouserListTable12[[#This Row],[Vendor]]=FilterSpecs!$A$8,MouserListTable12[[#This Row],[Mouser SKU]], MouserListTable12[[#This Row],[Supplier SKU]])</f>
        <v>485-2058</v>
      </c>
      <c r="E351" s="121">
        <f>MouserListTable12[[#This Row],[Tot '#]]-MouserListTable12[[#This Row],['# Initial]]</f>
        <v>0</v>
      </c>
      <c r="F351" s="121">
        <f>IF(AND(MouserListTable12[[#This Row],[Tag]]&lt;&gt;FilterSpecs!$F$12, MouserListTable12[[#This Row],[Tag]]&lt;&gt;FilterSpecs!$F$9), MouserListTable12[[#This Row],['#/Unit]]*FilterSpecs!$B$3+MouserListTable12[[#This Row],[Extra Initial]],0)</f>
        <v>0</v>
      </c>
      <c r="G351" s="103"/>
      <c r="H351" s="103"/>
      <c r="I351" s="126" t="s">
        <v>2133</v>
      </c>
      <c r="J351" s="146"/>
      <c r="K351" s="158">
        <v>0.95</v>
      </c>
      <c r="L351" s="126" t="s">
        <v>1910</v>
      </c>
      <c r="M351" s="146"/>
      <c r="N351" s="157">
        <f>MouserListTable12[[#This Row],['# Initial]]*MouserListTable12[[#This Row],[Price (USD)]]</f>
        <v>0</v>
      </c>
      <c r="O351" s="106" t="s">
        <v>2132</v>
      </c>
      <c r="P351" s="103">
        <f t="shared" si="6"/>
        <v>332</v>
      </c>
      <c r="Q351" s="103" t="s">
        <v>1898</v>
      </c>
      <c r="R35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485-2058</v>
      </c>
      <c r="S351" s="195" t="str">
        <f>HYPERLINK("https://www.mouser.com/ProductDetail/" &amp;MouserListTable12[[#This Row],[Mouser SKU]])</f>
        <v>https://www.mouser.com/ProductDetail/485-2058</v>
      </c>
      <c r="T351" s="121">
        <v>0</v>
      </c>
      <c r="U351" s="121">
        <v>0</v>
      </c>
      <c r="V351" s="121">
        <v>0</v>
      </c>
      <c r="W351" s="121">
        <f>MouserListTable12[[#This Row],['#/Unit]]*FilterSpecs!$C$3+MouserListTable12[[#This Row],[Extra]]</f>
        <v>0</v>
      </c>
      <c r="X351" s="121">
        <f>IF(MouserListTable12[[#This Row],[Tag]]=FilterSpecs!$F$7,MouserListTable12[[#This Row],['#/Unit]]*MouserListTable12[[#This Row],[Price (USD)]],0)</f>
        <v>0</v>
      </c>
      <c r="Y351" s="121">
        <f>MouserListTable12[[#This Row],[Tot '#]]*MouserListTable12[[#This Row],[Price (USD)]]</f>
        <v>0</v>
      </c>
      <c r="Z351"/>
    </row>
    <row r="352" spans="1:26" s="144" customFormat="1" hidden="1" x14ac:dyDescent="0.3">
      <c r="A352" s="103" t="s">
        <v>897</v>
      </c>
      <c r="B352" s="103" t="s">
        <v>891</v>
      </c>
      <c r="C352" s="103" t="s">
        <v>1906</v>
      </c>
      <c r="D352" s="106" t="str">
        <f>IF(MouserListTable12[[#This Row],[Vendor]]=FilterSpecs!$A$8,MouserListTable12[[#This Row],[Mouser SKU]], MouserListTable12[[#This Row],[Supplier SKU]])</f>
        <v>485-2056</v>
      </c>
      <c r="E352" s="121">
        <f>MouserListTable12[[#This Row],[Tot '#]]-MouserListTable12[[#This Row],['# Initial]]</f>
        <v>0</v>
      </c>
      <c r="F352" s="121">
        <f>IF(AND(MouserListTable12[[#This Row],[Tag]]&lt;&gt;FilterSpecs!$F$12, MouserListTable12[[#This Row],[Tag]]&lt;&gt;FilterSpecs!$F$9), MouserListTable12[[#This Row],['#/Unit]]*FilterSpecs!$B$3+MouserListTable12[[#This Row],[Extra Initial]],0)</f>
        <v>0</v>
      </c>
      <c r="G352" s="103"/>
      <c r="H352" s="103"/>
      <c r="I352" s="126" t="s">
        <v>2135</v>
      </c>
      <c r="J352" s="146"/>
      <c r="K352" s="158">
        <v>3.95</v>
      </c>
      <c r="L352" s="126" t="s">
        <v>1910</v>
      </c>
      <c r="M352" s="146"/>
      <c r="N352" s="157">
        <f>MouserListTable12[[#This Row],['# Initial]]*MouserListTable12[[#This Row],[Price (USD)]]</f>
        <v>0</v>
      </c>
      <c r="O352" s="106" t="s">
        <v>2134</v>
      </c>
      <c r="P352" s="103">
        <f t="shared" si="6"/>
        <v>333</v>
      </c>
      <c r="Q352" s="103" t="s">
        <v>1898</v>
      </c>
      <c r="R35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485-2056</v>
      </c>
      <c r="S352" s="195" t="str">
        <f>HYPERLINK("https://www.mouser.com/ProductDetail/" &amp;MouserListTable12[[#This Row],[Mouser SKU]])</f>
        <v>https://www.mouser.com/ProductDetail/485-2056</v>
      </c>
      <c r="T352" s="121">
        <v>0</v>
      </c>
      <c r="U352" s="121">
        <v>0</v>
      </c>
      <c r="V352" s="121">
        <v>0</v>
      </c>
      <c r="W352" s="121">
        <f>MouserListTable12[[#This Row],['#/Unit]]*FilterSpecs!$C$3+MouserListTable12[[#This Row],[Extra]]</f>
        <v>0</v>
      </c>
      <c r="X352" s="121">
        <f>IF(MouserListTable12[[#This Row],[Tag]]=FilterSpecs!$F$7,MouserListTable12[[#This Row],['#/Unit]]*MouserListTable12[[#This Row],[Price (USD)]],0)</f>
        <v>0</v>
      </c>
      <c r="Y352" s="121">
        <f>MouserListTable12[[#This Row],[Tot '#]]*MouserListTable12[[#This Row],[Price (USD)]]</f>
        <v>0</v>
      </c>
      <c r="Z352"/>
    </row>
    <row r="353" spans="1:26" s="144" customFormat="1" hidden="1" x14ac:dyDescent="0.3">
      <c r="A353" s="106" t="s">
        <v>897</v>
      </c>
      <c r="B353" s="106" t="s">
        <v>2027</v>
      </c>
      <c r="C353" s="103" t="s">
        <v>1906</v>
      </c>
      <c r="D353" s="106" t="str">
        <f>IF(MouserListTable12[[#This Row],[Vendor]]=FilterSpecs!$A$8,MouserListTable12[[#This Row],[Mouser SKU]], MouserListTable12[[#This Row],[Supplier SKU]])</f>
        <v>485-2103</v>
      </c>
      <c r="E353" s="121">
        <f>MouserListTable12[[#This Row],[Tot '#]]-MouserListTable12[[#This Row],['# Initial]]</f>
        <v>0</v>
      </c>
      <c r="F353" s="121">
        <f>IF(AND(MouserListTable12[[#This Row],[Tag]]&lt;&gt;FilterSpecs!$F$12, MouserListTable12[[#This Row],[Tag]]&lt;&gt;FilterSpecs!$F$9), MouserListTable12[[#This Row],['#/Unit]]*FilterSpecs!$B$3+MouserListTable12[[#This Row],[Extra Initial]],0)</f>
        <v>0</v>
      </c>
      <c r="G353" s="103"/>
      <c r="H353" s="103"/>
      <c r="I353" s="146" t="s">
        <v>2139</v>
      </c>
      <c r="J353" s="146"/>
      <c r="K353" s="158">
        <v>1.95</v>
      </c>
      <c r="L353" s="146" t="s">
        <v>1910</v>
      </c>
      <c r="M353" s="146"/>
      <c r="N353" s="157">
        <f>MouserListTable12[[#This Row],['# Initial]]*MouserListTable12[[#This Row],[Price (USD)]]</f>
        <v>0</v>
      </c>
      <c r="O353" s="106" t="s">
        <v>2138</v>
      </c>
      <c r="P353" s="103">
        <f t="shared" si="6"/>
        <v>334</v>
      </c>
      <c r="Q353" s="103" t="s">
        <v>1898</v>
      </c>
      <c r="R35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485-2103</v>
      </c>
      <c r="S353" s="195" t="str">
        <f>HYPERLINK("https://www.mouser.com/ProductDetail/" &amp;MouserListTable12[[#This Row],[Mouser SKU]])</f>
        <v>https://www.mouser.com/ProductDetail/485-2103</v>
      </c>
      <c r="T353" s="121">
        <v>0</v>
      </c>
      <c r="U353" s="121">
        <v>0</v>
      </c>
      <c r="V353" s="121">
        <v>0</v>
      </c>
      <c r="W353" s="121">
        <f>MouserListTable12[[#This Row],['#/Unit]]*FilterSpecs!$C$3+MouserListTable12[[#This Row],[Extra]]</f>
        <v>0</v>
      </c>
      <c r="X353" s="121">
        <f>IF(MouserListTable12[[#This Row],[Tag]]=FilterSpecs!$F$7,MouserListTable12[[#This Row],['#/Unit]]*MouserListTable12[[#This Row],[Price (USD)]],0)</f>
        <v>0</v>
      </c>
      <c r="Y353" s="121">
        <f>MouserListTable12[[#This Row],[Tot '#]]*MouserListTable12[[#This Row],[Price (USD)]]</f>
        <v>0</v>
      </c>
      <c r="Z353"/>
    </row>
    <row r="354" spans="1:26" s="144" customFormat="1" hidden="1" x14ac:dyDescent="0.3">
      <c r="A354" s="106" t="s">
        <v>897</v>
      </c>
      <c r="B354" s="106" t="s">
        <v>2027</v>
      </c>
      <c r="C354" s="103" t="s">
        <v>1906</v>
      </c>
      <c r="D354" s="106" t="str">
        <f>IF(MouserListTable12[[#This Row],[Vendor]]=FilterSpecs!$A$8,MouserListTable12[[#This Row],[Mouser SKU]], MouserListTable12[[#This Row],[Supplier SKU]])</f>
        <v>485-2270</v>
      </c>
      <c r="E354" s="121">
        <f>MouserListTable12[[#This Row],[Tot '#]]-MouserListTable12[[#This Row],['# Initial]]</f>
        <v>0</v>
      </c>
      <c r="F354" s="121">
        <f>IF(AND(MouserListTable12[[#This Row],[Tag]]&lt;&gt;FilterSpecs!$F$12, MouserListTable12[[#This Row],[Tag]]&lt;&gt;FilterSpecs!$F$9), MouserListTable12[[#This Row],['#/Unit]]*FilterSpecs!$B$3+MouserListTable12[[#This Row],[Extra Initial]],0)</f>
        <v>0</v>
      </c>
      <c r="G354" s="103"/>
      <c r="H354" s="103"/>
      <c r="I354" s="146" t="s">
        <v>2141</v>
      </c>
      <c r="J354" s="146"/>
      <c r="K354" s="158">
        <v>2.25</v>
      </c>
      <c r="L354" s="146" t="s">
        <v>1910</v>
      </c>
      <c r="M354" s="146"/>
      <c r="N354" s="157">
        <f>MouserListTable12[[#This Row],['# Initial]]*MouserListTable12[[#This Row],[Price (USD)]]</f>
        <v>0</v>
      </c>
      <c r="O354" s="106" t="s">
        <v>2140</v>
      </c>
      <c r="P354" s="103">
        <f t="shared" si="6"/>
        <v>335</v>
      </c>
      <c r="Q354" s="103" t="s">
        <v>1898</v>
      </c>
      <c r="R35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485-2270</v>
      </c>
      <c r="S354" s="195" t="str">
        <f>HYPERLINK("https://www.mouser.com/ProductDetail/" &amp;MouserListTable12[[#This Row],[Mouser SKU]])</f>
        <v>https://www.mouser.com/ProductDetail/485-2270</v>
      </c>
      <c r="T354" s="121">
        <v>0</v>
      </c>
      <c r="U354" s="121">
        <v>0</v>
      </c>
      <c r="V354" s="121">
        <v>0</v>
      </c>
      <c r="W354" s="121">
        <f>MouserListTable12[[#This Row],['#/Unit]]*FilterSpecs!$C$3+MouserListTable12[[#This Row],[Extra]]</f>
        <v>0</v>
      </c>
      <c r="X354" s="121">
        <f>IF(MouserListTable12[[#This Row],[Tag]]=FilterSpecs!$F$7,MouserListTable12[[#This Row],['#/Unit]]*MouserListTable12[[#This Row],[Price (USD)]],0)</f>
        <v>0</v>
      </c>
      <c r="Y354" s="121">
        <f>MouserListTable12[[#This Row],[Tot '#]]*MouserListTable12[[#This Row],[Price (USD)]]</f>
        <v>0</v>
      </c>
      <c r="Z354"/>
    </row>
    <row r="355" spans="1:26" s="144" customFormat="1" x14ac:dyDescent="0.3">
      <c r="A355" s="106" t="s">
        <v>897</v>
      </c>
      <c r="B355" s="106" t="s">
        <v>2027</v>
      </c>
      <c r="C355" s="103" t="s">
        <v>1906</v>
      </c>
      <c r="D355" s="106" t="str">
        <f>IF(MouserListTable12[[#This Row],[Vendor]]=FilterSpecs!$A$8,MouserListTable12[[#This Row],[Mouser SKU]], MouserListTable12[[#This Row],[Supplier SKU]])</f>
        <v>485-2102</v>
      </c>
      <c r="E355" s="121">
        <f>MouserListTable12[[#This Row],[Tot '#]]-MouserListTable12[[#This Row],['# Initial]]</f>
        <v>0</v>
      </c>
      <c r="F355" s="121">
        <f>IF(AND(MouserListTable12[[#This Row],[Tag]]&lt;&gt;FilterSpecs!$F$12, MouserListTable12[[#This Row],[Tag]]&lt;&gt;FilterSpecs!$F$9), MouserListTable12[[#This Row],['#/Unit]]*FilterSpecs!$B$3+MouserListTable12[[#This Row],[Extra Initial]],0)</f>
        <v>10</v>
      </c>
      <c r="G355" s="103"/>
      <c r="H355" s="103"/>
      <c r="I355" s="106" t="s">
        <v>2143</v>
      </c>
      <c r="J355" s="146"/>
      <c r="K355" s="157">
        <v>0.95</v>
      </c>
      <c r="L355" s="106" t="s">
        <v>1911</v>
      </c>
      <c r="M355" s="106"/>
      <c r="N355" s="157">
        <f>MouserListTable12[[#This Row],['# Initial]]*MouserListTable12[[#This Row],[Price (USD)]]</f>
        <v>9.5</v>
      </c>
      <c r="O355" s="106" t="s">
        <v>2142</v>
      </c>
      <c r="P355" s="103">
        <f t="shared" si="6"/>
        <v>336</v>
      </c>
      <c r="Q355" s="103" t="s">
        <v>1898</v>
      </c>
      <c r="R35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485-2102</v>
      </c>
      <c r="S355" s="195" t="str">
        <f>HYPERLINK("https://www.mouser.com/ProductDetail/" &amp;MouserListTable12[[#This Row],[Mouser SKU]])</f>
        <v>https://www.mouser.com/ProductDetail/485-2102</v>
      </c>
      <c r="T355" s="121">
        <v>2</v>
      </c>
      <c r="U355" s="121">
        <v>0</v>
      </c>
      <c r="V355" s="121">
        <v>0</v>
      </c>
      <c r="W355" s="121">
        <f>MouserListTable12[[#This Row],['#/Unit]]*FilterSpecs!$C$3+MouserListTable12[[#This Row],[Extra]]</f>
        <v>10</v>
      </c>
      <c r="X355" s="121">
        <f>IF(MouserListTable12[[#This Row],[Tag]]=FilterSpecs!$F$7,MouserListTable12[[#This Row],['#/Unit]]*MouserListTable12[[#This Row],[Price (USD)]],0)</f>
        <v>1.9</v>
      </c>
      <c r="Y355" s="121">
        <f>MouserListTable12[[#This Row],[Tot '#]]*MouserListTable12[[#This Row],[Price (USD)]]</f>
        <v>9.5</v>
      </c>
      <c r="Z355"/>
    </row>
    <row r="356" spans="1:26" s="144" customFormat="1" x14ac:dyDescent="0.3">
      <c r="A356" s="106" t="s">
        <v>897</v>
      </c>
      <c r="B356" s="106" t="s">
        <v>1884</v>
      </c>
      <c r="C356" s="103" t="s">
        <v>1906</v>
      </c>
      <c r="D356" s="106" t="str">
        <f>IF(MouserListTable12[[#This Row],[Vendor]]=FilterSpecs!$A$8,MouserListTable12[[#This Row],[Mouser SKU]], MouserListTable12[[#This Row],[Supplier SKU]])</f>
        <v>474-PRT-09749</v>
      </c>
      <c r="E356" s="121">
        <f>MouserListTable12[[#This Row],[Tot '#]]-MouserListTable12[[#This Row],['# Initial]]</f>
        <v>0</v>
      </c>
      <c r="F356" s="121">
        <f>IF(AND(MouserListTable12[[#This Row],[Tag]]&lt;&gt;FilterSpecs!$F$12, MouserListTable12[[#This Row],[Tag]]&lt;&gt;FilterSpecs!$F$9), MouserListTable12[[#This Row],['#/Unit]]*FilterSpecs!$B$3+MouserListTable12[[#This Row],[Extra Initial]],0)</f>
        <v>10</v>
      </c>
      <c r="G356" s="103" t="s">
        <v>446</v>
      </c>
      <c r="H356" s="103" t="s">
        <v>447</v>
      </c>
      <c r="I356" s="106" t="s">
        <v>448</v>
      </c>
      <c r="J356" s="103">
        <v>1</v>
      </c>
      <c r="K356" s="157">
        <v>0.95</v>
      </c>
      <c r="L356" s="106" t="s">
        <v>1911</v>
      </c>
      <c r="M356" s="103"/>
      <c r="N356" s="157">
        <f>MouserListTable12[[#This Row],['# Initial]]*MouserListTable12[[#This Row],[Price (USD)]]</f>
        <v>9.5</v>
      </c>
      <c r="O356" s="106" t="s">
        <v>445</v>
      </c>
      <c r="P356" s="103">
        <f t="shared" si="6"/>
        <v>337</v>
      </c>
      <c r="Q356" s="103" t="s">
        <v>8</v>
      </c>
      <c r="R35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474-PRT-09749</v>
      </c>
      <c r="S356" s="195" t="str">
        <f>HYPERLINK("https://www.mouser.com/ProductDetail/" &amp;MouserListTable12[[#This Row],[Mouser SKU]])</f>
        <v>https://www.mouser.com/ProductDetail/474-PRT-09749</v>
      </c>
      <c r="T356" s="121">
        <v>2</v>
      </c>
      <c r="U356" s="121">
        <v>0</v>
      </c>
      <c r="V356" s="121">
        <v>0</v>
      </c>
      <c r="W356" s="121">
        <f>MouserListTable12[[#This Row],['#/Unit]]*FilterSpecs!$C$3+MouserListTable12[[#This Row],[Extra]]</f>
        <v>10</v>
      </c>
      <c r="X356" s="121">
        <f>IF(MouserListTable12[[#This Row],[Tag]]=FilterSpecs!$F$7,MouserListTable12[[#This Row],['#/Unit]]*MouserListTable12[[#This Row],[Price (USD)]],0)</f>
        <v>1.9</v>
      </c>
      <c r="Y356" s="121">
        <f>MouserListTable12[[#This Row],[Tot '#]]*MouserListTable12[[#This Row],[Price (USD)]]</f>
        <v>9.5</v>
      </c>
      <c r="Z356"/>
    </row>
    <row r="357" spans="1:26" s="144" customFormat="1" x14ac:dyDescent="0.3">
      <c r="A357" s="106" t="s">
        <v>897</v>
      </c>
      <c r="B357" s="106" t="s">
        <v>1884</v>
      </c>
      <c r="C357" s="103" t="s">
        <v>1906</v>
      </c>
      <c r="D357" s="106" t="str">
        <f>IF(MouserListTable12[[#This Row],[Vendor]]=FilterSpecs!$A$8,MouserListTable12[[#This Row],[Mouser SKU]], MouserListTable12[[#This Row],[Supplier SKU]])</f>
        <v>474-PRT-09750</v>
      </c>
      <c r="E357" s="121">
        <f>MouserListTable12[[#This Row],[Tot '#]]-MouserListTable12[[#This Row],['# Initial]]</f>
        <v>0</v>
      </c>
      <c r="F357" s="121">
        <f>IF(AND(MouserListTable12[[#This Row],[Tag]]&lt;&gt;FilterSpecs!$F$12, MouserListTable12[[#This Row],[Tag]]&lt;&gt;FilterSpecs!$F$9), MouserListTable12[[#This Row],['#/Unit]]*FilterSpecs!$B$3+MouserListTable12[[#This Row],[Extra Initial]],0)</f>
        <v>5</v>
      </c>
      <c r="G357" s="103" t="s">
        <v>1856</v>
      </c>
      <c r="H357" s="103" t="s">
        <v>1857</v>
      </c>
      <c r="I357" s="106" t="s">
        <v>1858</v>
      </c>
      <c r="J357" s="103">
        <v>1</v>
      </c>
      <c r="K357" s="157">
        <v>0.95</v>
      </c>
      <c r="L357" s="106" t="s">
        <v>1911</v>
      </c>
      <c r="M357" s="103"/>
      <c r="N357" s="157">
        <f>MouserListTable12[[#This Row],['# Initial]]*MouserListTable12[[#This Row],[Price (USD)]]</f>
        <v>4.75</v>
      </c>
      <c r="O357" s="106" t="s">
        <v>1855</v>
      </c>
      <c r="P357" s="103">
        <f t="shared" si="6"/>
        <v>338</v>
      </c>
      <c r="Q357" s="103" t="s">
        <v>8</v>
      </c>
      <c r="R35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474-PRT-09750</v>
      </c>
      <c r="S357" s="195" t="str">
        <f>HYPERLINK("https://www.mouser.com/ProductDetail/" &amp;MouserListTable12[[#This Row],[Mouser SKU]])</f>
        <v>https://www.mouser.com/ProductDetail/474-PRT-09750</v>
      </c>
      <c r="T357" s="121">
        <v>1</v>
      </c>
      <c r="U357" s="121">
        <v>0</v>
      </c>
      <c r="V357" s="121">
        <v>0</v>
      </c>
      <c r="W357" s="121">
        <f>MouserListTable12[[#This Row],['#/Unit]]*FilterSpecs!$C$3+MouserListTable12[[#This Row],[Extra]]</f>
        <v>5</v>
      </c>
      <c r="X357" s="121">
        <f>IF(MouserListTable12[[#This Row],[Tag]]=FilterSpecs!$F$7,MouserListTable12[[#This Row],['#/Unit]]*MouserListTable12[[#This Row],[Price (USD)]],0)</f>
        <v>0.95</v>
      </c>
      <c r="Y357" s="121">
        <f>MouserListTable12[[#This Row],[Tot '#]]*MouserListTable12[[#This Row],[Price (USD)]]</f>
        <v>4.75</v>
      </c>
      <c r="Z357"/>
    </row>
    <row r="358" spans="1:26" s="144" customFormat="1" hidden="1" x14ac:dyDescent="0.3">
      <c r="A358" s="146" t="s">
        <v>897</v>
      </c>
      <c r="B358" s="146" t="s">
        <v>1884</v>
      </c>
      <c r="C358" s="103" t="s">
        <v>1906</v>
      </c>
      <c r="D358" s="106" t="str">
        <f>IF(MouserListTable12[[#This Row],[Vendor]]=FilterSpecs!$A$8,MouserListTable12[[#This Row],[Mouser SKU]], MouserListTable12[[#This Row],[Supplier SKU]])</f>
        <v>474-PRT-10501</v>
      </c>
      <c r="E358" s="121">
        <f>MouserListTable12[[#This Row],[Tot '#]]-MouserListTable12[[#This Row],['# Initial]]</f>
        <v>0</v>
      </c>
      <c r="F358" s="121">
        <f>IF(AND(MouserListTable12[[#This Row],[Tag]]&lt;&gt;FilterSpecs!$F$12, MouserListTable12[[#This Row],[Tag]]&lt;&gt;FilterSpecs!$F$9), MouserListTable12[[#This Row],['#/Unit]]*FilterSpecs!$B$3+MouserListTable12[[#This Row],[Extra Initial]],0)</f>
        <v>0</v>
      </c>
      <c r="G358" s="103" t="s">
        <v>1362</v>
      </c>
      <c r="H358" s="103" t="s">
        <v>1363</v>
      </c>
      <c r="I358" s="106" t="s">
        <v>1364</v>
      </c>
      <c r="J358" s="103"/>
      <c r="K358" s="157">
        <v>0.5</v>
      </c>
      <c r="L358" s="106" t="s">
        <v>1910</v>
      </c>
      <c r="M358" s="103"/>
      <c r="N358" s="157">
        <f>MouserListTable12[[#This Row],['# Initial]]*MouserListTable12[[#This Row],[Price (USD)]]</f>
        <v>0</v>
      </c>
      <c r="O358" s="106" t="s">
        <v>1361</v>
      </c>
      <c r="P358" s="103">
        <f t="shared" si="6"/>
        <v>339</v>
      </c>
      <c r="Q358" s="103" t="s">
        <v>8</v>
      </c>
      <c r="R35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474-PRT-10501</v>
      </c>
      <c r="S358" s="195" t="str">
        <f>HYPERLINK("https://www.mouser.com/ProductDetail/" &amp;MouserListTable12[[#This Row],[Mouser SKU]])</f>
        <v>https://www.mouser.com/ProductDetail/474-PRT-10501</v>
      </c>
      <c r="T358" s="121">
        <v>0</v>
      </c>
      <c r="U358" s="121">
        <v>0</v>
      </c>
      <c r="V358" s="121">
        <v>0</v>
      </c>
      <c r="W358" s="121">
        <f>MouserListTable12[[#This Row],['#/Unit]]*FilterSpecs!$C$3+MouserListTable12[[#This Row],[Extra]]</f>
        <v>0</v>
      </c>
      <c r="X358" s="121">
        <f>IF(MouserListTable12[[#This Row],[Tag]]=FilterSpecs!$F$7,MouserListTable12[[#This Row],['#/Unit]]*MouserListTable12[[#This Row],[Price (USD)]],0)</f>
        <v>0</v>
      </c>
      <c r="Y358" s="121">
        <f>MouserListTable12[[#This Row],[Tot '#]]*MouserListTable12[[#This Row],[Price (USD)]]</f>
        <v>0</v>
      </c>
      <c r="Z358"/>
    </row>
    <row r="359" spans="1:26" s="144" customFormat="1" hidden="1" x14ac:dyDescent="0.3">
      <c r="A359" s="146" t="s">
        <v>897</v>
      </c>
      <c r="B359" s="146" t="s">
        <v>1884</v>
      </c>
      <c r="C359" s="103" t="s">
        <v>1906</v>
      </c>
      <c r="D359" s="106" t="str">
        <f>IF(MouserListTable12[[#This Row],[Vendor]]=FilterSpecs!$A$8,MouserListTable12[[#This Row],[Mouser SKU]], MouserListTable12[[#This Row],[Supplier SKU]])</f>
        <v>474-PRT-08612</v>
      </c>
      <c r="E359" s="121">
        <f>MouserListTable12[[#This Row],[Tot '#]]-MouserListTable12[[#This Row],['# Initial]]</f>
        <v>0</v>
      </c>
      <c r="F359" s="121">
        <f>IF(AND(MouserListTable12[[#This Row],[Tag]]&lt;&gt;FilterSpecs!$F$12, MouserListTable12[[#This Row],[Tag]]&lt;&gt;FilterSpecs!$F$9), MouserListTable12[[#This Row],['#/Unit]]*FilterSpecs!$B$3+MouserListTable12[[#This Row],[Extra Initial]],0)</f>
        <v>0</v>
      </c>
      <c r="G359" s="103" t="s">
        <v>1760</v>
      </c>
      <c r="H359" s="103" t="s">
        <v>1761</v>
      </c>
      <c r="I359" s="106" t="s">
        <v>1762</v>
      </c>
      <c r="J359" s="103">
        <v>1</v>
      </c>
      <c r="K359" s="157">
        <v>0.95</v>
      </c>
      <c r="L359" s="106" t="s">
        <v>1910</v>
      </c>
      <c r="M359" s="103"/>
      <c r="N359" s="157">
        <f>MouserListTable12[[#This Row],['# Initial]]*MouserListTable12[[#This Row],[Price (USD)]]</f>
        <v>0</v>
      </c>
      <c r="O359" s="106" t="s">
        <v>1759</v>
      </c>
      <c r="P359" s="103">
        <f t="shared" si="6"/>
        <v>340</v>
      </c>
      <c r="Q359" s="103" t="s">
        <v>8</v>
      </c>
      <c r="R35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474-PRT-08612</v>
      </c>
      <c r="S359" s="195" t="str">
        <f>HYPERLINK("https://www.mouser.com/ProductDetail/" &amp;MouserListTable12[[#This Row],[Mouser SKU]])</f>
        <v>https://www.mouser.com/ProductDetail/474-PRT-08612</v>
      </c>
      <c r="T359" s="121">
        <v>0</v>
      </c>
      <c r="U359" s="121">
        <v>0</v>
      </c>
      <c r="V359" s="121">
        <v>0</v>
      </c>
      <c r="W359" s="121">
        <f>MouserListTable12[[#This Row],['#/Unit]]*FilterSpecs!$C$3+MouserListTable12[[#This Row],[Extra]]</f>
        <v>0</v>
      </c>
      <c r="X359" s="121">
        <f>IF(MouserListTable12[[#This Row],[Tag]]=FilterSpecs!$F$7,MouserListTable12[[#This Row],['#/Unit]]*MouserListTable12[[#This Row],[Price (USD)]],0)</f>
        <v>0</v>
      </c>
      <c r="Y359" s="121">
        <f>MouserListTable12[[#This Row],[Tot '#]]*MouserListTable12[[#This Row],[Price (USD)]]</f>
        <v>0</v>
      </c>
      <c r="Z359"/>
    </row>
    <row r="360" spans="1:26" s="144" customFormat="1" hidden="1" x14ac:dyDescent="0.3">
      <c r="A360" s="146" t="s">
        <v>897</v>
      </c>
      <c r="B360" s="146" t="s">
        <v>1884</v>
      </c>
      <c r="C360" s="103" t="s">
        <v>1906</v>
      </c>
      <c r="D360" s="106" t="str">
        <f>IF(MouserListTable12[[#This Row],[Vendor]]=FilterSpecs!$A$8,MouserListTable12[[#This Row],[Mouser SKU]], MouserListTable12[[#This Row],[Supplier SKU]])</f>
        <v>474-PRT-08613</v>
      </c>
      <c r="E360" s="121">
        <f>MouserListTable12[[#This Row],[Tot '#]]-MouserListTable12[[#This Row],['# Initial]]</f>
        <v>0</v>
      </c>
      <c r="F360" s="121">
        <f>IF(AND(MouserListTable12[[#This Row],[Tag]]&lt;&gt;FilterSpecs!$F$12, MouserListTable12[[#This Row],[Tag]]&lt;&gt;FilterSpecs!$F$9), MouserListTable12[[#This Row],['#/Unit]]*FilterSpecs!$B$3+MouserListTable12[[#This Row],[Extra Initial]],0)</f>
        <v>0</v>
      </c>
      <c r="G360" s="103" t="s">
        <v>1764</v>
      </c>
      <c r="H360" s="103" t="s">
        <v>1765</v>
      </c>
      <c r="I360" s="106" t="s">
        <v>1766</v>
      </c>
      <c r="J360" s="103">
        <v>1</v>
      </c>
      <c r="K360" s="157">
        <v>0.95</v>
      </c>
      <c r="L360" s="106" t="s">
        <v>1910</v>
      </c>
      <c r="M360" s="103"/>
      <c r="N360" s="157">
        <f>MouserListTable12[[#This Row],['# Initial]]*MouserListTable12[[#This Row],[Price (USD)]]</f>
        <v>0</v>
      </c>
      <c r="O360" s="106" t="s">
        <v>1763</v>
      </c>
      <c r="P360" s="103">
        <f t="shared" si="6"/>
        <v>341</v>
      </c>
      <c r="Q360" s="103" t="s">
        <v>8</v>
      </c>
      <c r="R36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474-PRT-08613</v>
      </c>
      <c r="S360" s="195" t="str">
        <f>HYPERLINK("https://www.mouser.com/ProductDetail/" &amp;MouserListTable12[[#This Row],[Mouser SKU]])</f>
        <v>https://www.mouser.com/ProductDetail/474-PRT-08613</v>
      </c>
      <c r="T360" s="121">
        <v>0</v>
      </c>
      <c r="U360" s="121">
        <v>0</v>
      </c>
      <c r="V360" s="121">
        <v>0</v>
      </c>
      <c r="W360" s="121">
        <f>MouserListTable12[[#This Row],['#/Unit]]*FilterSpecs!$C$3+MouserListTable12[[#This Row],[Extra]]</f>
        <v>0</v>
      </c>
      <c r="X360" s="121">
        <f>IF(MouserListTable12[[#This Row],[Tag]]=FilterSpecs!$F$7,MouserListTable12[[#This Row],['#/Unit]]*MouserListTable12[[#This Row],[Price (USD)]],0)</f>
        <v>0</v>
      </c>
      <c r="Y360" s="121">
        <f>MouserListTable12[[#This Row],[Tot '#]]*MouserListTable12[[#This Row],[Price (USD)]]</f>
        <v>0</v>
      </c>
      <c r="Z360"/>
    </row>
    <row r="361" spans="1:26" s="144" customFormat="1" hidden="1" x14ac:dyDescent="0.3">
      <c r="A361" s="106" t="s">
        <v>897</v>
      </c>
      <c r="B361" s="106" t="s">
        <v>1884</v>
      </c>
      <c r="C361" s="103" t="s">
        <v>1906</v>
      </c>
      <c r="D361" s="106" t="str">
        <f>IF(MouserListTable12[[#This Row],[Vendor]]=FilterSpecs!$A$8,MouserListTable12[[#This Row],[Mouser SKU]], MouserListTable12[[#This Row],[Supplier SKU]])</f>
        <v>485-1862</v>
      </c>
      <c r="E361" s="121">
        <f>MouserListTable12[[#This Row],[Tot '#]]-MouserListTable12[[#This Row],['# Initial]]</f>
        <v>0</v>
      </c>
      <c r="F361" s="121">
        <f>IF(AND(MouserListTable12[[#This Row],[Tag]]&lt;&gt;FilterSpecs!$F$12, MouserListTable12[[#This Row],[Tag]]&lt;&gt;FilterSpecs!$F$9), MouserListTable12[[#This Row],['#/Unit]]*FilterSpecs!$B$3+MouserListTable12[[#This Row],[Extra Initial]],0)</f>
        <v>0</v>
      </c>
      <c r="G361" s="103"/>
      <c r="H361" s="103"/>
      <c r="I361" s="146" t="s">
        <v>2145</v>
      </c>
      <c r="J361" s="146"/>
      <c r="K361" s="158">
        <v>1.5</v>
      </c>
      <c r="L361" s="146" t="s">
        <v>1910</v>
      </c>
      <c r="M361" s="146"/>
      <c r="N361" s="157">
        <f>MouserListTable12[[#This Row],['# Initial]]*MouserListTable12[[#This Row],[Price (USD)]]</f>
        <v>0</v>
      </c>
      <c r="O361" s="106" t="s">
        <v>2144</v>
      </c>
      <c r="P361" s="103">
        <f t="shared" si="6"/>
        <v>342</v>
      </c>
      <c r="Q361" s="103" t="s">
        <v>1898</v>
      </c>
      <c r="R36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485-1862</v>
      </c>
      <c r="S361" s="195" t="str">
        <f>HYPERLINK("https://www.mouser.com/ProductDetail/" &amp;MouserListTable12[[#This Row],[Mouser SKU]])</f>
        <v>https://www.mouser.com/ProductDetail/485-1862</v>
      </c>
      <c r="T361" s="121">
        <v>0</v>
      </c>
      <c r="U361" s="121">
        <v>0</v>
      </c>
      <c r="V361" s="121">
        <v>0</v>
      </c>
      <c r="W361" s="121">
        <f>MouserListTable12[[#This Row],['#/Unit]]*FilterSpecs!$C$3+MouserListTable12[[#This Row],[Extra]]</f>
        <v>0</v>
      </c>
      <c r="X361" s="121">
        <f>IF(MouserListTable12[[#This Row],[Tag]]=FilterSpecs!$F$7,MouserListTable12[[#This Row],['#/Unit]]*MouserListTable12[[#This Row],[Price (USD)]],0)</f>
        <v>0</v>
      </c>
      <c r="Y361" s="121">
        <f>MouserListTable12[[#This Row],[Tot '#]]*MouserListTable12[[#This Row],[Price (USD)]]</f>
        <v>0</v>
      </c>
      <c r="Z361"/>
    </row>
    <row r="362" spans="1:26" s="144" customFormat="1" hidden="1" x14ac:dyDescent="0.3">
      <c r="A362" s="106" t="s">
        <v>897</v>
      </c>
      <c r="B362" s="106" t="s">
        <v>1884</v>
      </c>
      <c r="C362" s="103" t="s">
        <v>1906</v>
      </c>
      <c r="D362" s="106" t="str">
        <f>IF(MouserListTable12[[#This Row],[Vendor]]=FilterSpecs!$A$8,MouserListTable12[[#This Row],[Mouser SKU]], MouserListTable12[[#This Row],[Supplier SKU]])</f>
        <v>485-1769</v>
      </c>
      <c r="E362" s="121">
        <f>MouserListTable12[[#This Row],[Tot '#]]-MouserListTable12[[#This Row],['# Initial]]</f>
        <v>0</v>
      </c>
      <c r="F362" s="121">
        <f>IF(AND(MouserListTable12[[#This Row],[Tag]]&lt;&gt;FilterSpecs!$F$12, MouserListTable12[[#This Row],[Tag]]&lt;&gt;FilterSpecs!$F$9), MouserListTable12[[#This Row],['#/Unit]]*FilterSpecs!$B$3+MouserListTable12[[#This Row],[Extra Initial]],0)</f>
        <v>0</v>
      </c>
      <c r="G362" s="103"/>
      <c r="H362" s="103"/>
      <c r="I362" s="146" t="s">
        <v>2147</v>
      </c>
      <c r="J362" s="146"/>
      <c r="K362" s="158">
        <v>0.75</v>
      </c>
      <c r="L362" s="146" t="s">
        <v>1910</v>
      </c>
      <c r="M362" s="146"/>
      <c r="N362" s="157">
        <f>MouserListTable12[[#This Row],['# Initial]]*MouserListTable12[[#This Row],[Price (USD)]]</f>
        <v>0</v>
      </c>
      <c r="O362" s="106" t="s">
        <v>2146</v>
      </c>
      <c r="P362" s="103">
        <f t="shared" si="6"/>
        <v>343</v>
      </c>
      <c r="Q362" s="103" t="s">
        <v>1898</v>
      </c>
      <c r="R36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485-1769</v>
      </c>
      <c r="S362" s="195" t="str">
        <f>HYPERLINK("https://www.mouser.com/ProductDetail/" &amp;MouserListTable12[[#This Row],[Mouser SKU]])</f>
        <v>https://www.mouser.com/ProductDetail/485-1769</v>
      </c>
      <c r="T362" s="121">
        <v>0</v>
      </c>
      <c r="U362" s="121">
        <v>0</v>
      </c>
      <c r="V362" s="121">
        <v>0</v>
      </c>
      <c r="W362" s="121">
        <f>MouserListTable12[[#This Row],['#/Unit]]*FilterSpecs!$C$3+MouserListTable12[[#This Row],[Extra]]</f>
        <v>0</v>
      </c>
      <c r="X362" s="121">
        <f>IF(MouserListTable12[[#This Row],[Tag]]=FilterSpecs!$F$7,MouserListTable12[[#This Row],['#/Unit]]*MouserListTable12[[#This Row],[Price (USD)]],0)</f>
        <v>0</v>
      </c>
      <c r="Y362" s="121">
        <f>MouserListTable12[[#This Row],[Tot '#]]*MouserListTable12[[#This Row],[Price (USD)]]</f>
        <v>0</v>
      </c>
      <c r="Z362"/>
    </row>
    <row r="363" spans="1:26" s="144" customFormat="1" hidden="1" x14ac:dyDescent="0.3">
      <c r="A363" s="106" t="s">
        <v>897</v>
      </c>
      <c r="B363" s="106" t="s">
        <v>1884</v>
      </c>
      <c r="C363" s="103" t="s">
        <v>1906</v>
      </c>
      <c r="D363" s="106" t="str">
        <f>IF(MouserListTable12[[#This Row],[Vendor]]=FilterSpecs!$A$8,MouserListTable12[[#This Row],[Mouser SKU]], MouserListTable12[[#This Row],[Supplier SKU]])</f>
        <v>485-1863</v>
      </c>
      <c r="E363" s="121">
        <f>MouserListTable12[[#This Row],[Tot '#]]-MouserListTable12[[#This Row],['# Initial]]</f>
        <v>0</v>
      </c>
      <c r="F363" s="121">
        <f>IF(AND(MouserListTable12[[#This Row],[Tag]]&lt;&gt;FilterSpecs!$F$12, MouserListTable12[[#This Row],[Tag]]&lt;&gt;FilterSpecs!$F$9), MouserListTable12[[#This Row],['#/Unit]]*FilterSpecs!$B$3+MouserListTable12[[#This Row],[Extra Initial]],0)</f>
        <v>0</v>
      </c>
      <c r="G363" s="103"/>
      <c r="H363" s="103"/>
      <c r="I363" s="146" t="s">
        <v>2149</v>
      </c>
      <c r="J363" s="146"/>
      <c r="K363" s="158">
        <v>2.5</v>
      </c>
      <c r="L363" s="146" t="s">
        <v>1910</v>
      </c>
      <c r="M363" s="146"/>
      <c r="N363" s="157">
        <f>MouserListTable12[[#This Row],['# Initial]]*MouserListTable12[[#This Row],[Price (USD)]]</f>
        <v>0</v>
      </c>
      <c r="O363" s="106" t="s">
        <v>2148</v>
      </c>
      <c r="P363" s="103">
        <f t="shared" si="6"/>
        <v>344</v>
      </c>
      <c r="Q363" s="103" t="s">
        <v>1898</v>
      </c>
      <c r="R36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485-1863</v>
      </c>
      <c r="S363" s="195" t="str">
        <f>HYPERLINK("https://www.mouser.com/ProductDetail/" &amp;MouserListTable12[[#This Row],[Mouser SKU]])</f>
        <v>https://www.mouser.com/ProductDetail/485-1863</v>
      </c>
      <c r="T363" s="121">
        <v>0</v>
      </c>
      <c r="U363" s="121">
        <v>0</v>
      </c>
      <c r="V363" s="121">
        <v>0</v>
      </c>
      <c r="W363" s="121">
        <f>MouserListTable12[[#This Row],['#/Unit]]*FilterSpecs!$C$3+MouserListTable12[[#This Row],[Extra]]</f>
        <v>0</v>
      </c>
      <c r="X363" s="121">
        <f>IF(MouserListTable12[[#This Row],[Tag]]=FilterSpecs!$F$7,MouserListTable12[[#This Row],['#/Unit]]*MouserListTable12[[#This Row],[Price (USD)]],0)</f>
        <v>0</v>
      </c>
      <c r="Y363" s="121">
        <f>MouserListTable12[[#This Row],[Tot '#]]*MouserListTable12[[#This Row],[Price (USD)]]</f>
        <v>0</v>
      </c>
      <c r="Z363"/>
    </row>
    <row r="364" spans="1:26" s="144" customFormat="1" hidden="1" x14ac:dyDescent="0.3">
      <c r="A364" s="146" t="s">
        <v>897</v>
      </c>
      <c r="B364" s="146" t="s">
        <v>1886</v>
      </c>
      <c r="C364" s="103" t="s">
        <v>1906</v>
      </c>
      <c r="D364" s="106" t="str">
        <f>IF(MouserListTable12[[#This Row],[Vendor]]=FilterSpecs!$A$8,MouserListTable12[[#This Row],[Mouser SKU]], MouserListTable12[[#This Row],[Supplier SKU]])</f>
        <v>474-PRT-08233</v>
      </c>
      <c r="E364" s="121">
        <f>MouserListTable12[[#This Row],[Tot '#]]-MouserListTable12[[#This Row],['# Initial]]</f>
        <v>0</v>
      </c>
      <c r="F364" s="121">
        <f>IF(AND(MouserListTable12[[#This Row],[Tag]]&lt;&gt;FilterSpecs!$F$12, MouserListTable12[[#This Row],[Tag]]&lt;&gt;FilterSpecs!$F$9), MouserListTable12[[#This Row],['#/Unit]]*FilterSpecs!$B$3+MouserListTable12[[#This Row],[Extra Initial]],0)</f>
        <v>0</v>
      </c>
      <c r="G364" s="103" t="s">
        <v>1366</v>
      </c>
      <c r="H364" s="103" t="s">
        <v>1367</v>
      </c>
      <c r="I364" s="106" t="s">
        <v>1368</v>
      </c>
      <c r="J364" s="103">
        <v>1</v>
      </c>
      <c r="K364" s="157">
        <v>0.45</v>
      </c>
      <c r="L364" s="106" t="s">
        <v>1910</v>
      </c>
      <c r="M364" s="103"/>
      <c r="N364" s="157">
        <f>MouserListTable12[[#This Row],['# Initial]]*MouserListTable12[[#This Row],[Price (USD)]]</f>
        <v>0</v>
      </c>
      <c r="O364" s="106" t="s">
        <v>1365</v>
      </c>
      <c r="P364" s="103">
        <f t="shared" si="6"/>
        <v>345</v>
      </c>
      <c r="Q364" s="103" t="s">
        <v>8</v>
      </c>
      <c r="R36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474-PRT-08233</v>
      </c>
      <c r="S364" s="195" t="str">
        <f>HYPERLINK("https://www.mouser.com/ProductDetail/" &amp;MouserListTable12[[#This Row],[Mouser SKU]])</f>
        <v>https://www.mouser.com/ProductDetail/474-PRT-08233</v>
      </c>
      <c r="T364" s="121">
        <v>0</v>
      </c>
      <c r="U364" s="121">
        <v>0</v>
      </c>
      <c r="V364" s="121">
        <v>0</v>
      </c>
      <c r="W364" s="121">
        <f>MouserListTable12[[#This Row],['#/Unit]]*FilterSpecs!$C$3+MouserListTable12[[#This Row],[Extra]]</f>
        <v>0</v>
      </c>
      <c r="X364" s="121">
        <f>IF(MouserListTable12[[#This Row],[Tag]]=FilterSpecs!$F$7,MouserListTable12[[#This Row],['#/Unit]]*MouserListTable12[[#This Row],[Price (USD)]],0)</f>
        <v>0</v>
      </c>
      <c r="Y364" s="121">
        <f>MouserListTable12[[#This Row],[Tot '#]]*MouserListTable12[[#This Row],[Price (USD)]]</f>
        <v>0</v>
      </c>
      <c r="Z364"/>
    </row>
    <row r="365" spans="1:26" s="144" customFormat="1" hidden="1" x14ac:dyDescent="0.3">
      <c r="A365" s="146" t="s">
        <v>897</v>
      </c>
      <c r="B365" s="146" t="s">
        <v>1886</v>
      </c>
      <c r="C365" s="103" t="s">
        <v>1906</v>
      </c>
      <c r="D365" s="106" t="str">
        <f>IF(MouserListTable12[[#This Row],[Vendor]]=FilterSpecs!$A$8,MouserListTable12[[#This Row],[Mouser SKU]], MouserListTable12[[#This Row],[Supplier SKU]])</f>
        <v>474-PRT-08095</v>
      </c>
      <c r="E365" s="121">
        <f>MouserListTable12[[#This Row],[Tot '#]]-MouserListTable12[[#This Row],['# Initial]]</f>
        <v>0</v>
      </c>
      <c r="F365" s="121">
        <f>IF(AND(MouserListTable12[[#This Row],[Tag]]&lt;&gt;FilterSpecs!$F$12, MouserListTable12[[#This Row],[Tag]]&lt;&gt;FilterSpecs!$F$9), MouserListTable12[[#This Row],['#/Unit]]*FilterSpecs!$B$3+MouserListTable12[[#This Row],[Extra Initial]],0)</f>
        <v>0</v>
      </c>
      <c r="G365" s="103" t="s">
        <v>1374</v>
      </c>
      <c r="H365" s="103" t="s">
        <v>1375</v>
      </c>
      <c r="I365" s="106" t="s">
        <v>1376</v>
      </c>
      <c r="J365" s="103">
        <v>1</v>
      </c>
      <c r="K365" s="157">
        <v>0.45</v>
      </c>
      <c r="L365" s="106" t="s">
        <v>1910</v>
      </c>
      <c r="M365" s="103"/>
      <c r="N365" s="157">
        <f>MouserListTable12[[#This Row],['# Initial]]*MouserListTable12[[#This Row],[Price (USD)]]</f>
        <v>0</v>
      </c>
      <c r="O365" s="106" t="s">
        <v>1373</v>
      </c>
      <c r="P365" s="103">
        <f t="shared" si="6"/>
        <v>346</v>
      </c>
      <c r="Q365" s="103" t="s">
        <v>8</v>
      </c>
      <c r="R36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474-PRT-08095</v>
      </c>
      <c r="S365" s="195" t="str">
        <f>HYPERLINK("https://www.mouser.com/ProductDetail/" &amp;MouserListTable12[[#This Row],[Mouser SKU]])</f>
        <v>https://www.mouser.com/ProductDetail/474-PRT-08095</v>
      </c>
      <c r="T365" s="121">
        <v>0</v>
      </c>
      <c r="U365" s="121">
        <v>0</v>
      </c>
      <c r="V365" s="121">
        <v>0</v>
      </c>
      <c r="W365" s="121">
        <f>MouserListTable12[[#This Row],['#/Unit]]*FilterSpecs!$C$3+MouserListTable12[[#This Row],[Extra]]</f>
        <v>0</v>
      </c>
      <c r="X365" s="121">
        <f>IF(MouserListTable12[[#This Row],[Tag]]=FilterSpecs!$F$7,MouserListTable12[[#This Row],['#/Unit]]*MouserListTable12[[#This Row],[Price (USD)]],0)</f>
        <v>0</v>
      </c>
      <c r="Y365" s="121">
        <f>MouserListTable12[[#This Row],[Tot '#]]*MouserListTable12[[#This Row],[Price (USD)]]</f>
        <v>0</v>
      </c>
      <c r="Z365"/>
    </row>
    <row r="366" spans="1:26" s="144" customFormat="1" hidden="1" x14ac:dyDescent="0.3">
      <c r="A366" s="106" t="s">
        <v>897</v>
      </c>
      <c r="B366" s="106" t="s">
        <v>1886</v>
      </c>
      <c r="C366" s="103" t="s">
        <v>1906</v>
      </c>
      <c r="D366" s="106" t="str">
        <f>IF(MouserListTable12[[#This Row],[Vendor]]=FilterSpecs!$A$8,MouserListTable12[[#This Row],[Mouser SKU]], MouserListTable12[[#This Row],[Supplier SKU]])</f>
        <v>474-PRT-08232</v>
      </c>
      <c r="E366" s="121">
        <f>MouserListTable12[[#This Row],[Tot '#]]-MouserListTable12[[#This Row],['# Initial]]</f>
        <v>0</v>
      </c>
      <c r="F366" s="121">
        <f>IF(AND(MouserListTable12[[#This Row],[Tag]]&lt;&gt;FilterSpecs!$F$12, MouserListTable12[[#This Row],[Tag]]&lt;&gt;FilterSpecs!$F$9), MouserListTable12[[#This Row],['#/Unit]]*FilterSpecs!$B$3+MouserListTable12[[#This Row],[Extra Initial]],0)</f>
        <v>16</v>
      </c>
      <c r="G366" s="103" t="s">
        <v>1382</v>
      </c>
      <c r="H366" s="103" t="s">
        <v>1383</v>
      </c>
      <c r="I366" s="106" t="s">
        <v>1384</v>
      </c>
      <c r="J366" s="103">
        <v>1</v>
      </c>
      <c r="K366" s="157">
        <v>0.45</v>
      </c>
      <c r="L366" s="106" t="s">
        <v>1911</v>
      </c>
      <c r="M366" s="103"/>
      <c r="N366" s="157">
        <f>MouserListTable12[[#This Row],['# Initial]]*MouserListTable12[[#This Row],[Price (USD)]]</f>
        <v>7.2</v>
      </c>
      <c r="O366" s="106" t="s">
        <v>1381</v>
      </c>
      <c r="P366" s="103">
        <f t="shared" si="6"/>
        <v>347</v>
      </c>
      <c r="Q366" s="103" t="s">
        <v>8</v>
      </c>
      <c r="R36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474-PRT-08232</v>
      </c>
      <c r="S366" s="195" t="str">
        <f>HYPERLINK("https://www.mouser.com/ProductDetail/" &amp;MouserListTable12[[#This Row],[Mouser SKU]])</f>
        <v>https://www.mouser.com/ProductDetail/474-PRT-08232</v>
      </c>
      <c r="T366" s="121">
        <v>3</v>
      </c>
      <c r="U366" s="121">
        <v>1</v>
      </c>
      <c r="V366" s="121">
        <v>1</v>
      </c>
      <c r="W366" s="121">
        <f>MouserListTable12[[#This Row],['#/Unit]]*FilterSpecs!$C$3+MouserListTable12[[#This Row],[Extra]]</f>
        <v>16</v>
      </c>
      <c r="X366" s="121">
        <f>IF(MouserListTable12[[#This Row],[Tag]]=FilterSpecs!$F$7,MouserListTable12[[#This Row],['#/Unit]]*MouserListTable12[[#This Row],[Price (USD)]],0)</f>
        <v>1.35</v>
      </c>
      <c r="Y366" s="121">
        <f>MouserListTable12[[#This Row],[Tot '#]]*MouserListTable12[[#This Row],[Price (USD)]]</f>
        <v>7.2</v>
      </c>
      <c r="Z366"/>
    </row>
    <row r="367" spans="1:26" s="144" customFormat="1" hidden="1" x14ac:dyDescent="0.3">
      <c r="A367" s="106" t="s">
        <v>897</v>
      </c>
      <c r="B367" s="106" t="s">
        <v>1886</v>
      </c>
      <c r="C367" s="103" t="s">
        <v>1906</v>
      </c>
      <c r="D367" s="106" t="str">
        <f>IF(MouserListTable12[[#This Row],[Vendor]]=FilterSpecs!$A$8,MouserListTable12[[#This Row],[Mouser SKU]], MouserListTable12[[#This Row],[Supplier SKU]])</f>
        <v>474-PRT-08096</v>
      </c>
      <c r="E367" s="121">
        <f>MouserListTable12[[#This Row],[Tot '#]]-MouserListTable12[[#This Row],['# Initial]]</f>
        <v>0</v>
      </c>
      <c r="F367" s="121">
        <f>IF(AND(MouserListTable12[[#This Row],[Tag]]&lt;&gt;FilterSpecs!$F$12, MouserListTable12[[#This Row],[Tag]]&lt;&gt;FilterSpecs!$F$9), MouserListTable12[[#This Row],['#/Unit]]*FilterSpecs!$B$3+MouserListTable12[[#This Row],[Extra Initial]],0)</f>
        <v>16</v>
      </c>
      <c r="G367" s="103" t="s">
        <v>1386</v>
      </c>
      <c r="H367" s="103" t="s">
        <v>1387</v>
      </c>
      <c r="I367" s="106" t="s">
        <v>1388</v>
      </c>
      <c r="J367" s="103">
        <v>1</v>
      </c>
      <c r="K367" s="157">
        <v>0.45</v>
      </c>
      <c r="L367" s="106" t="s">
        <v>1911</v>
      </c>
      <c r="M367" s="103"/>
      <c r="N367" s="157">
        <f>MouserListTable12[[#This Row],['# Initial]]*MouserListTable12[[#This Row],[Price (USD)]]</f>
        <v>7.2</v>
      </c>
      <c r="O367" s="106" t="s">
        <v>1385</v>
      </c>
      <c r="P367" s="103">
        <f t="shared" si="6"/>
        <v>348</v>
      </c>
      <c r="Q367" s="103" t="s">
        <v>8</v>
      </c>
      <c r="R36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474-PRT-08096</v>
      </c>
      <c r="S367" s="195" t="str">
        <f>HYPERLINK("https://www.mouser.com/ProductDetail/" &amp;MouserListTable12[[#This Row],[Mouser SKU]])</f>
        <v>https://www.mouser.com/ProductDetail/474-PRT-08096</v>
      </c>
      <c r="T367" s="121">
        <v>3</v>
      </c>
      <c r="U367" s="121">
        <v>1</v>
      </c>
      <c r="V367" s="121">
        <v>1</v>
      </c>
      <c r="W367" s="121">
        <f>MouserListTable12[[#This Row],['#/Unit]]*FilterSpecs!$C$3+MouserListTable12[[#This Row],[Extra]]</f>
        <v>16</v>
      </c>
      <c r="X367" s="121">
        <f>IF(MouserListTable12[[#This Row],[Tag]]=FilterSpecs!$F$7,MouserListTable12[[#This Row],['#/Unit]]*MouserListTable12[[#This Row],[Price (USD)]],0)</f>
        <v>1.35</v>
      </c>
      <c r="Y367" s="121">
        <f>MouserListTable12[[#This Row],[Tot '#]]*MouserListTable12[[#This Row],[Price (USD)]]</f>
        <v>7.2</v>
      </c>
      <c r="Z367"/>
    </row>
    <row r="368" spans="1:26" s="144" customFormat="1" hidden="1" x14ac:dyDescent="0.3">
      <c r="A368" s="106" t="s">
        <v>897</v>
      </c>
      <c r="B368" s="106" t="s">
        <v>1886</v>
      </c>
      <c r="C368" s="103" t="s">
        <v>1906</v>
      </c>
      <c r="D368" s="106" t="str">
        <f>IF(MouserListTable12[[#This Row],[Vendor]]=FilterSpecs!$A$8,MouserListTable12[[#This Row],[Mouser SKU]], MouserListTable12[[#This Row],[Supplier SKU]])</f>
        <v>474-PRT-08231</v>
      </c>
      <c r="E368" s="121">
        <f>MouserListTable12[[#This Row],[Tot '#]]-MouserListTable12[[#This Row],['# Initial]]</f>
        <v>0</v>
      </c>
      <c r="F368" s="121">
        <f>IF(AND(MouserListTable12[[#This Row],[Tag]]&lt;&gt;FilterSpecs!$F$12, MouserListTable12[[#This Row],[Tag]]&lt;&gt;FilterSpecs!$F$9), MouserListTable12[[#This Row],['#/Unit]]*FilterSpecs!$B$3+MouserListTable12[[#This Row],[Extra Initial]],0)</f>
        <v>16</v>
      </c>
      <c r="G368" s="103" t="s">
        <v>1370</v>
      </c>
      <c r="H368" s="103" t="s">
        <v>1371</v>
      </c>
      <c r="I368" s="106" t="s">
        <v>1372</v>
      </c>
      <c r="J368" s="103">
        <v>1</v>
      </c>
      <c r="K368" s="157">
        <v>0.45</v>
      </c>
      <c r="L368" s="106" t="s">
        <v>1911</v>
      </c>
      <c r="M368" s="103"/>
      <c r="N368" s="157">
        <f>MouserListTable12[[#This Row],['# Initial]]*MouserListTable12[[#This Row],[Price (USD)]]</f>
        <v>7.2</v>
      </c>
      <c r="O368" s="106" t="s">
        <v>1369</v>
      </c>
      <c r="P368" s="103">
        <f t="shared" si="6"/>
        <v>349</v>
      </c>
      <c r="Q368" s="103" t="s">
        <v>8</v>
      </c>
      <c r="R36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474-PRT-08231</v>
      </c>
      <c r="S368" s="195" t="str">
        <f>HYPERLINK("https://www.mouser.com/ProductDetail/" &amp;MouserListTable12[[#This Row],[Mouser SKU]])</f>
        <v>https://www.mouser.com/ProductDetail/474-PRT-08231</v>
      </c>
      <c r="T368" s="121">
        <v>3</v>
      </c>
      <c r="U368" s="121">
        <v>1</v>
      </c>
      <c r="V368" s="121">
        <v>1</v>
      </c>
      <c r="W368" s="121">
        <f>MouserListTable12[[#This Row],['#/Unit]]*FilterSpecs!$C$3+MouserListTable12[[#This Row],[Extra]]</f>
        <v>16</v>
      </c>
      <c r="X368" s="121">
        <f>IF(MouserListTable12[[#This Row],[Tag]]=FilterSpecs!$F$7,MouserListTable12[[#This Row],['#/Unit]]*MouserListTable12[[#This Row],[Price (USD)]],0)</f>
        <v>1.35</v>
      </c>
      <c r="Y368" s="121">
        <f>MouserListTable12[[#This Row],[Tot '#]]*MouserListTable12[[#This Row],[Price (USD)]]</f>
        <v>7.2</v>
      </c>
      <c r="Z368"/>
    </row>
    <row r="369" spans="1:26" s="144" customFormat="1" hidden="1" x14ac:dyDescent="0.3">
      <c r="A369" s="106" t="s">
        <v>897</v>
      </c>
      <c r="B369" s="106" t="s">
        <v>1886</v>
      </c>
      <c r="C369" s="103" t="s">
        <v>1906</v>
      </c>
      <c r="D369" s="106" t="str">
        <f>IF(MouserListTable12[[#This Row],[Vendor]]=FilterSpecs!$A$8,MouserListTable12[[#This Row],[Mouser SKU]], MouserListTable12[[#This Row],[Supplier SKU]])</f>
        <v>474-PRT-08097</v>
      </c>
      <c r="E369" s="121">
        <f>MouserListTable12[[#This Row],[Tot '#]]-MouserListTable12[[#This Row],['# Initial]]</f>
        <v>0</v>
      </c>
      <c r="F369" s="121">
        <f>IF(AND(MouserListTable12[[#This Row],[Tag]]&lt;&gt;FilterSpecs!$F$12, MouserListTable12[[#This Row],[Tag]]&lt;&gt;FilterSpecs!$F$9), MouserListTable12[[#This Row],['#/Unit]]*FilterSpecs!$B$3+MouserListTable12[[#This Row],[Extra Initial]],0)</f>
        <v>16</v>
      </c>
      <c r="G369" s="103" t="s">
        <v>1358</v>
      </c>
      <c r="H369" s="103" t="s">
        <v>1359</v>
      </c>
      <c r="I369" s="106" t="s">
        <v>1360</v>
      </c>
      <c r="J369" s="103">
        <v>1</v>
      </c>
      <c r="K369" s="157">
        <v>0.45</v>
      </c>
      <c r="L369" s="106" t="s">
        <v>1911</v>
      </c>
      <c r="M369" s="103"/>
      <c r="N369" s="157">
        <f>MouserListTable12[[#This Row],['# Initial]]*MouserListTable12[[#This Row],[Price (USD)]]</f>
        <v>7.2</v>
      </c>
      <c r="O369" s="106" t="s">
        <v>1357</v>
      </c>
      <c r="P369" s="103">
        <f t="shared" si="6"/>
        <v>350</v>
      </c>
      <c r="Q369" s="103" t="s">
        <v>8</v>
      </c>
      <c r="R36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474-PRT-08097</v>
      </c>
      <c r="S369" s="195" t="str">
        <f>HYPERLINK("https://www.mouser.com/ProductDetail/" &amp;MouserListTable12[[#This Row],[Mouser SKU]])</f>
        <v>https://www.mouser.com/ProductDetail/474-PRT-08097</v>
      </c>
      <c r="T369" s="121">
        <v>3</v>
      </c>
      <c r="U369" s="121">
        <v>1</v>
      </c>
      <c r="V369" s="121">
        <v>1</v>
      </c>
      <c r="W369" s="121">
        <f>MouserListTable12[[#This Row],['#/Unit]]*FilterSpecs!$C$3+MouserListTable12[[#This Row],[Extra]]</f>
        <v>16</v>
      </c>
      <c r="X369" s="121">
        <f>IF(MouserListTable12[[#This Row],[Tag]]=FilterSpecs!$F$7,MouserListTable12[[#This Row],['#/Unit]]*MouserListTable12[[#This Row],[Price (USD)]],0)</f>
        <v>1.35</v>
      </c>
      <c r="Y369" s="121">
        <f>MouserListTable12[[#This Row],[Tot '#]]*MouserListTable12[[#This Row],[Price (USD)]]</f>
        <v>7.2</v>
      </c>
      <c r="Z369"/>
    </row>
    <row r="370" spans="1:26" s="144" customFormat="1" hidden="1" x14ac:dyDescent="0.3">
      <c r="A370" s="106" t="s">
        <v>897</v>
      </c>
      <c r="B370" s="106" t="s">
        <v>1886</v>
      </c>
      <c r="C370" s="103" t="s">
        <v>1906</v>
      </c>
      <c r="D370" s="106" t="str">
        <f>IF(MouserListTable12[[#This Row],[Vendor]]=FilterSpecs!$A$8,MouserListTable12[[#This Row],[Mouser SKU]], MouserListTable12[[#This Row],[Supplier SKU]])</f>
        <v>474-PRT-08100</v>
      </c>
      <c r="E370" s="121">
        <f>MouserListTable12[[#This Row],[Tot '#]]-MouserListTable12[[#This Row],['# Initial]]</f>
        <v>0</v>
      </c>
      <c r="F370" s="121">
        <f>IF(AND(MouserListTable12[[#This Row],[Tag]]&lt;&gt;FilterSpecs!$F$12, MouserListTable12[[#This Row],[Tag]]&lt;&gt;FilterSpecs!$F$9), MouserListTable12[[#This Row],['#/Unit]]*FilterSpecs!$B$3+MouserListTable12[[#This Row],[Extra Initial]],0)</f>
        <v>16</v>
      </c>
      <c r="G370" s="103" t="s">
        <v>2427</v>
      </c>
      <c r="H370" s="103" t="s">
        <v>2428</v>
      </c>
      <c r="I370" s="106" t="s">
        <v>2429</v>
      </c>
      <c r="J370" s="103">
        <v>1</v>
      </c>
      <c r="K370" s="157">
        <v>1.95</v>
      </c>
      <c r="L370" s="106" t="s">
        <v>1911</v>
      </c>
      <c r="M370" s="106"/>
      <c r="N370" s="157">
        <f>MouserListTable12[[#This Row],['# Initial]]*MouserListTable12[[#This Row],[Price (USD)]]</f>
        <v>31.2</v>
      </c>
      <c r="O370" s="106" t="s">
        <v>2426</v>
      </c>
      <c r="P370" s="103">
        <f t="shared" si="6"/>
        <v>351</v>
      </c>
      <c r="Q370" s="103" t="s">
        <v>8</v>
      </c>
      <c r="R37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474-PRT-08100</v>
      </c>
      <c r="S370" s="195" t="str">
        <f>HYPERLINK("https://www.mouser.com/ProductDetail/" &amp;MouserListTable12[[#This Row],[Mouser SKU]])</f>
        <v>https://www.mouser.com/ProductDetail/474-PRT-08100</v>
      </c>
      <c r="T370" s="121">
        <v>3</v>
      </c>
      <c r="U370" s="121">
        <v>1</v>
      </c>
      <c r="V370" s="121">
        <v>1</v>
      </c>
      <c r="W370" s="121">
        <f>MouserListTable12[[#This Row],['#/Unit]]*FilterSpecs!$C$3+MouserListTable12[[#This Row],[Extra]]</f>
        <v>16</v>
      </c>
      <c r="X370" s="121">
        <f>IF(MouserListTable12[[#This Row],[Tag]]=FilterSpecs!$F$7,MouserListTable12[[#This Row],['#/Unit]]*MouserListTable12[[#This Row],[Price (USD)]],0)</f>
        <v>5.85</v>
      </c>
      <c r="Y370" s="121">
        <f>MouserListTable12[[#This Row],[Tot '#]]*MouserListTable12[[#This Row],[Price (USD)]]</f>
        <v>31.2</v>
      </c>
      <c r="Z370"/>
    </row>
    <row r="371" spans="1:26" s="146" customFormat="1" x14ac:dyDescent="0.3">
      <c r="A371" s="106" t="s">
        <v>897</v>
      </c>
      <c r="B371" s="106" t="s">
        <v>1885</v>
      </c>
      <c r="C371" s="103" t="s">
        <v>1906</v>
      </c>
      <c r="D371" s="106" t="str">
        <f>IF(MouserListTable12[[#This Row],[Vendor]]=FilterSpecs!$A$8,MouserListTable12[[#This Row],[Mouser SKU]], MouserListTable12[[#This Row],[Supplier SKU]])</f>
        <v>474-PRT-10651</v>
      </c>
      <c r="E371" s="121">
        <f>MouserListTable12[[#This Row],[Tot '#]]-MouserListTable12[[#This Row],['# Initial]]</f>
        <v>0</v>
      </c>
      <c r="F371" s="121">
        <f>IF(AND(MouserListTable12[[#This Row],[Tag]]&lt;&gt;FilterSpecs!$F$12, MouserListTable12[[#This Row],[Tag]]&lt;&gt;FilterSpecs!$F$9), MouserListTable12[[#This Row],['#/Unit]]*FilterSpecs!$B$3+MouserListTable12[[#This Row],[Extra Initial]],0)</f>
        <v>10</v>
      </c>
      <c r="G371" s="103" t="s">
        <v>1588</v>
      </c>
      <c r="H371" s="103" t="s">
        <v>1589</v>
      </c>
      <c r="I371" s="106" t="s">
        <v>1590</v>
      </c>
      <c r="J371" s="103">
        <v>1</v>
      </c>
      <c r="K371" s="157">
        <v>0.35</v>
      </c>
      <c r="L371" s="106" t="s">
        <v>1911</v>
      </c>
      <c r="M371" s="103"/>
      <c r="N371" s="157">
        <f>MouserListTable12[[#This Row],['# Initial]]*MouserListTable12[[#This Row],[Price (USD)]]</f>
        <v>3.5</v>
      </c>
      <c r="O371" s="106" t="s">
        <v>1587</v>
      </c>
      <c r="P371" s="103">
        <f t="shared" si="6"/>
        <v>352</v>
      </c>
      <c r="Q371" s="103" t="s">
        <v>8</v>
      </c>
      <c r="R37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474-PRT-10651</v>
      </c>
      <c r="S371" s="195" t="str">
        <f>HYPERLINK("https://www.mouser.com/ProductDetail/" &amp;MouserListTable12[[#This Row],[Mouser SKU]])</f>
        <v>https://www.mouser.com/ProductDetail/474-PRT-10651</v>
      </c>
      <c r="T371" s="121">
        <v>2</v>
      </c>
      <c r="U371" s="121">
        <v>0</v>
      </c>
      <c r="V371" s="121">
        <v>0</v>
      </c>
      <c r="W371" s="121">
        <f>MouserListTable12[[#This Row],['#/Unit]]*FilterSpecs!$C$3+MouserListTable12[[#This Row],[Extra]]</f>
        <v>10</v>
      </c>
      <c r="X371" s="121">
        <f>IF(MouserListTable12[[#This Row],[Tag]]=FilterSpecs!$F$7,MouserListTable12[[#This Row],['#/Unit]]*MouserListTable12[[#This Row],[Price (USD)]],0)</f>
        <v>0.7</v>
      </c>
      <c r="Y371" s="121">
        <f>MouserListTable12[[#This Row],[Tot '#]]*MouserListTable12[[#This Row],[Price (USD)]]</f>
        <v>3.5</v>
      </c>
      <c r="Z371"/>
    </row>
    <row r="372" spans="1:26" s="146" customFormat="1" x14ac:dyDescent="0.3">
      <c r="A372" s="106" t="s">
        <v>897</v>
      </c>
      <c r="B372" s="106" t="s">
        <v>1885</v>
      </c>
      <c r="C372" s="103" t="s">
        <v>1906</v>
      </c>
      <c r="D372" s="106" t="str">
        <f>IF(MouserListTable12[[#This Row],[Vendor]]=FilterSpecs!$A$8,MouserListTable12[[#This Row],[Mouser SKU]], MouserListTable12[[#This Row],[Supplier SKU]])</f>
        <v>474-PRT-10650</v>
      </c>
      <c r="E372" s="121">
        <f>MouserListTable12[[#This Row],[Tot '#]]-MouserListTable12[[#This Row],['# Initial]]</f>
        <v>0</v>
      </c>
      <c r="F372" s="121">
        <f>IF(AND(MouserListTable12[[#This Row],[Tag]]&lt;&gt;FilterSpecs!$F$12, MouserListTable12[[#This Row],[Tag]]&lt;&gt;FilterSpecs!$F$9), MouserListTable12[[#This Row],['#/Unit]]*FilterSpecs!$B$3+MouserListTable12[[#This Row],[Extra Initial]],0)</f>
        <v>10</v>
      </c>
      <c r="G372" s="103" t="s">
        <v>1584</v>
      </c>
      <c r="H372" s="103" t="s">
        <v>1585</v>
      </c>
      <c r="I372" s="106" t="s">
        <v>1586</v>
      </c>
      <c r="J372" s="103">
        <v>1</v>
      </c>
      <c r="K372" s="157">
        <v>0.5</v>
      </c>
      <c r="L372" s="106" t="s">
        <v>1911</v>
      </c>
      <c r="M372" s="103"/>
      <c r="N372" s="157">
        <f>MouserListTable12[[#This Row],['# Initial]]*MouserListTable12[[#This Row],[Price (USD)]]</f>
        <v>5</v>
      </c>
      <c r="O372" s="106" t="s">
        <v>1583</v>
      </c>
      <c r="P372" s="103">
        <f t="shared" si="6"/>
        <v>353</v>
      </c>
      <c r="Q372" s="103" t="s">
        <v>8</v>
      </c>
      <c r="R37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474-PRT-10650</v>
      </c>
      <c r="S372" s="195" t="str">
        <f>HYPERLINK("https://www.mouser.com/ProductDetail/" &amp;MouserListTable12[[#This Row],[Mouser SKU]])</f>
        <v>https://www.mouser.com/ProductDetail/474-PRT-10650</v>
      </c>
      <c r="T372" s="121">
        <v>2</v>
      </c>
      <c r="U372" s="121">
        <v>0</v>
      </c>
      <c r="V372" s="121">
        <v>0</v>
      </c>
      <c r="W372" s="121">
        <f>MouserListTable12[[#This Row],['#/Unit]]*FilterSpecs!$C$3+MouserListTable12[[#This Row],[Extra]]</f>
        <v>10</v>
      </c>
      <c r="X372" s="121">
        <f>IF(MouserListTable12[[#This Row],[Tag]]=FilterSpecs!$F$7,MouserListTable12[[#This Row],['#/Unit]]*MouserListTable12[[#This Row],[Price (USD)]],0)</f>
        <v>1</v>
      </c>
      <c r="Y372" s="121">
        <f>MouserListTable12[[#This Row],[Tot '#]]*MouserListTable12[[#This Row],[Price (USD)]]</f>
        <v>5</v>
      </c>
      <c r="Z372"/>
    </row>
    <row r="373" spans="1:26" s="146" customFormat="1" hidden="1" x14ac:dyDescent="0.3">
      <c r="A373" s="146" t="s">
        <v>897</v>
      </c>
      <c r="B373" s="146" t="s">
        <v>1888</v>
      </c>
      <c r="C373" s="103" t="s">
        <v>1906</v>
      </c>
      <c r="D373" s="106" t="str">
        <f>IF(MouserListTable12[[#This Row],[Vendor]]=FilterSpecs!$A$8,MouserListTable12[[#This Row],[Mouser SKU]], MouserListTable12[[#This Row],[Supplier SKU]])</f>
        <v>474-PRT-10571</v>
      </c>
      <c r="E373" s="121">
        <f>MouserListTable12[[#This Row],[Tot '#]]-MouserListTable12[[#This Row],['# Initial]]</f>
        <v>0</v>
      </c>
      <c r="F373" s="121">
        <f>IF(AND(MouserListTable12[[#This Row],[Tag]]&lt;&gt;FilterSpecs!$F$12, MouserListTable12[[#This Row],[Tag]]&lt;&gt;FilterSpecs!$F$9), MouserListTable12[[#This Row],['#/Unit]]*FilterSpecs!$B$3+MouserListTable12[[#This Row],[Extra Initial]],0)</f>
        <v>0</v>
      </c>
      <c r="G373" s="103" t="s">
        <v>458</v>
      </c>
      <c r="H373" s="103" t="s">
        <v>459</v>
      </c>
      <c r="I373" s="106" t="s">
        <v>460</v>
      </c>
      <c r="J373" s="103">
        <v>1</v>
      </c>
      <c r="K373" s="157">
        <v>0.75</v>
      </c>
      <c r="L373" s="106" t="s">
        <v>1910</v>
      </c>
      <c r="M373" s="103"/>
      <c r="N373" s="157">
        <f>MouserListTable12[[#This Row],['# Initial]]*MouserListTable12[[#This Row],[Price (USD)]]</f>
        <v>0</v>
      </c>
      <c r="O373" s="106" t="s">
        <v>457</v>
      </c>
      <c r="P373" s="103">
        <f t="shared" si="6"/>
        <v>354</v>
      </c>
      <c r="Q373" s="103" t="s">
        <v>8</v>
      </c>
      <c r="R37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474-PRT-10571</v>
      </c>
      <c r="S373" s="195" t="str">
        <f>HYPERLINK("https://www.mouser.com/ProductDetail/" &amp;MouserListTable12[[#This Row],[Mouser SKU]])</f>
        <v>https://www.mouser.com/ProductDetail/474-PRT-10571</v>
      </c>
      <c r="T373" s="121">
        <v>0</v>
      </c>
      <c r="U373" s="121">
        <v>0</v>
      </c>
      <c r="V373" s="121">
        <v>0</v>
      </c>
      <c r="W373" s="121">
        <f>MouserListTable12[[#This Row],['#/Unit]]*FilterSpecs!$C$3+MouserListTable12[[#This Row],[Extra]]</f>
        <v>0</v>
      </c>
      <c r="X373" s="121">
        <f>IF(MouserListTable12[[#This Row],[Tag]]=FilterSpecs!$F$7,MouserListTable12[[#This Row],['#/Unit]]*MouserListTable12[[#This Row],[Price (USD)]],0)</f>
        <v>0</v>
      </c>
      <c r="Y373" s="121">
        <f>MouserListTable12[[#This Row],[Tot '#]]*MouserListTable12[[#This Row],[Price (USD)]]</f>
        <v>0</v>
      </c>
      <c r="Z373"/>
    </row>
    <row r="374" spans="1:26" s="146" customFormat="1" x14ac:dyDescent="0.3">
      <c r="A374" s="106" t="s">
        <v>897</v>
      </c>
      <c r="B374" s="106" t="s">
        <v>1888</v>
      </c>
      <c r="C374" s="103" t="s">
        <v>1906</v>
      </c>
      <c r="D374" s="106" t="str">
        <f>IF(MouserListTable12[[#This Row],[Vendor]]=FilterSpecs!$A$8,MouserListTable12[[#This Row],[Mouser SKU]], MouserListTable12[[#This Row],[Supplier SKU]])</f>
        <v>474-PRT-08432</v>
      </c>
      <c r="E374" s="121">
        <f>MouserListTable12[[#This Row],[Tot '#]]-MouserListTable12[[#This Row],['# Initial]]</f>
        <v>0</v>
      </c>
      <c r="F374" s="121">
        <f>IF(AND(MouserListTable12[[#This Row],[Tag]]&lt;&gt;FilterSpecs!$F$12, MouserListTable12[[#This Row],[Tag]]&lt;&gt;FilterSpecs!$F$9), MouserListTable12[[#This Row],['#/Unit]]*FilterSpecs!$B$3+MouserListTable12[[#This Row],[Extra Initial]],0)</f>
        <v>10</v>
      </c>
      <c r="G374" s="103" t="s">
        <v>902</v>
      </c>
      <c r="H374" s="103" t="s">
        <v>903</v>
      </c>
      <c r="I374" s="106" t="s">
        <v>904</v>
      </c>
      <c r="J374" s="103">
        <v>1</v>
      </c>
      <c r="K374" s="157">
        <v>0.95</v>
      </c>
      <c r="L374" s="106" t="s">
        <v>1911</v>
      </c>
      <c r="M374" s="103"/>
      <c r="N374" s="157">
        <f>MouserListTable12[[#This Row],['# Initial]]*MouserListTable12[[#This Row],[Price (USD)]]</f>
        <v>9.5</v>
      </c>
      <c r="O374" s="106" t="s">
        <v>901</v>
      </c>
      <c r="P374" s="103">
        <f t="shared" si="6"/>
        <v>355</v>
      </c>
      <c r="Q374" s="103" t="s">
        <v>8</v>
      </c>
      <c r="R37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474-PRT-08432</v>
      </c>
      <c r="S374" s="195" t="str">
        <f>HYPERLINK("https://www.mouser.com/ProductDetail/" &amp;MouserListTable12[[#This Row],[Mouser SKU]])</f>
        <v>https://www.mouser.com/ProductDetail/474-PRT-08432</v>
      </c>
      <c r="T374" s="121">
        <v>2</v>
      </c>
      <c r="U374" s="121">
        <v>0</v>
      </c>
      <c r="V374" s="121">
        <v>0</v>
      </c>
      <c r="W374" s="121">
        <f>MouserListTable12[[#This Row],['#/Unit]]*FilterSpecs!$C$3+MouserListTable12[[#This Row],[Extra]]</f>
        <v>10</v>
      </c>
      <c r="X374" s="121">
        <f>IF(MouserListTable12[[#This Row],[Tag]]=FilterSpecs!$F$7,MouserListTable12[[#This Row],['#/Unit]]*MouserListTable12[[#This Row],[Price (USD)]],0)</f>
        <v>1.9</v>
      </c>
      <c r="Y374" s="121">
        <f>MouserListTable12[[#This Row],[Tot '#]]*MouserListTable12[[#This Row],[Price (USD)]]</f>
        <v>9.5</v>
      </c>
      <c r="Z374"/>
    </row>
    <row r="375" spans="1:26" s="146" customFormat="1" x14ac:dyDescent="0.3">
      <c r="A375" s="106" t="s">
        <v>897</v>
      </c>
      <c r="B375" s="106" t="s">
        <v>1888</v>
      </c>
      <c r="C375" s="103" t="s">
        <v>1906</v>
      </c>
      <c r="D375" s="106" t="str">
        <f>IF(MouserListTable12[[#This Row],[Vendor]]=FilterSpecs!$A$8,MouserListTable12[[#This Row],[Mouser SKU]], MouserListTable12[[#This Row],[Supplier SKU]])</f>
        <v>474-PRT-08433</v>
      </c>
      <c r="E375" s="121">
        <f>MouserListTable12[[#This Row],[Tot '#]]-MouserListTable12[[#This Row],['# Initial]]</f>
        <v>0</v>
      </c>
      <c r="F375" s="121">
        <f>IF(AND(MouserListTable12[[#This Row],[Tag]]&lt;&gt;FilterSpecs!$F$12, MouserListTable12[[#This Row],[Tag]]&lt;&gt;FilterSpecs!$F$9), MouserListTable12[[#This Row],['#/Unit]]*FilterSpecs!$B$3+MouserListTable12[[#This Row],[Extra Initial]],0)</f>
        <v>10</v>
      </c>
      <c r="G375" s="103" t="s">
        <v>1414</v>
      </c>
      <c r="H375" s="103" t="s">
        <v>1415</v>
      </c>
      <c r="I375" s="106" t="s">
        <v>1416</v>
      </c>
      <c r="J375" s="103">
        <v>1</v>
      </c>
      <c r="K375" s="157">
        <v>0.95</v>
      </c>
      <c r="L375" s="106" t="s">
        <v>1911</v>
      </c>
      <c r="M375" s="103"/>
      <c r="N375" s="157">
        <f>MouserListTable12[[#This Row],['# Initial]]*MouserListTable12[[#This Row],[Price (USD)]]</f>
        <v>9.5</v>
      </c>
      <c r="O375" s="106" t="s">
        <v>1413</v>
      </c>
      <c r="P375" s="103">
        <f t="shared" si="6"/>
        <v>356</v>
      </c>
      <c r="Q375" s="103" t="s">
        <v>8</v>
      </c>
      <c r="R37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474-PRT-08433</v>
      </c>
      <c r="S375" s="195" t="str">
        <f>HYPERLINK("https://www.mouser.com/ProductDetail/" &amp;MouserListTable12[[#This Row],[Mouser SKU]])</f>
        <v>https://www.mouser.com/ProductDetail/474-PRT-08433</v>
      </c>
      <c r="T375" s="121">
        <v>2</v>
      </c>
      <c r="U375" s="121">
        <v>0</v>
      </c>
      <c r="V375" s="121">
        <v>0</v>
      </c>
      <c r="W375" s="121">
        <f>MouserListTable12[[#This Row],['#/Unit]]*FilterSpecs!$C$3+MouserListTable12[[#This Row],[Extra]]</f>
        <v>10</v>
      </c>
      <c r="X375" s="121">
        <f>IF(MouserListTable12[[#This Row],[Tag]]=FilterSpecs!$F$7,MouserListTable12[[#This Row],['#/Unit]]*MouserListTable12[[#This Row],[Price (USD)]],0)</f>
        <v>1.9</v>
      </c>
      <c r="Y375" s="121">
        <f>MouserListTable12[[#This Row],[Tot '#]]*MouserListTable12[[#This Row],[Price (USD)]]</f>
        <v>9.5</v>
      </c>
      <c r="Z375"/>
    </row>
    <row r="376" spans="1:26" s="146" customFormat="1" hidden="1" x14ac:dyDescent="0.3">
      <c r="A376" s="146" t="s">
        <v>897</v>
      </c>
      <c r="B376" s="146" t="s">
        <v>1888</v>
      </c>
      <c r="C376" s="103" t="s">
        <v>1906</v>
      </c>
      <c r="D376" s="106" t="str">
        <f>IF(MouserListTable12[[#This Row],[Vendor]]=FilterSpecs!$A$8,MouserListTable12[[#This Row],[Mouser SKU]], MouserListTable12[[#This Row],[Supplier SKU]])</f>
        <v>474-PRT-08073</v>
      </c>
      <c r="E376" s="121">
        <f>MouserListTable12[[#This Row],[Tot '#]]-MouserListTable12[[#This Row],['# Initial]]</f>
        <v>0</v>
      </c>
      <c r="F376" s="121">
        <f>IF(AND(MouserListTable12[[#This Row],[Tag]]&lt;&gt;FilterSpecs!$F$12, MouserListTable12[[#This Row],[Tag]]&lt;&gt;FilterSpecs!$F$9), MouserListTable12[[#This Row],['#/Unit]]*FilterSpecs!$B$3+MouserListTable12[[#This Row],[Extra Initial]],0)</f>
        <v>0</v>
      </c>
      <c r="G376" s="103" t="s">
        <v>1378</v>
      </c>
      <c r="H376" s="103" t="s">
        <v>1379</v>
      </c>
      <c r="I376" s="106" t="s">
        <v>1380</v>
      </c>
      <c r="J376" s="103">
        <v>1</v>
      </c>
      <c r="K376" s="157">
        <v>1.5</v>
      </c>
      <c r="L376" s="106" t="s">
        <v>1910</v>
      </c>
      <c r="M376" s="103"/>
      <c r="N376" s="157">
        <f>MouserListTable12[[#This Row],['# Initial]]*MouserListTable12[[#This Row],[Price (USD)]]</f>
        <v>0</v>
      </c>
      <c r="O376" s="106" t="s">
        <v>1377</v>
      </c>
      <c r="P376" s="103">
        <f t="shared" si="6"/>
        <v>357</v>
      </c>
      <c r="Q376" s="103" t="s">
        <v>8</v>
      </c>
      <c r="R37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474-PRT-08073</v>
      </c>
      <c r="S376" s="195" t="str">
        <f>HYPERLINK("https://www.mouser.com/ProductDetail/" &amp;MouserListTable12[[#This Row],[Mouser SKU]])</f>
        <v>https://www.mouser.com/ProductDetail/474-PRT-08073</v>
      </c>
      <c r="T376" s="121">
        <v>0</v>
      </c>
      <c r="U376" s="121">
        <v>0</v>
      </c>
      <c r="V376" s="121">
        <v>0</v>
      </c>
      <c r="W376" s="121">
        <f>MouserListTable12[[#This Row],['#/Unit]]*FilterSpecs!$C$3+MouserListTable12[[#This Row],[Extra]]</f>
        <v>0</v>
      </c>
      <c r="X376" s="121">
        <f>IF(MouserListTable12[[#This Row],[Tag]]=FilterSpecs!$F$7,MouserListTable12[[#This Row],['#/Unit]]*MouserListTable12[[#This Row],[Price (USD)]],0)</f>
        <v>0</v>
      </c>
      <c r="Y376" s="121">
        <f>MouserListTable12[[#This Row],[Tot '#]]*MouserListTable12[[#This Row],[Price (USD)]]</f>
        <v>0</v>
      </c>
      <c r="Z376"/>
    </row>
    <row r="377" spans="1:26" s="144" customFormat="1" hidden="1" x14ac:dyDescent="0.3">
      <c r="A377" s="146" t="s">
        <v>897</v>
      </c>
      <c r="B377" s="146" t="s">
        <v>1888</v>
      </c>
      <c r="C377" s="103" t="s">
        <v>1906</v>
      </c>
      <c r="D377" s="106" t="str">
        <f>IF(MouserListTable12[[#This Row],[Vendor]]=FilterSpecs!$A$8,MouserListTable12[[#This Row],[Mouser SKU]], MouserListTable12[[#This Row],[Supplier SKU]])</f>
        <v>474-PRT-08074</v>
      </c>
      <c r="E377" s="121">
        <f>MouserListTable12[[#This Row],[Tot '#]]-MouserListTable12[[#This Row],['# Initial]]</f>
        <v>0</v>
      </c>
      <c r="F377" s="121">
        <f>IF(AND(MouserListTable12[[#This Row],[Tag]]&lt;&gt;FilterSpecs!$F$12, MouserListTable12[[#This Row],[Tag]]&lt;&gt;FilterSpecs!$F$9), MouserListTable12[[#This Row],['#/Unit]]*FilterSpecs!$B$3+MouserListTable12[[#This Row],[Extra Initial]],0)</f>
        <v>0</v>
      </c>
      <c r="G377" s="103" t="s">
        <v>1418</v>
      </c>
      <c r="H377" s="103" t="s">
        <v>1419</v>
      </c>
      <c r="I377" s="106" t="s">
        <v>1420</v>
      </c>
      <c r="J377" s="103">
        <v>1</v>
      </c>
      <c r="K377" s="157">
        <v>1.5</v>
      </c>
      <c r="L377" s="106" t="s">
        <v>1910</v>
      </c>
      <c r="M377" s="103"/>
      <c r="N377" s="157">
        <f>MouserListTable12[[#This Row],['# Initial]]*MouserListTable12[[#This Row],[Price (USD)]]</f>
        <v>0</v>
      </c>
      <c r="O377" s="106" t="s">
        <v>1417</v>
      </c>
      <c r="P377" s="103">
        <f t="shared" si="6"/>
        <v>358</v>
      </c>
      <c r="Q377" s="103" t="s">
        <v>8</v>
      </c>
      <c r="R37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474-PRT-08074</v>
      </c>
      <c r="S377" s="195" t="str">
        <f>HYPERLINK("https://www.mouser.com/ProductDetail/" &amp;MouserListTable12[[#This Row],[Mouser SKU]])</f>
        <v>https://www.mouser.com/ProductDetail/474-PRT-08074</v>
      </c>
      <c r="T377" s="121">
        <v>0</v>
      </c>
      <c r="U377" s="121">
        <v>0</v>
      </c>
      <c r="V377" s="121">
        <v>0</v>
      </c>
      <c r="W377" s="121">
        <f>MouserListTable12[[#This Row],['#/Unit]]*FilterSpecs!$C$3+MouserListTable12[[#This Row],[Extra]]</f>
        <v>0</v>
      </c>
      <c r="X377" s="121">
        <f>IF(MouserListTable12[[#This Row],[Tag]]=FilterSpecs!$F$7,MouserListTable12[[#This Row],['#/Unit]]*MouserListTable12[[#This Row],[Price (USD)]],0)</f>
        <v>0</v>
      </c>
      <c r="Y377" s="121">
        <f>MouserListTable12[[#This Row],[Tot '#]]*MouserListTable12[[#This Row],[Price (USD)]]</f>
        <v>0</v>
      </c>
      <c r="Z377"/>
    </row>
    <row r="378" spans="1:26" s="144" customFormat="1" hidden="1" x14ac:dyDescent="0.3">
      <c r="A378" s="146" t="s">
        <v>897</v>
      </c>
      <c r="B378" s="146" t="s">
        <v>1888</v>
      </c>
      <c r="C378" s="103" t="s">
        <v>1906</v>
      </c>
      <c r="D378" s="106" t="str">
        <f>IF(MouserListTable12[[#This Row],[Vendor]]=FilterSpecs!$A$8,MouserListTable12[[#This Row],[Mouser SKU]], MouserListTable12[[#This Row],[Supplier SKU]])</f>
        <v>474-PRT-08075</v>
      </c>
      <c r="E378" s="121">
        <f>MouserListTable12[[#This Row],[Tot '#]]-MouserListTable12[[#This Row],['# Initial]]</f>
        <v>0</v>
      </c>
      <c r="F378" s="121">
        <f>IF(AND(MouserListTable12[[#This Row],[Tag]]&lt;&gt;FilterSpecs!$F$12, MouserListTable12[[#This Row],[Tag]]&lt;&gt;FilterSpecs!$F$9), MouserListTable12[[#This Row],['#/Unit]]*FilterSpecs!$B$3+MouserListTable12[[#This Row],[Extra Initial]],0)</f>
        <v>0</v>
      </c>
      <c r="G378" s="103" t="s">
        <v>454</v>
      </c>
      <c r="H378" s="103" t="s">
        <v>455</v>
      </c>
      <c r="I378" s="106" t="s">
        <v>456</v>
      </c>
      <c r="J378" s="103">
        <v>1</v>
      </c>
      <c r="K378" s="157">
        <v>1.5</v>
      </c>
      <c r="L378" s="106" t="s">
        <v>1910</v>
      </c>
      <c r="M378" s="103"/>
      <c r="N378" s="157">
        <f>MouserListTable12[[#This Row],['# Initial]]*MouserListTable12[[#This Row],[Price (USD)]]</f>
        <v>0</v>
      </c>
      <c r="O378" s="106" t="s">
        <v>453</v>
      </c>
      <c r="P378" s="103">
        <f t="shared" si="6"/>
        <v>359</v>
      </c>
      <c r="Q378" s="103" t="s">
        <v>8</v>
      </c>
      <c r="R37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474-PRT-08075</v>
      </c>
      <c r="S378" s="195" t="str">
        <f>HYPERLINK("https://www.mouser.com/ProductDetail/" &amp;MouserListTable12[[#This Row],[Mouser SKU]])</f>
        <v>https://www.mouser.com/ProductDetail/474-PRT-08075</v>
      </c>
      <c r="T378" s="121">
        <v>0</v>
      </c>
      <c r="U378" s="121">
        <v>0</v>
      </c>
      <c r="V378" s="121">
        <v>0</v>
      </c>
      <c r="W378" s="121">
        <f>MouserListTable12[[#This Row],['#/Unit]]*FilterSpecs!$C$3+MouserListTable12[[#This Row],[Extra]]</f>
        <v>0</v>
      </c>
      <c r="X378" s="121">
        <f>IF(MouserListTable12[[#This Row],[Tag]]=FilterSpecs!$F$7,MouserListTable12[[#This Row],['#/Unit]]*MouserListTable12[[#This Row],[Price (USD)]],0)</f>
        <v>0</v>
      </c>
      <c r="Y378" s="121">
        <f>MouserListTable12[[#This Row],[Tot '#]]*MouserListTable12[[#This Row],[Price (USD)]]</f>
        <v>0</v>
      </c>
      <c r="Z378"/>
    </row>
    <row r="379" spans="1:26" s="144" customFormat="1" x14ac:dyDescent="0.3">
      <c r="A379" s="106" t="s">
        <v>897</v>
      </c>
      <c r="B379" s="106" t="s">
        <v>1888</v>
      </c>
      <c r="C379" s="103" t="s">
        <v>1906</v>
      </c>
      <c r="D379" s="106" t="str">
        <f>IF(MouserListTable12[[#This Row],[Vendor]]=FilterSpecs!$A$8,MouserListTable12[[#This Row],[Mouser SKU]], MouserListTable12[[#This Row],[Supplier SKU]])</f>
        <v>474-PRT-08077</v>
      </c>
      <c r="E379" s="121">
        <f>MouserListTable12[[#This Row],[Tot '#]]-MouserListTable12[[#This Row],['# Initial]]</f>
        <v>0</v>
      </c>
      <c r="F379" s="121">
        <f>IF(AND(MouserListTable12[[#This Row],[Tag]]&lt;&gt;FilterSpecs!$F$12, MouserListTable12[[#This Row],[Tag]]&lt;&gt;FilterSpecs!$F$9), MouserListTable12[[#This Row],['#/Unit]]*FilterSpecs!$B$3+MouserListTable12[[#This Row],[Extra Initial]],0)</f>
        <v>2</v>
      </c>
      <c r="G379" s="103" t="s">
        <v>450</v>
      </c>
      <c r="H379" s="103" t="s">
        <v>451</v>
      </c>
      <c r="I379" s="106" t="s">
        <v>452</v>
      </c>
      <c r="J379" s="103">
        <v>1</v>
      </c>
      <c r="K379" s="157">
        <v>1.5</v>
      </c>
      <c r="L379" s="106" t="s">
        <v>1910</v>
      </c>
      <c r="M379" s="103"/>
      <c r="N379" s="157">
        <f>MouserListTable12[[#This Row],['# Initial]]*MouserListTable12[[#This Row],[Price (USD)]]</f>
        <v>3</v>
      </c>
      <c r="O379" s="106" t="s">
        <v>449</v>
      </c>
      <c r="P379" s="103">
        <f t="shared" si="6"/>
        <v>360</v>
      </c>
      <c r="Q379" s="103" t="s">
        <v>8</v>
      </c>
      <c r="R37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474-PRT-08077</v>
      </c>
      <c r="S379" s="195" t="str">
        <f>HYPERLINK("https://www.mouser.com/ProductDetail/" &amp;MouserListTable12[[#This Row],[Mouser SKU]])</f>
        <v>https://www.mouser.com/ProductDetail/474-PRT-08077</v>
      </c>
      <c r="T379" s="121">
        <v>0</v>
      </c>
      <c r="U379" s="121">
        <v>2</v>
      </c>
      <c r="V379" s="121">
        <v>2</v>
      </c>
      <c r="W379" s="121">
        <f>MouserListTable12[[#This Row],['#/Unit]]*FilterSpecs!$C$3+MouserListTable12[[#This Row],[Extra]]</f>
        <v>2</v>
      </c>
      <c r="X379" s="121">
        <f>IF(MouserListTable12[[#This Row],[Tag]]=FilterSpecs!$F$7,MouserListTable12[[#This Row],['#/Unit]]*MouserListTable12[[#This Row],[Price (USD)]],0)</f>
        <v>0</v>
      </c>
      <c r="Y379" s="121">
        <f>MouserListTable12[[#This Row],[Tot '#]]*MouserListTable12[[#This Row],[Price (USD)]]</f>
        <v>3</v>
      </c>
      <c r="Z379"/>
    </row>
    <row r="380" spans="1:26" s="144" customFormat="1" hidden="1" x14ac:dyDescent="0.3">
      <c r="A380" s="146" t="s">
        <v>897</v>
      </c>
      <c r="B380" s="146" t="s">
        <v>1887</v>
      </c>
      <c r="C380" s="103" t="s">
        <v>1906</v>
      </c>
      <c r="D380" s="106" t="str">
        <f>IF(MouserListTable12[[#This Row],[Vendor]]=FilterSpecs!$A$8,MouserListTable12[[#This Row],[Mouser SKU]], MouserListTable12[[#This Row],[Supplier SKU]])</f>
        <v>474-PRT-00139</v>
      </c>
      <c r="E380" s="121">
        <f>MouserListTable12[[#This Row],[Tot '#]]-MouserListTable12[[#This Row],['# Initial]]</f>
        <v>0</v>
      </c>
      <c r="F380" s="121">
        <f>IF(AND(MouserListTable12[[#This Row],[Tag]]&lt;&gt;FilterSpecs!$F$12, MouserListTable12[[#This Row],[Tag]]&lt;&gt;FilterSpecs!$F$9), MouserListTable12[[#This Row],['#/Unit]]*FilterSpecs!$B$3+MouserListTable12[[#This Row],[Extra Initial]],0)</f>
        <v>0</v>
      </c>
      <c r="G380" s="103" t="s">
        <v>1670</v>
      </c>
      <c r="H380" s="103" t="s">
        <v>1671</v>
      </c>
      <c r="I380" s="106" t="s">
        <v>1672</v>
      </c>
      <c r="J380" s="103">
        <v>1</v>
      </c>
      <c r="K380" s="157">
        <v>1.25</v>
      </c>
      <c r="L380" s="106" t="s">
        <v>1910</v>
      </c>
      <c r="M380" s="103"/>
      <c r="N380" s="157">
        <f>MouserListTable12[[#This Row],['# Initial]]*MouserListTable12[[#This Row],[Price (USD)]]</f>
        <v>0</v>
      </c>
      <c r="O380" s="106" t="s">
        <v>1669</v>
      </c>
      <c r="P380" s="103">
        <f t="shared" si="6"/>
        <v>361</v>
      </c>
      <c r="Q380" s="103" t="s">
        <v>8</v>
      </c>
      <c r="R38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474-PRT-00139</v>
      </c>
      <c r="S380" s="195" t="str">
        <f>HYPERLINK("https://www.mouser.com/ProductDetail/" &amp;MouserListTable12[[#This Row],[Mouser SKU]])</f>
        <v>https://www.mouser.com/ProductDetail/474-PRT-00139</v>
      </c>
      <c r="T380" s="121">
        <v>0</v>
      </c>
      <c r="U380" s="121">
        <v>0</v>
      </c>
      <c r="V380" s="121">
        <v>0</v>
      </c>
      <c r="W380" s="121">
        <f>MouserListTable12[[#This Row],['#/Unit]]*FilterSpecs!$C$3+MouserListTable12[[#This Row],[Extra]]</f>
        <v>0</v>
      </c>
      <c r="X380" s="121">
        <f>IF(MouserListTable12[[#This Row],[Tag]]=FilterSpecs!$F$7,MouserListTable12[[#This Row],['#/Unit]]*MouserListTable12[[#This Row],[Price (USD)]],0)</f>
        <v>0</v>
      </c>
      <c r="Y380" s="121">
        <f>MouserListTable12[[#This Row],[Tot '#]]*MouserListTable12[[#This Row],[Price (USD)]]</f>
        <v>0</v>
      </c>
      <c r="Z380"/>
    </row>
    <row r="381" spans="1:26" s="144" customFormat="1" hidden="1" x14ac:dyDescent="0.3">
      <c r="A381" s="146" t="s">
        <v>897</v>
      </c>
      <c r="B381" s="146" t="s">
        <v>1887</v>
      </c>
      <c r="C381" s="103" t="s">
        <v>1906</v>
      </c>
      <c r="D381" s="106" t="str">
        <f>IF(MouserListTable12[[#This Row],[Vendor]]=FilterSpecs!$A$8,MouserListTable12[[#This Row],[Mouser SKU]], MouserListTable12[[#This Row],[Supplier SKU]])</f>
        <v>474-BOB-12035</v>
      </c>
      <c r="E381" s="121">
        <f>MouserListTable12[[#This Row],[Tot '#]]-MouserListTable12[[#This Row],['# Initial]]</f>
        <v>0</v>
      </c>
      <c r="F381" s="121">
        <f>IF(AND(MouserListTable12[[#This Row],[Tag]]&lt;&gt;FilterSpecs!$F$12, MouserListTable12[[#This Row],[Tag]]&lt;&gt;FilterSpecs!$F$9), MouserListTable12[[#This Row],['#/Unit]]*FilterSpecs!$B$3+MouserListTable12[[#This Row],[Extra Initial]],0)</f>
        <v>0</v>
      </c>
      <c r="G381" s="103" t="s">
        <v>1722</v>
      </c>
      <c r="H381" s="103" t="s">
        <v>1723</v>
      </c>
      <c r="I381" s="106" t="s">
        <v>1724</v>
      </c>
      <c r="J381" s="103">
        <v>1</v>
      </c>
      <c r="K381" s="157">
        <v>1.95</v>
      </c>
      <c r="L381" s="106" t="s">
        <v>1910</v>
      </c>
      <c r="M381" s="103"/>
      <c r="N381" s="157">
        <f>MouserListTable12[[#This Row],['# Initial]]*MouserListTable12[[#This Row],[Price (USD)]]</f>
        <v>0</v>
      </c>
      <c r="O381" s="106" t="s">
        <v>1721</v>
      </c>
      <c r="P381" s="103">
        <f t="shared" si="6"/>
        <v>362</v>
      </c>
      <c r="Q381" s="103" t="s">
        <v>8</v>
      </c>
      <c r="R38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474-BOB-12035</v>
      </c>
      <c r="S381" s="195" t="str">
        <f>HYPERLINK("https://www.mouser.com/ProductDetail/" &amp;MouserListTable12[[#This Row],[Mouser SKU]])</f>
        <v>https://www.mouser.com/ProductDetail/474-BOB-12035</v>
      </c>
      <c r="T381" s="121">
        <v>0</v>
      </c>
      <c r="U381" s="121">
        <v>0</v>
      </c>
      <c r="V381" s="121">
        <v>0</v>
      </c>
      <c r="W381" s="121">
        <f>MouserListTable12[[#This Row],['#/Unit]]*FilterSpecs!$C$3+MouserListTable12[[#This Row],[Extra]]</f>
        <v>0</v>
      </c>
      <c r="X381" s="121">
        <f>IF(MouserListTable12[[#This Row],[Tag]]=FilterSpecs!$F$7,MouserListTable12[[#This Row],['#/Unit]]*MouserListTable12[[#This Row],[Price (USD)]],0)</f>
        <v>0</v>
      </c>
      <c r="Y381" s="121">
        <f>MouserListTable12[[#This Row],[Tot '#]]*MouserListTable12[[#This Row],[Price (USD)]]</f>
        <v>0</v>
      </c>
      <c r="Z381"/>
    </row>
    <row r="382" spans="1:26" s="144" customFormat="1" hidden="1" x14ac:dyDescent="0.3">
      <c r="A382" s="146" t="s">
        <v>897</v>
      </c>
      <c r="B382" s="146" t="s">
        <v>1887</v>
      </c>
      <c r="C382" s="103" t="s">
        <v>1906</v>
      </c>
      <c r="D382" s="106" t="str">
        <f>IF(MouserListTable12[[#This Row],[Vendor]]=FilterSpecs!$A$8,MouserListTable12[[#This Row],[Mouser SKU]], MouserListTable12[[#This Row],[Supplier SKU]])</f>
        <v>474-BOB-10031</v>
      </c>
      <c r="E382" s="121">
        <f>MouserListTable12[[#This Row],[Tot '#]]-MouserListTable12[[#This Row],['# Initial]]</f>
        <v>0</v>
      </c>
      <c r="F382" s="121">
        <f>IF(AND(MouserListTable12[[#This Row],[Tag]]&lt;&gt;FilterSpecs!$F$12, MouserListTable12[[#This Row],[Tag]]&lt;&gt;FilterSpecs!$F$9), MouserListTable12[[#This Row],['#/Unit]]*FilterSpecs!$B$3+MouserListTable12[[#This Row],[Extra Initial]],0)</f>
        <v>0</v>
      </c>
      <c r="G382" s="103" t="s">
        <v>1726</v>
      </c>
      <c r="H382" s="103" t="s">
        <v>1727</v>
      </c>
      <c r="I382" s="106" t="s">
        <v>1728</v>
      </c>
      <c r="J382" s="103">
        <v>1</v>
      </c>
      <c r="K382" s="157">
        <v>3.95</v>
      </c>
      <c r="L382" s="106" t="s">
        <v>1910</v>
      </c>
      <c r="M382" s="103"/>
      <c r="N382" s="157">
        <f>MouserListTable12[[#This Row],['# Initial]]*MouserListTable12[[#This Row],[Price (USD)]]</f>
        <v>0</v>
      </c>
      <c r="O382" s="106" t="s">
        <v>1725</v>
      </c>
      <c r="P382" s="103">
        <f t="shared" si="6"/>
        <v>363</v>
      </c>
      <c r="Q382" s="103" t="s">
        <v>8</v>
      </c>
      <c r="R38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474-BOB-10031</v>
      </c>
      <c r="S382" s="195" t="str">
        <f>HYPERLINK("https://www.mouser.com/ProductDetail/" &amp;MouserListTable12[[#This Row],[Mouser SKU]])</f>
        <v>https://www.mouser.com/ProductDetail/474-BOB-10031</v>
      </c>
      <c r="T382" s="121">
        <v>0</v>
      </c>
      <c r="U382" s="121">
        <v>0</v>
      </c>
      <c r="V382" s="121">
        <v>0</v>
      </c>
      <c r="W382" s="121">
        <f>MouserListTable12[[#This Row],['#/Unit]]*FilterSpecs!$C$3+MouserListTable12[[#This Row],[Extra]]</f>
        <v>0</v>
      </c>
      <c r="X382" s="121">
        <f>IF(MouserListTable12[[#This Row],[Tag]]=FilterSpecs!$F$7,MouserListTable12[[#This Row],['#/Unit]]*MouserListTable12[[#This Row],[Price (USD)]],0)</f>
        <v>0</v>
      </c>
      <c r="Y382" s="121">
        <f>MouserListTable12[[#This Row],[Tot '#]]*MouserListTable12[[#This Row],[Price (USD)]]</f>
        <v>0</v>
      </c>
      <c r="Z382"/>
    </row>
    <row r="383" spans="1:26" s="144" customFormat="1" hidden="1" x14ac:dyDescent="0.3">
      <c r="A383" s="146" t="s">
        <v>897</v>
      </c>
      <c r="B383" s="146" t="s">
        <v>1887</v>
      </c>
      <c r="C383" s="103" t="s">
        <v>1906</v>
      </c>
      <c r="D383" s="106" t="str">
        <f>IF(MouserListTable12[[#This Row],[Vendor]]=FilterSpecs!$A$8,MouserListTable12[[#This Row],[Mouser SKU]], MouserListTable12[[#This Row],[Supplier SKU]])</f>
        <v>474-BOB-09966</v>
      </c>
      <c r="E383" s="121">
        <f>MouserListTable12[[#This Row],[Tot '#]]-MouserListTable12[[#This Row],['# Initial]]</f>
        <v>0</v>
      </c>
      <c r="F383" s="121">
        <f>IF(AND(MouserListTable12[[#This Row],[Tag]]&lt;&gt;FilterSpecs!$F$12, MouserListTable12[[#This Row],[Tag]]&lt;&gt;FilterSpecs!$F$9), MouserListTable12[[#This Row],['#/Unit]]*FilterSpecs!$B$3+MouserListTable12[[#This Row],[Extra Initial]],0)</f>
        <v>0</v>
      </c>
      <c r="G383" s="103" t="s">
        <v>1718</v>
      </c>
      <c r="H383" s="103" t="s">
        <v>1719</v>
      </c>
      <c r="I383" s="106" t="s">
        <v>1720</v>
      </c>
      <c r="J383" s="103">
        <v>1</v>
      </c>
      <c r="K383" s="157">
        <v>1.95</v>
      </c>
      <c r="L383" s="106" t="s">
        <v>1910</v>
      </c>
      <c r="M383" s="103"/>
      <c r="N383" s="157">
        <f>MouserListTable12[[#This Row],['# Initial]]*MouserListTable12[[#This Row],[Price (USD)]]</f>
        <v>0</v>
      </c>
      <c r="O383" s="106" t="s">
        <v>1717</v>
      </c>
      <c r="P383" s="103">
        <f t="shared" si="6"/>
        <v>364</v>
      </c>
      <c r="Q383" s="103" t="s">
        <v>8</v>
      </c>
      <c r="R38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474-BOB-09966</v>
      </c>
      <c r="S383" s="195" t="str">
        <f>HYPERLINK("https://www.mouser.com/ProductDetail/" &amp;MouserListTable12[[#This Row],[Mouser SKU]])</f>
        <v>https://www.mouser.com/ProductDetail/474-BOB-09966</v>
      </c>
      <c r="T383" s="121">
        <v>0</v>
      </c>
      <c r="U383" s="121">
        <v>0</v>
      </c>
      <c r="V383" s="121">
        <v>0</v>
      </c>
      <c r="W383" s="121">
        <f>MouserListTable12[[#This Row],['#/Unit]]*FilterSpecs!$C$3+MouserListTable12[[#This Row],[Extra]]</f>
        <v>0</v>
      </c>
      <c r="X383" s="121">
        <f>IF(MouserListTable12[[#This Row],[Tag]]=FilterSpecs!$F$7,MouserListTable12[[#This Row],['#/Unit]]*MouserListTable12[[#This Row],[Price (USD)]],0)</f>
        <v>0</v>
      </c>
      <c r="Y383" s="121">
        <f>MouserListTable12[[#This Row],[Tot '#]]*MouserListTable12[[#This Row],[Price (USD)]]</f>
        <v>0</v>
      </c>
      <c r="Z383"/>
    </row>
    <row r="384" spans="1:26" s="144" customFormat="1" x14ac:dyDescent="0.3">
      <c r="A384" s="146" t="s">
        <v>897</v>
      </c>
      <c r="B384" s="146" t="s">
        <v>1889</v>
      </c>
      <c r="C384" s="103" t="s">
        <v>1906</v>
      </c>
      <c r="D384" s="106" t="str">
        <f>IF(MouserListTable12[[#This Row],[Vendor]]=FilterSpecs!$A$8,MouserListTable12[[#This Row],[Mouser SKU]], MouserListTable12[[#This Row],[Supplier SKU]])</f>
        <v>474-COM-14194</v>
      </c>
      <c r="E384" s="121">
        <f>MouserListTable12[[#This Row],[Tot '#]]-MouserListTable12[[#This Row],['# Initial]]</f>
        <v>4</v>
      </c>
      <c r="F384" s="121">
        <f>IF(AND(MouserListTable12[[#This Row],[Tag]]&lt;&gt;FilterSpecs!$F$12, MouserListTable12[[#This Row],[Tag]]&lt;&gt;FilterSpecs!$F$9), MouserListTable12[[#This Row],['#/Unit]]*FilterSpecs!$B$3+MouserListTable12[[#This Row],[Extra Initial]],0)</f>
        <v>5</v>
      </c>
      <c r="G384" s="103" t="s">
        <v>704</v>
      </c>
      <c r="H384" s="103" t="s">
        <v>705</v>
      </c>
      <c r="I384" s="106" t="s">
        <v>706</v>
      </c>
      <c r="J384" s="103">
        <v>1</v>
      </c>
      <c r="K384" s="157">
        <v>1.95</v>
      </c>
      <c r="L384" s="106" t="s">
        <v>1911</v>
      </c>
      <c r="M384" s="103"/>
      <c r="N384" s="157">
        <f>MouserListTable12[[#This Row],['# Initial]]*MouserListTable12[[#This Row],[Price (USD)]]</f>
        <v>9.75</v>
      </c>
      <c r="O384" s="106" t="s">
        <v>703</v>
      </c>
      <c r="P384" s="103">
        <f t="shared" si="6"/>
        <v>365</v>
      </c>
      <c r="Q384" s="103" t="s">
        <v>8</v>
      </c>
      <c r="R38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474-COM-14194</v>
      </c>
      <c r="S384" s="195" t="str">
        <f>HYPERLINK("https://www.mouser.com/ProductDetail/" &amp;MouserListTable12[[#This Row],[Mouser SKU]])</f>
        <v>https://www.mouser.com/ProductDetail/474-COM-14194</v>
      </c>
      <c r="T384" s="121">
        <f>SUM(T132:T143)</f>
        <v>1</v>
      </c>
      <c r="U384" s="121">
        <f t="shared" ref="U384:V384" si="8">SUM(U132:U143)</f>
        <v>4</v>
      </c>
      <c r="V384" s="121">
        <f t="shared" si="8"/>
        <v>0</v>
      </c>
      <c r="W384" s="121">
        <f>MouserListTable12[[#This Row],['#/Unit]]*FilterSpecs!$C$3+MouserListTable12[[#This Row],[Extra]]</f>
        <v>9</v>
      </c>
      <c r="X384" s="121">
        <f>IF(MouserListTable12[[#This Row],[Tag]]=FilterSpecs!$F$7,MouserListTable12[[#This Row],['#/Unit]]*MouserListTable12[[#This Row],[Price (USD)]],0)</f>
        <v>1.95</v>
      </c>
      <c r="Y384" s="121">
        <f>MouserListTable12[[#This Row],[Tot '#]]*MouserListTable12[[#This Row],[Price (USD)]]</f>
        <v>17.55</v>
      </c>
      <c r="Z384"/>
    </row>
    <row r="385" spans="1:26" s="144" customFormat="1" x14ac:dyDescent="0.3">
      <c r="A385" s="106" t="s">
        <v>897</v>
      </c>
      <c r="B385" s="106" t="s">
        <v>1889</v>
      </c>
      <c r="C385" s="103" t="s">
        <v>1906</v>
      </c>
      <c r="D385" s="106" t="str">
        <f>IF(MouserListTable12[[#This Row],[Vendor]]=FilterSpecs!$A$8,MouserListTable12[[#This Row],[Mouser SKU]], MouserListTable12[[#This Row],[Supplier SKU]])</f>
        <v>474-COM-14195</v>
      </c>
      <c r="E385" s="121">
        <f>MouserListTable12[[#This Row],[Tot '#]]-MouserListTable12[[#This Row],['# Initial]]</f>
        <v>4</v>
      </c>
      <c r="F385" s="121">
        <f>IF(AND(MouserListTable12[[#This Row],[Tag]]&lt;&gt;FilterSpecs!$F$12, MouserListTable12[[#This Row],[Tag]]&lt;&gt;FilterSpecs!$F$9), MouserListTable12[[#This Row],['#/Unit]]*FilterSpecs!$B$3+MouserListTable12[[#This Row],[Extra Initial]],0)</f>
        <v>5</v>
      </c>
      <c r="G385" s="103" t="s">
        <v>700</v>
      </c>
      <c r="H385" s="103" t="s">
        <v>701</v>
      </c>
      <c r="I385" s="106" t="s">
        <v>702</v>
      </c>
      <c r="J385" s="103">
        <v>1</v>
      </c>
      <c r="K385" s="157">
        <v>1.95</v>
      </c>
      <c r="L385" s="106" t="s">
        <v>1911</v>
      </c>
      <c r="M385" s="103"/>
      <c r="N385" s="157">
        <f>MouserListTable12[[#This Row],['# Initial]]*MouserListTable12[[#This Row],[Price (USD)]]</f>
        <v>9.75</v>
      </c>
      <c r="O385" s="106" t="s">
        <v>699</v>
      </c>
      <c r="P385" s="103">
        <f t="shared" si="6"/>
        <v>366</v>
      </c>
      <c r="Q385" s="103" t="s">
        <v>8</v>
      </c>
      <c r="R38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474-COM-14195</v>
      </c>
      <c r="S385" s="195" t="str">
        <f>HYPERLINK("https://www.mouser.com/ProductDetail/" &amp;MouserListTable12[[#This Row],[Mouser SKU]])</f>
        <v>https://www.mouser.com/ProductDetail/474-COM-14195</v>
      </c>
      <c r="T385" s="121">
        <f>SUM(T132:T143)</f>
        <v>1</v>
      </c>
      <c r="U385" s="121">
        <f t="shared" ref="U385:V385" si="9">SUM(U132:U143)</f>
        <v>4</v>
      </c>
      <c r="V385" s="121">
        <f t="shared" si="9"/>
        <v>0</v>
      </c>
      <c r="W385" s="121">
        <f>MouserListTable12[[#This Row],['#/Unit]]*FilterSpecs!$C$3+MouserListTable12[[#This Row],[Extra]]</f>
        <v>9</v>
      </c>
      <c r="X385" s="121">
        <f>IF(MouserListTable12[[#This Row],[Tag]]=FilterSpecs!$F$7,MouserListTable12[[#This Row],['#/Unit]]*MouserListTable12[[#This Row],[Price (USD)]],0)</f>
        <v>1.95</v>
      </c>
      <c r="Y385" s="121">
        <f>MouserListTable12[[#This Row],[Tot '#]]*MouserListTable12[[#This Row],[Price (USD)]]</f>
        <v>17.55</v>
      </c>
      <c r="Z385"/>
    </row>
    <row r="386" spans="1:26" s="146" customFormat="1" hidden="1" x14ac:dyDescent="0.3">
      <c r="A386" s="146" t="s">
        <v>897</v>
      </c>
      <c r="B386" s="146" t="s">
        <v>1889</v>
      </c>
      <c r="C386" s="103" t="s">
        <v>1906</v>
      </c>
      <c r="D386" s="106" t="str">
        <f>IF(MouserListTable12[[#This Row],[Vendor]]=FilterSpecs!$A$8,MouserListTable12[[#This Row],[Mouser SKU]], MouserListTable12[[#This Row],[Supplier SKU]])</f>
        <v>474-PRT-09044</v>
      </c>
      <c r="E386" s="121">
        <f>MouserListTable12[[#This Row],[Tot '#]]-MouserListTable12[[#This Row],['# Initial]]</f>
        <v>0</v>
      </c>
      <c r="F386" s="121">
        <f>IF(AND(MouserListTable12[[#This Row],[Tag]]&lt;&gt;FilterSpecs!$F$12, MouserListTable12[[#This Row],[Tag]]&lt;&gt;FilterSpecs!$F$9), MouserListTable12[[#This Row],['#/Unit]]*FilterSpecs!$B$3+MouserListTable12[[#This Row],[Extra Initial]],0)</f>
        <v>0</v>
      </c>
      <c r="G386" s="103" t="s">
        <v>752</v>
      </c>
      <c r="H386" s="103" t="s">
        <v>753</v>
      </c>
      <c r="I386" s="106" t="s">
        <v>754</v>
      </c>
      <c r="J386" s="103">
        <v>1</v>
      </c>
      <c r="K386" s="157">
        <v>0.35</v>
      </c>
      <c r="L386" s="106" t="s">
        <v>1910</v>
      </c>
      <c r="M386" s="103"/>
      <c r="N386" s="157">
        <f>MouserListTable12[[#This Row],['# Initial]]*MouserListTable12[[#This Row],[Price (USD)]]</f>
        <v>0</v>
      </c>
      <c r="O386" s="106" t="s">
        <v>751</v>
      </c>
      <c r="P386" s="103">
        <f t="shared" si="6"/>
        <v>367</v>
      </c>
      <c r="Q386" s="103" t="s">
        <v>8</v>
      </c>
      <c r="R38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474-PRT-09044</v>
      </c>
      <c r="S386" s="195" t="str">
        <f>HYPERLINK("https://www.mouser.com/ProductDetail/" &amp;MouserListTable12[[#This Row],[Mouser SKU]])</f>
        <v>https://www.mouser.com/ProductDetail/474-PRT-09044</v>
      </c>
      <c r="T386" s="121">
        <v>0</v>
      </c>
      <c r="U386" s="121">
        <v>0</v>
      </c>
      <c r="V386" s="121">
        <v>0</v>
      </c>
      <c r="W386" s="121">
        <f>MouserListTable12[[#This Row],['#/Unit]]*FilterSpecs!$C$3+MouserListTable12[[#This Row],[Extra]]</f>
        <v>0</v>
      </c>
      <c r="X386" s="121">
        <f>IF(MouserListTable12[[#This Row],[Tag]]=FilterSpecs!$F$7,MouserListTable12[[#This Row],['#/Unit]]*MouserListTable12[[#This Row],[Price (USD)]],0)</f>
        <v>0</v>
      </c>
      <c r="Y386" s="121">
        <f>MouserListTable12[[#This Row],[Tot '#]]*MouserListTable12[[#This Row],[Price (USD)]]</f>
        <v>0</v>
      </c>
      <c r="Z386"/>
    </row>
    <row r="387" spans="1:26" s="146" customFormat="1" x14ac:dyDescent="0.3">
      <c r="A387" s="106" t="s">
        <v>897</v>
      </c>
      <c r="B387" s="106" t="s">
        <v>1889</v>
      </c>
      <c r="C387" s="103" t="s">
        <v>1906</v>
      </c>
      <c r="D387" s="106" t="str">
        <f>IF(MouserListTable12[[#This Row],[Vendor]]=FilterSpecs!$A$8,MouserListTable12[[#This Row],[Mouser SKU]], MouserListTable12[[#This Row],[Supplier SKU]])</f>
        <v>485-3525</v>
      </c>
      <c r="E387" s="121">
        <f>MouserListTable12[[#This Row],[Tot '#]]-MouserListTable12[[#This Row],['# Initial]]</f>
        <v>0</v>
      </c>
      <c r="F387" s="121">
        <f>IF(AND(MouserListTable12[[#This Row],[Tag]]&lt;&gt;FilterSpecs!$F$12, MouserListTable12[[#This Row],[Tag]]&lt;&gt;FilterSpecs!$F$9), MouserListTable12[[#This Row],['#/Unit]]*FilterSpecs!$B$3+MouserListTable12[[#This Row],[Extra Initial]],0)</f>
        <v>1</v>
      </c>
      <c r="G387" s="103"/>
      <c r="H387" s="103"/>
      <c r="I387" s="106" t="s">
        <v>2150</v>
      </c>
      <c r="K387" s="157">
        <v>0.95</v>
      </c>
      <c r="L387" s="106" t="s">
        <v>1910</v>
      </c>
      <c r="M387" s="106"/>
      <c r="N387" s="157">
        <f>MouserListTable12[[#This Row],['# Initial]]*MouserListTable12[[#This Row],[Price (USD)]]</f>
        <v>0.95</v>
      </c>
      <c r="O387" s="106">
        <v>3525</v>
      </c>
      <c r="P387" s="103">
        <f t="shared" si="6"/>
        <v>368</v>
      </c>
      <c r="Q387" s="103" t="s">
        <v>1898</v>
      </c>
      <c r="R38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485-3525</v>
      </c>
      <c r="S387" s="195" t="str">
        <f>HYPERLINK("https://www.mouser.com/ProductDetail/" &amp;MouserListTable12[[#This Row],[Mouser SKU]])</f>
        <v>https://www.mouser.com/ProductDetail/485-3525</v>
      </c>
      <c r="T387" s="121">
        <v>0</v>
      </c>
      <c r="U387" s="121">
        <v>1</v>
      </c>
      <c r="V387" s="121">
        <v>1</v>
      </c>
      <c r="W387" s="121">
        <f>MouserListTable12[[#This Row],['#/Unit]]*FilterSpecs!$C$3+MouserListTable12[[#This Row],[Extra]]</f>
        <v>1</v>
      </c>
      <c r="X387" s="121">
        <f>IF(MouserListTable12[[#This Row],[Tag]]=FilterSpecs!$F$7,MouserListTable12[[#This Row],['#/Unit]]*MouserListTable12[[#This Row],[Price (USD)]],0)</f>
        <v>0</v>
      </c>
      <c r="Y387" s="121">
        <f>MouserListTable12[[#This Row],[Tot '#]]*MouserListTable12[[#This Row],[Price (USD)]]</f>
        <v>0.95</v>
      </c>
      <c r="Z387"/>
    </row>
    <row r="388" spans="1:26" s="146" customFormat="1" hidden="1" x14ac:dyDescent="0.3">
      <c r="A388" s="126" t="s">
        <v>897</v>
      </c>
      <c r="B388" s="146" t="s">
        <v>1617</v>
      </c>
      <c r="C388" s="103" t="s">
        <v>1906</v>
      </c>
      <c r="D388" s="106" t="str">
        <f>IF(MouserListTable12[[#This Row],[Vendor]]=FilterSpecs!$A$8,MouserListTable12[[#This Row],[Mouser SKU]], MouserListTable12[[#This Row],[Supplier SKU]])</f>
        <v>474-KIT-13973</v>
      </c>
      <c r="E388" s="121">
        <f>MouserListTable12[[#This Row],[Tot '#]]-MouserListTable12[[#This Row],['# Initial]]</f>
        <v>0</v>
      </c>
      <c r="F388" s="121">
        <f>IF(AND(MouserListTable12[[#This Row],[Tag]]&lt;&gt;FilterSpecs!$F$12, MouserListTable12[[#This Row],[Tag]]&lt;&gt;FilterSpecs!$F$9), MouserListTable12[[#This Row],['#/Unit]]*FilterSpecs!$B$3+MouserListTable12[[#This Row],[Extra Initial]],0)</f>
        <v>0</v>
      </c>
      <c r="G388" s="103" t="s">
        <v>368</v>
      </c>
      <c r="H388" s="103" t="s">
        <v>369</v>
      </c>
      <c r="I388" s="106" t="s">
        <v>370</v>
      </c>
      <c r="J388" s="103">
        <v>1</v>
      </c>
      <c r="K388" s="157">
        <v>14.95</v>
      </c>
      <c r="L388" s="106" t="s">
        <v>2487</v>
      </c>
      <c r="M388" s="103"/>
      <c r="N388" s="157">
        <f>MouserListTable12[[#This Row],['# Initial]]*MouserListTable12[[#This Row],[Price (USD)]]</f>
        <v>0</v>
      </c>
      <c r="O388" s="106" t="s">
        <v>367</v>
      </c>
      <c r="P388" s="103">
        <f t="shared" si="6"/>
        <v>369</v>
      </c>
      <c r="Q388" s="103" t="s">
        <v>8</v>
      </c>
      <c r="R38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474-KIT-13973</v>
      </c>
      <c r="S388" s="195" t="str">
        <f>HYPERLINK("https://www.mouser.com/ProductDetail/" &amp;MouserListTable12[[#This Row],[Mouser SKU]])</f>
        <v>https://www.mouser.com/ProductDetail/474-KIT-13973</v>
      </c>
      <c r="T388" s="121">
        <v>0</v>
      </c>
      <c r="U388" s="121">
        <v>0</v>
      </c>
      <c r="V388" s="121">
        <v>0</v>
      </c>
      <c r="W388" s="121">
        <f>MouserListTable12[[#This Row],['#/Unit]]*FilterSpecs!$C$3+MouserListTable12[[#This Row],[Extra]]</f>
        <v>0</v>
      </c>
      <c r="X388" s="121">
        <f>IF(MouserListTable12[[#This Row],[Tag]]=FilterSpecs!$F$7,MouserListTable12[[#This Row],['#/Unit]]*MouserListTable12[[#This Row],[Price (USD)]],0)</f>
        <v>0</v>
      </c>
      <c r="Y388" s="121">
        <f>MouserListTable12[[#This Row],[Tot '#]]*MouserListTable12[[#This Row],[Price (USD)]]</f>
        <v>0</v>
      </c>
      <c r="Z388"/>
    </row>
    <row r="389" spans="1:26" s="146" customFormat="1" x14ac:dyDescent="0.3">
      <c r="A389" s="103" t="s">
        <v>897</v>
      </c>
      <c r="B389" s="106" t="s">
        <v>1617</v>
      </c>
      <c r="C389" s="103" t="s">
        <v>1906</v>
      </c>
      <c r="D389" s="106" t="str">
        <f>IF(MouserListTable12[[#This Row],[Vendor]]=FilterSpecs!$A$8,MouserListTable12[[#This Row],[Mouser SKU]], MouserListTable12[[#This Row],[Supplier SKU]])</f>
        <v>485-2975</v>
      </c>
      <c r="E389" s="121">
        <f>MouserListTable12[[#This Row],[Tot '#]]-MouserListTable12[[#This Row],['# Initial]]</f>
        <v>0</v>
      </c>
      <c r="F389" s="121">
        <f>IF(AND(MouserListTable12[[#This Row],[Tag]]&lt;&gt;FilterSpecs!$F$12, MouserListTable12[[#This Row],[Tag]]&lt;&gt;FilterSpecs!$F$9), MouserListTable12[[#This Row],['#/Unit]]*FilterSpecs!$B$3+MouserListTable12[[#This Row],[Extra Initial]],0)</f>
        <v>1</v>
      </c>
      <c r="G389" s="103"/>
      <c r="H389" s="103"/>
      <c r="I389" s="106" t="s">
        <v>2154</v>
      </c>
      <c r="K389" s="157">
        <v>19.95</v>
      </c>
      <c r="L389" s="106" t="s">
        <v>1910</v>
      </c>
      <c r="M389" s="106"/>
      <c r="N389" s="157">
        <f>MouserListTable12[[#This Row],['# Initial]]*MouserListTable12[[#This Row],[Price (USD)]]</f>
        <v>19.95</v>
      </c>
      <c r="O389" s="106" t="s">
        <v>2153</v>
      </c>
      <c r="P389" s="103">
        <f t="shared" si="6"/>
        <v>370</v>
      </c>
      <c r="Q389" s="103" t="s">
        <v>1898</v>
      </c>
      <c r="R38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485-2975</v>
      </c>
      <c r="S389" s="195" t="str">
        <f>HYPERLINK("https://www.mouser.com/ProductDetail/" &amp;MouserListTable12[[#This Row],[Mouser SKU]])</f>
        <v>https://www.mouser.com/ProductDetail/485-2975</v>
      </c>
      <c r="T389" s="121">
        <v>0</v>
      </c>
      <c r="U389" s="121">
        <v>1</v>
      </c>
      <c r="V389" s="121">
        <v>1</v>
      </c>
      <c r="W389" s="121">
        <f>MouserListTable12[[#This Row],['#/Unit]]*FilterSpecs!$C$3+MouserListTable12[[#This Row],[Extra]]</f>
        <v>1</v>
      </c>
      <c r="X389" s="121">
        <f>IF(MouserListTable12[[#This Row],[Tag]]=FilterSpecs!$F$7,MouserListTable12[[#This Row],['#/Unit]]*MouserListTable12[[#This Row],[Price (USD)]],0)</f>
        <v>0</v>
      </c>
      <c r="Y389" s="121">
        <f>MouserListTable12[[#This Row],[Tot '#]]*MouserListTable12[[#This Row],[Price (USD)]]</f>
        <v>19.95</v>
      </c>
      <c r="Z389"/>
    </row>
    <row r="390" spans="1:26" s="146" customFormat="1" hidden="1" x14ac:dyDescent="0.3">
      <c r="A390" s="126" t="s">
        <v>897</v>
      </c>
      <c r="B390" s="146" t="s">
        <v>1617</v>
      </c>
      <c r="C390" s="103" t="s">
        <v>1906</v>
      </c>
      <c r="D390" s="106" t="str">
        <f>IF(MouserListTable12[[#This Row],[Vendor]]=FilterSpecs!$A$8,MouserListTable12[[#This Row],[Mouser SKU]], MouserListTable12[[#This Row],[Supplier SKU]])</f>
        <v>474-COM-00522</v>
      </c>
      <c r="E390" s="121">
        <f>MouserListTable12[[#This Row],[Tot '#]]-MouserListTable12[[#This Row],['# Initial]]</f>
        <v>0</v>
      </c>
      <c r="F390" s="121">
        <f>IF(AND(MouserListTable12[[#This Row],[Tag]]&lt;&gt;FilterSpecs!$F$12, MouserListTable12[[#This Row],[Tag]]&lt;&gt;FilterSpecs!$F$9), MouserListTable12[[#This Row],['#/Unit]]*FilterSpecs!$B$3+MouserListTable12[[#This Row],[Extra Initial]],0)</f>
        <v>0</v>
      </c>
      <c r="G390" s="103" t="s">
        <v>1568</v>
      </c>
      <c r="H390" s="103" t="s">
        <v>1569</v>
      </c>
      <c r="I390" s="106" t="s">
        <v>1570</v>
      </c>
      <c r="J390" s="103">
        <v>1</v>
      </c>
      <c r="K390" s="157">
        <v>0.5</v>
      </c>
      <c r="L390" s="106" t="s">
        <v>1910</v>
      </c>
      <c r="M390" s="103"/>
      <c r="N390" s="157">
        <f>MouserListTable12[[#This Row],['# Initial]]*MouserListTable12[[#This Row],[Price (USD)]]</f>
        <v>0</v>
      </c>
      <c r="O390" s="106" t="s">
        <v>1567</v>
      </c>
      <c r="P390" s="103">
        <f t="shared" si="6"/>
        <v>371</v>
      </c>
      <c r="Q390" s="103" t="s">
        <v>8</v>
      </c>
      <c r="R39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474-COM-00522</v>
      </c>
      <c r="S390" s="195" t="str">
        <f>HYPERLINK("https://www.mouser.com/ProductDetail/" &amp;MouserListTable12[[#This Row],[Mouser SKU]])</f>
        <v>https://www.mouser.com/ProductDetail/474-COM-00522</v>
      </c>
      <c r="T390" s="121">
        <v>0</v>
      </c>
      <c r="U390" s="121">
        <v>0</v>
      </c>
      <c r="V390" s="121">
        <v>0</v>
      </c>
      <c r="W390" s="121">
        <f>MouserListTable12[[#This Row],['#/Unit]]*FilterSpecs!$C$3+MouserListTable12[[#This Row],[Extra]]</f>
        <v>0</v>
      </c>
      <c r="X390" s="121">
        <f>IF(MouserListTable12[[#This Row],[Tag]]=FilterSpecs!$F$7,MouserListTable12[[#This Row],['#/Unit]]*MouserListTable12[[#This Row],[Price (USD)]],0)</f>
        <v>0</v>
      </c>
      <c r="Y390" s="121">
        <f>MouserListTable12[[#This Row],[Tot '#]]*MouserListTable12[[#This Row],[Price (USD)]]</f>
        <v>0</v>
      </c>
      <c r="Z390"/>
    </row>
    <row r="391" spans="1:26" s="146" customFormat="1" hidden="1" x14ac:dyDescent="0.3">
      <c r="A391" s="126" t="s">
        <v>897</v>
      </c>
      <c r="B391" s="146" t="s">
        <v>1617</v>
      </c>
      <c r="C391" s="103" t="s">
        <v>1906</v>
      </c>
      <c r="D391" s="106" t="str">
        <f>IF(MouserListTable12[[#This Row],[Vendor]]=FilterSpecs!$A$8,MouserListTable12[[#This Row],[Mouser SKU]], MouserListTable12[[#This Row],[Supplier SKU]])</f>
        <v>474-COM-00521</v>
      </c>
      <c r="E391" s="121">
        <f>MouserListTable12[[#This Row],[Tot '#]]-MouserListTable12[[#This Row],['# Initial]]</f>
        <v>0</v>
      </c>
      <c r="F391" s="121">
        <f>IF(AND(MouserListTable12[[#This Row],[Tag]]&lt;&gt;FilterSpecs!$F$12, MouserListTable12[[#This Row],[Tag]]&lt;&gt;FilterSpecs!$F$9), MouserListTable12[[#This Row],['#/Unit]]*FilterSpecs!$B$3+MouserListTable12[[#This Row],[Extra Initial]],0)</f>
        <v>0</v>
      </c>
      <c r="G391" s="103" t="s">
        <v>1572</v>
      </c>
      <c r="H391" s="103" t="s">
        <v>1573</v>
      </c>
      <c r="I391" s="106" t="s">
        <v>1574</v>
      </c>
      <c r="J391" s="103">
        <v>1</v>
      </c>
      <c r="K391" s="157">
        <v>0.5</v>
      </c>
      <c r="L391" s="106" t="s">
        <v>1910</v>
      </c>
      <c r="M391" s="103"/>
      <c r="N391" s="157">
        <f>MouserListTable12[[#This Row],['# Initial]]*MouserListTable12[[#This Row],[Price (USD)]]</f>
        <v>0</v>
      </c>
      <c r="O391" s="106" t="s">
        <v>1571</v>
      </c>
      <c r="P391" s="103">
        <f t="shared" si="6"/>
        <v>372</v>
      </c>
      <c r="Q391" s="103" t="s">
        <v>8</v>
      </c>
      <c r="R39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474-COM-00521</v>
      </c>
      <c r="S391" s="195" t="str">
        <f>HYPERLINK("https://www.mouser.com/ProductDetail/" &amp;MouserListTable12[[#This Row],[Mouser SKU]])</f>
        <v>https://www.mouser.com/ProductDetail/474-COM-00521</v>
      </c>
      <c r="T391" s="121">
        <v>0</v>
      </c>
      <c r="U391" s="121">
        <v>0</v>
      </c>
      <c r="V391" s="121">
        <v>0</v>
      </c>
      <c r="W391" s="121">
        <f>MouserListTable12[[#This Row],['#/Unit]]*FilterSpecs!$C$3+MouserListTable12[[#This Row],[Extra]]</f>
        <v>0</v>
      </c>
      <c r="X391" s="121">
        <f>IF(MouserListTable12[[#This Row],[Tag]]=FilterSpecs!$F$7,MouserListTable12[[#This Row],['#/Unit]]*MouserListTable12[[#This Row],[Price (USD)]],0)</f>
        <v>0</v>
      </c>
      <c r="Y391" s="121">
        <f>MouserListTable12[[#This Row],[Tot '#]]*MouserListTable12[[#This Row],[Price (USD)]]</f>
        <v>0</v>
      </c>
      <c r="Z391"/>
    </row>
    <row r="392" spans="1:26" s="146" customFormat="1" hidden="1" x14ac:dyDescent="0.3">
      <c r="A392" s="126" t="s">
        <v>897</v>
      </c>
      <c r="B392" s="146" t="s">
        <v>1617</v>
      </c>
      <c r="C392" s="103" t="s">
        <v>1906</v>
      </c>
      <c r="D392" s="106" t="str">
        <f>IF(MouserListTable12[[#This Row],[Vendor]]=FilterSpecs!$A$8,MouserListTable12[[#This Row],[Mouser SKU]], MouserListTable12[[#This Row],[Supplier SKU]])</f>
        <v>474-COM-08928</v>
      </c>
      <c r="E392" s="121">
        <f>MouserListTable12[[#This Row],[Tot '#]]-MouserListTable12[[#This Row],['# Initial]]</f>
        <v>0</v>
      </c>
      <c r="F392" s="121">
        <f>IF(AND(MouserListTable12[[#This Row],[Tag]]&lt;&gt;FilterSpecs!$F$12, MouserListTable12[[#This Row],[Tag]]&lt;&gt;FilterSpecs!$F$9), MouserListTable12[[#This Row],['#/Unit]]*FilterSpecs!$B$3+MouserListTable12[[#This Row],[Extra Initial]],0)</f>
        <v>0</v>
      </c>
      <c r="G392" s="103" t="s">
        <v>1556</v>
      </c>
      <c r="H392" s="103" t="s">
        <v>1557</v>
      </c>
      <c r="I392" s="106" t="s">
        <v>1558</v>
      </c>
      <c r="J392" s="103">
        <v>1</v>
      </c>
      <c r="K392" s="157">
        <v>0.5</v>
      </c>
      <c r="L392" s="106" t="s">
        <v>2487</v>
      </c>
      <c r="M392" s="103"/>
      <c r="N392" s="157">
        <f>MouserListTable12[[#This Row],['# Initial]]*MouserListTable12[[#This Row],[Price (USD)]]</f>
        <v>0</v>
      </c>
      <c r="O392" s="106" t="s">
        <v>1555</v>
      </c>
      <c r="P392" s="103">
        <f t="shared" si="6"/>
        <v>373</v>
      </c>
      <c r="Q392" s="103" t="s">
        <v>8</v>
      </c>
      <c r="R39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474-COM-08928</v>
      </c>
      <c r="S392" s="195" t="str">
        <f>HYPERLINK("https://www.mouser.com/ProductDetail/" &amp;MouserListTable12[[#This Row],[Mouser SKU]])</f>
        <v>https://www.mouser.com/ProductDetail/474-COM-08928</v>
      </c>
      <c r="T392" s="121">
        <v>0</v>
      </c>
      <c r="U392" s="121">
        <v>0</v>
      </c>
      <c r="V392" s="121">
        <v>0</v>
      </c>
      <c r="W392" s="121">
        <f>MouserListTable12[[#This Row],['#/Unit]]*FilterSpecs!$C$3+MouserListTable12[[#This Row],[Extra]]</f>
        <v>0</v>
      </c>
      <c r="X392" s="121">
        <f>IF(MouserListTable12[[#This Row],[Tag]]=FilterSpecs!$F$7,MouserListTable12[[#This Row],['#/Unit]]*MouserListTable12[[#This Row],[Price (USD)]],0)</f>
        <v>0</v>
      </c>
      <c r="Y392" s="121">
        <f>MouserListTable12[[#This Row],[Tot '#]]*MouserListTable12[[#This Row],[Price (USD)]]</f>
        <v>0</v>
      </c>
      <c r="Z392"/>
    </row>
    <row r="393" spans="1:26" s="146" customFormat="1" hidden="1" x14ac:dyDescent="0.3">
      <c r="A393" s="126" t="s">
        <v>897</v>
      </c>
      <c r="B393" s="146" t="s">
        <v>1617</v>
      </c>
      <c r="C393" s="103" t="s">
        <v>1906</v>
      </c>
      <c r="D393" s="106" t="str">
        <f>IF(MouserListTable12[[#This Row],[Vendor]]=FilterSpecs!$A$8,MouserListTable12[[#This Row],[Mouser SKU]], MouserListTable12[[#This Row],[Supplier SKU]])</f>
        <v>474-COM-10213</v>
      </c>
      <c r="E393" s="121">
        <f>MouserListTable12[[#This Row],[Tot '#]]-MouserListTable12[[#This Row],['# Initial]]</f>
        <v>0</v>
      </c>
      <c r="F393" s="121">
        <f>IF(AND(MouserListTable12[[#This Row],[Tag]]&lt;&gt;FilterSpecs!$F$12, MouserListTable12[[#This Row],[Tag]]&lt;&gt;FilterSpecs!$F$9), MouserListTable12[[#This Row],['#/Unit]]*FilterSpecs!$B$3+MouserListTable12[[#This Row],[Extra Initial]],0)</f>
        <v>0</v>
      </c>
      <c r="G393" s="103" t="s">
        <v>1560</v>
      </c>
      <c r="H393" s="103" t="s">
        <v>1561</v>
      </c>
      <c r="I393" s="106" t="s">
        <v>1562</v>
      </c>
      <c r="J393" s="103">
        <v>1</v>
      </c>
      <c r="K393" s="157">
        <v>0.95</v>
      </c>
      <c r="L393" s="106" t="s">
        <v>1910</v>
      </c>
      <c r="M393" s="103"/>
      <c r="N393" s="157">
        <f>MouserListTable12[[#This Row],['# Initial]]*MouserListTable12[[#This Row],[Price (USD)]]</f>
        <v>0</v>
      </c>
      <c r="O393" s="106" t="s">
        <v>1559</v>
      </c>
      <c r="P393" s="103">
        <f t="shared" si="6"/>
        <v>374</v>
      </c>
      <c r="Q393" s="103" t="s">
        <v>8</v>
      </c>
      <c r="R39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474-COM-10213</v>
      </c>
      <c r="S393" s="195" t="str">
        <f>HYPERLINK("https://www.mouser.com/ProductDetail/" &amp;MouserListTable12[[#This Row],[Mouser SKU]])</f>
        <v>https://www.mouser.com/ProductDetail/474-COM-10213</v>
      </c>
      <c r="T393" s="121">
        <v>0</v>
      </c>
      <c r="U393" s="121">
        <v>0</v>
      </c>
      <c r="V393" s="121">
        <v>0</v>
      </c>
      <c r="W393" s="121">
        <f>MouserListTable12[[#This Row],['#/Unit]]*FilterSpecs!$C$3+MouserListTable12[[#This Row],[Extra]]</f>
        <v>0</v>
      </c>
      <c r="X393" s="121">
        <f>IF(MouserListTable12[[#This Row],[Tag]]=FilterSpecs!$F$7,MouserListTable12[[#This Row],['#/Unit]]*MouserListTable12[[#This Row],[Price (USD)]],0)</f>
        <v>0</v>
      </c>
      <c r="Y393" s="121">
        <f>MouserListTable12[[#This Row],[Tot '#]]*MouserListTable12[[#This Row],[Price (USD)]]</f>
        <v>0</v>
      </c>
      <c r="Z393"/>
    </row>
    <row r="394" spans="1:26" s="146" customFormat="1" hidden="1" x14ac:dyDescent="0.3">
      <c r="A394" s="126" t="s">
        <v>897</v>
      </c>
      <c r="B394" s="146" t="s">
        <v>1617</v>
      </c>
      <c r="C394" s="103" t="s">
        <v>1906</v>
      </c>
      <c r="D394" s="106" t="str">
        <f>IF(MouserListTable12[[#This Row],[Vendor]]=FilterSpecs!$A$8,MouserListTable12[[#This Row],[Mouser SKU]], MouserListTable12[[#This Row],[Supplier SKU]])</f>
        <v>474-COM-10349</v>
      </c>
      <c r="E394" s="121">
        <f>MouserListTable12[[#This Row],[Tot '#]]-MouserListTable12[[#This Row],['# Initial]]</f>
        <v>0</v>
      </c>
      <c r="F394" s="121">
        <f>IF(AND(MouserListTable12[[#This Row],[Tag]]&lt;&gt;FilterSpecs!$F$12, MouserListTable12[[#This Row],[Tag]]&lt;&gt;FilterSpecs!$F$9), MouserListTable12[[#This Row],['#/Unit]]*FilterSpecs!$B$3+MouserListTable12[[#This Row],[Extra Initial]],0)</f>
        <v>0</v>
      </c>
      <c r="G394" s="103" t="s">
        <v>1564</v>
      </c>
      <c r="H394" s="103" t="s">
        <v>1565</v>
      </c>
      <c r="I394" s="106" t="s">
        <v>1566</v>
      </c>
      <c r="J394" s="103">
        <v>1</v>
      </c>
      <c r="K394" s="157">
        <v>0.95</v>
      </c>
      <c r="L394" s="106" t="s">
        <v>1913</v>
      </c>
      <c r="M394" s="103"/>
      <c r="N394" s="157">
        <f>MouserListTable12[[#This Row],['# Initial]]*MouserListTable12[[#This Row],[Price (USD)]]</f>
        <v>0</v>
      </c>
      <c r="O394" s="106" t="s">
        <v>1563</v>
      </c>
      <c r="P394" s="103">
        <f t="shared" si="6"/>
        <v>375</v>
      </c>
      <c r="Q394" s="103" t="s">
        <v>8</v>
      </c>
      <c r="R39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474-COM-10349</v>
      </c>
      <c r="S394" s="195" t="str">
        <f>HYPERLINK("https://www.mouser.com/ProductDetail/" &amp;MouserListTable12[[#This Row],[Mouser SKU]])</f>
        <v>https://www.mouser.com/ProductDetail/474-COM-10349</v>
      </c>
      <c r="T394" s="121">
        <v>0</v>
      </c>
      <c r="U394" s="121">
        <v>0</v>
      </c>
      <c r="V394" s="121">
        <v>0</v>
      </c>
      <c r="W394" s="121">
        <f>MouserListTable12[[#This Row],['#/Unit]]*FilterSpecs!$C$3+MouserListTable12[[#This Row],[Extra]]</f>
        <v>0</v>
      </c>
      <c r="X394" s="121">
        <f>IF(MouserListTable12[[#This Row],[Tag]]=FilterSpecs!$F$7,MouserListTable12[[#This Row],['#/Unit]]*MouserListTable12[[#This Row],[Price (USD)]],0)</f>
        <v>0</v>
      </c>
      <c r="Y394" s="121">
        <f>MouserListTable12[[#This Row],[Tot '#]]*MouserListTable12[[#This Row],[Price (USD)]]</f>
        <v>0</v>
      </c>
      <c r="Z394"/>
    </row>
    <row r="395" spans="1:26" s="146" customFormat="1" hidden="1" x14ac:dyDescent="0.3">
      <c r="A395" s="126" t="s">
        <v>897</v>
      </c>
      <c r="B395" s="146" t="s">
        <v>1617</v>
      </c>
      <c r="C395" s="103" t="s">
        <v>1906</v>
      </c>
      <c r="D395" s="106" t="str">
        <f>IF(MouserListTable12[[#This Row],[Vendor]]=FilterSpecs!$A$8,MouserListTable12[[#This Row],[Mouser SKU]], MouserListTable12[[#This Row],[Supplier SKU]])</f>
        <v>474-COM-12901</v>
      </c>
      <c r="E395" s="121">
        <f>MouserListTable12[[#This Row],[Tot '#]]-MouserListTable12[[#This Row],['# Initial]]</f>
        <v>0</v>
      </c>
      <c r="F395" s="121">
        <f>IF(AND(MouserListTable12[[#This Row],[Tag]]&lt;&gt;FilterSpecs!$F$12, MouserListTable12[[#This Row],[Tag]]&lt;&gt;FilterSpecs!$F$9), MouserListTable12[[#This Row],['#/Unit]]*FilterSpecs!$B$3+MouserListTable12[[#This Row],[Extra Initial]],0)</f>
        <v>0</v>
      </c>
      <c r="G395" s="103" t="s">
        <v>1576</v>
      </c>
      <c r="H395" s="103" t="s">
        <v>1577</v>
      </c>
      <c r="I395" s="106" t="s">
        <v>1578</v>
      </c>
      <c r="J395" s="103"/>
      <c r="K395" s="157">
        <v>1.95</v>
      </c>
      <c r="L395" s="106" t="s">
        <v>1913</v>
      </c>
      <c r="M395" s="103"/>
      <c r="N395" s="157">
        <f>MouserListTable12[[#This Row],['# Initial]]*MouserListTable12[[#This Row],[Price (USD)]]</f>
        <v>0</v>
      </c>
      <c r="O395" s="106" t="s">
        <v>1575</v>
      </c>
      <c r="P395" s="103">
        <f t="shared" si="6"/>
        <v>376</v>
      </c>
      <c r="Q395" s="103" t="s">
        <v>8</v>
      </c>
      <c r="R39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474-COM-12901</v>
      </c>
      <c r="S395" s="195" t="str">
        <f>HYPERLINK("https://www.mouser.com/ProductDetail/" &amp;MouserListTable12[[#This Row],[Mouser SKU]])</f>
        <v>https://www.mouser.com/ProductDetail/474-COM-12901</v>
      </c>
      <c r="T395" s="121">
        <v>0</v>
      </c>
      <c r="U395" s="121">
        <v>0</v>
      </c>
      <c r="V395" s="121">
        <v>0</v>
      </c>
      <c r="W395" s="121">
        <f>MouserListTable12[[#This Row],['#/Unit]]*FilterSpecs!$C$3+MouserListTable12[[#This Row],[Extra]]</f>
        <v>0</v>
      </c>
      <c r="X395" s="121">
        <f>IF(MouserListTable12[[#This Row],[Tag]]=FilterSpecs!$F$7,MouserListTable12[[#This Row],['#/Unit]]*MouserListTable12[[#This Row],[Price (USD)]],0)</f>
        <v>0</v>
      </c>
      <c r="Y395" s="121">
        <f>MouserListTable12[[#This Row],[Tot '#]]*MouserListTable12[[#This Row],[Price (USD)]]</f>
        <v>0</v>
      </c>
      <c r="Z395"/>
    </row>
    <row r="396" spans="1:26" s="146" customFormat="1" x14ac:dyDescent="0.3">
      <c r="A396" s="103" t="s">
        <v>897</v>
      </c>
      <c r="B396" s="106" t="s">
        <v>1617</v>
      </c>
      <c r="C396" s="103" t="s">
        <v>1906</v>
      </c>
      <c r="D396" s="106" t="str">
        <f>IF(MouserListTable12[[#This Row],[Vendor]]=FilterSpecs!$A$8,MouserListTable12[[#This Row],[Mouser SKU]], MouserListTable12[[#This Row],[Supplier SKU]])</f>
        <v>474-COM-11078</v>
      </c>
      <c r="E396" s="121">
        <f>MouserListTable12[[#This Row],[Tot '#]]-MouserListTable12[[#This Row],['# Initial]]</f>
        <v>0</v>
      </c>
      <c r="F396" s="121">
        <f>IF(AND(MouserListTable12[[#This Row],[Tag]]&lt;&gt;FilterSpecs!$F$12, MouserListTable12[[#This Row],[Tag]]&lt;&gt;FilterSpecs!$F$9), MouserListTable12[[#This Row],['#/Unit]]*FilterSpecs!$B$3+MouserListTable12[[#This Row],[Extra Initial]],0)</f>
        <v>5</v>
      </c>
      <c r="G396" s="103" t="s">
        <v>392</v>
      </c>
      <c r="H396" s="103" t="s">
        <v>393</v>
      </c>
      <c r="I396" s="106" t="s">
        <v>394</v>
      </c>
      <c r="J396" s="103">
        <v>1</v>
      </c>
      <c r="K396" s="157">
        <v>0.5</v>
      </c>
      <c r="L396" s="106" t="s">
        <v>1911</v>
      </c>
      <c r="M396" s="103"/>
      <c r="N396" s="157">
        <f>MouserListTable12[[#This Row],['# Initial]]*MouserListTable12[[#This Row],[Price (USD)]]</f>
        <v>2.5</v>
      </c>
      <c r="O396" s="106" t="s">
        <v>391</v>
      </c>
      <c r="P396" s="103">
        <f t="shared" si="6"/>
        <v>377</v>
      </c>
      <c r="Q396" s="103" t="s">
        <v>8</v>
      </c>
      <c r="R39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474-COM-11078</v>
      </c>
      <c r="S396" s="195" t="str">
        <f>HYPERLINK("https://www.mouser.com/ProductDetail/" &amp;MouserListTable12[[#This Row],[Mouser SKU]])</f>
        <v>https://www.mouser.com/ProductDetail/474-COM-11078</v>
      </c>
      <c r="T396" s="121">
        <v>1</v>
      </c>
      <c r="U396" s="121">
        <v>0</v>
      </c>
      <c r="V396" s="121">
        <v>0</v>
      </c>
      <c r="W396" s="121">
        <f>MouserListTable12[[#This Row],['#/Unit]]*FilterSpecs!$C$3+MouserListTable12[[#This Row],[Extra]]</f>
        <v>5</v>
      </c>
      <c r="X396" s="121">
        <f>IF(MouserListTable12[[#This Row],[Tag]]=FilterSpecs!$F$7,MouserListTable12[[#This Row],['#/Unit]]*MouserListTable12[[#This Row],[Price (USD)]],0)</f>
        <v>0.5</v>
      </c>
      <c r="Y396" s="121">
        <f>MouserListTable12[[#This Row],[Tot '#]]*MouserListTable12[[#This Row],[Price (USD)]]</f>
        <v>2.5</v>
      </c>
      <c r="Z396"/>
    </row>
    <row r="397" spans="1:26" s="146" customFormat="1" x14ac:dyDescent="0.3">
      <c r="A397" s="103" t="s">
        <v>897</v>
      </c>
      <c r="B397" s="106" t="s">
        <v>1617</v>
      </c>
      <c r="C397" s="103" t="s">
        <v>1906</v>
      </c>
      <c r="D397" s="106" t="str">
        <f>IF(MouserListTable12[[#This Row],[Vendor]]=FilterSpecs!$A$8,MouserListTable12[[#This Row],[Mouser SKU]], MouserListTable12[[#This Row],[Supplier SKU]])</f>
        <v>474-COM-00526</v>
      </c>
      <c r="E397" s="121">
        <f>MouserListTable12[[#This Row],[Tot '#]]-MouserListTable12[[#This Row],['# Initial]]</f>
        <v>0</v>
      </c>
      <c r="F397" s="121">
        <f>IF(AND(MouserListTable12[[#This Row],[Tag]]&lt;&gt;FilterSpecs!$F$12, MouserListTable12[[#This Row],[Tag]]&lt;&gt;FilterSpecs!$F$9), MouserListTable12[[#This Row],['#/Unit]]*FilterSpecs!$B$3+MouserListTable12[[#This Row],[Extra Initial]],0)</f>
        <v>5</v>
      </c>
      <c r="G397" s="103" t="s">
        <v>380</v>
      </c>
      <c r="H397" s="103" t="s">
        <v>381</v>
      </c>
      <c r="I397" s="106" t="s">
        <v>382</v>
      </c>
      <c r="J397" s="103">
        <v>1</v>
      </c>
      <c r="K397" s="157">
        <v>1.95</v>
      </c>
      <c r="L397" s="106" t="s">
        <v>1911</v>
      </c>
      <c r="M397" s="103"/>
      <c r="N397" s="157">
        <f>MouserListTable12[[#This Row],['# Initial]]*MouserListTable12[[#This Row],[Price (USD)]]</f>
        <v>9.75</v>
      </c>
      <c r="O397" s="106" t="s">
        <v>379</v>
      </c>
      <c r="P397" s="103">
        <f t="shared" si="6"/>
        <v>378</v>
      </c>
      <c r="Q397" s="103" t="s">
        <v>8</v>
      </c>
      <c r="R39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474-COM-00526</v>
      </c>
      <c r="S397" s="195" t="str">
        <f>HYPERLINK("https://www.mouser.com/ProductDetail/" &amp;MouserListTable12[[#This Row],[Mouser SKU]])</f>
        <v>https://www.mouser.com/ProductDetail/474-COM-00526</v>
      </c>
      <c r="T397" s="121">
        <v>1</v>
      </c>
      <c r="U397" s="121">
        <v>0</v>
      </c>
      <c r="V397" s="121">
        <v>0</v>
      </c>
      <c r="W397" s="121">
        <f>MouserListTable12[[#This Row],['#/Unit]]*FilterSpecs!$C$3+MouserListTable12[[#This Row],[Extra]]</f>
        <v>5</v>
      </c>
      <c r="X397" s="121">
        <f>IF(MouserListTable12[[#This Row],[Tag]]=FilterSpecs!$F$7,MouserListTable12[[#This Row],['#/Unit]]*MouserListTable12[[#This Row],[Price (USD)]],0)</f>
        <v>1.95</v>
      </c>
      <c r="Y397" s="121">
        <f>MouserListTable12[[#This Row],[Tot '#]]*MouserListTable12[[#This Row],[Price (USD)]]</f>
        <v>9.75</v>
      </c>
      <c r="Z397"/>
    </row>
    <row r="398" spans="1:26" s="146" customFormat="1" x14ac:dyDescent="0.3">
      <c r="A398" s="103" t="s">
        <v>897</v>
      </c>
      <c r="B398" s="106" t="s">
        <v>1617</v>
      </c>
      <c r="C398" s="103" t="s">
        <v>1906</v>
      </c>
      <c r="D398" s="106" t="str">
        <f>IF(MouserListTable12[[#This Row],[Vendor]]=FilterSpecs!$A$8,MouserListTable12[[#This Row],[Mouser SKU]], MouserListTable12[[#This Row],[Supplier SKU]])</f>
        <v>474-COM-00107</v>
      </c>
      <c r="E398" s="121">
        <f>MouserListTable12[[#This Row],[Tot '#]]-MouserListTable12[[#This Row],['# Initial]]</f>
        <v>0</v>
      </c>
      <c r="F398" s="121">
        <f>IF(AND(MouserListTable12[[#This Row],[Tag]]&lt;&gt;FilterSpecs!$F$12, MouserListTable12[[#This Row],[Tag]]&lt;&gt;FilterSpecs!$F$9), MouserListTable12[[#This Row],['#/Unit]]*FilterSpecs!$B$3+MouserListTable12[[#This Row],[Extra Initial]],0)</f>
        <v>5</v>
      </c>
      <c r="G398" s="103" t="s">
        <v>396</v>
      </c>
      <c r="H398" s="103" t="s">
        <v>397</v>
      </c>
      <c r="I398" s="106" t="s">
        <v>398</v>
      </c>
      <c r="J398" s="103">
        <v>1</v>
      </c>
      <c r="K398" s="157">
        <v>0.95</v>
      </c>
      <c r="L398" s="106" t="s">
        <v>1911</v>
      </c>
      <c r="M398" s="103"/>
      <c r="N398" s="157">
        <f>MouserListTable12[[#This Row],['# Initial]]*MouserListTable12[[#This Row],[Price (USD)]]</f>
        <v>4.75</v>
      </c>
      <c r="O398" s="106" t="s">
        <v>395</v>
      </c>
      <c r="P398" s="103">
        <f t="shared" si="6"/>
        <v>379</v>
      </c>
      <c r="Q398" s="103" t="s">
        <v>8</v>
      </c>
      <c r="R39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474-COM-00107</v>
      </c>
      <c r="S398" s="195" t="str">
        <f>HYPERLINK("https://www.mouser.com/ProductDetail/" &amp;MouserListTable12[[#This Row],[Mouser SKU]])</f>
        <v>https://www.mouser.com/ProductDetail/474-COM-00107</v>
      </c>
      <c r="T398" s="121">
        <v>1</v>
      </c>
      <c r="U398" s="121">
        <v>0</v>
      </c>
      <c r="V398" s="121">
        <v>0</v>
      </c>
      <c r="W398" s="121">
        <f>MouserListTable12[[#This Row],['#/Unit]]*FilterSpecs!$C$3+MouserListTable12[[#This Row],[Extra]]</f>
        <v>5</v>
      </c>
      <c r="X398" s="121">
        <f>IF(MouserListTable12[[#This Row],[Tag]]=FilterSpecs!$F$7,MouserListTable12[[#This Row],['#/Unit]]*MouserListTable12[[#This Row],[Price (USD)]],0)</f>
        <v>0.95</v>
      </c>
      <c r="Y398" s="121">
        <f>MouserListTable12[[#This Row],[Tot '#]]*MouserListTable12[[#This Row],[Price (USD)]]</f>
        <v>4.75</v>
      </c>
      <c r="Z398"/>
    </row>
    <row r="399" spans="1:26" s="146" customFormat="1" hidden="1" x14ac:dyDescent="0.3">
      <c r="A399" s="103" t="s">
        <v>897</v>
      </c>
      <c r="B399" s="106" t="s">
        <v>1617</v>
      </c>
      <c r="C399" s="103" t="s">
        <v>1906</v>
      </c>
      <c r="D399" s="106" t="str">
        <f>IF(MouserListTable12[[#This Row],[Vendor]]=FilterSpecs!$A$8,MouserListTable12[[#This Row],[Mouser SKU]], MouserListTable12[[#This Row],[Supplier SKU]])</f>
        <v>474-COM-12766</v>
      </c>
      <c r="E399" s="121">
        <f>MouserListTable12[[#This Row],[Tot '#]]-MouserListTable12[[#This Row],['# Initial]]</f>
        <v>2</v>
      </c>
      <c r="F399" s="121">
        <f>IF(AND(MouserListTable12[[#This Row],[Tag]]&lt;&gt;FilterSpecs!$F$12, MouserListTable12[[#This Row],[Tag]]&lt;&gt;FilterSpecs!$F$9), MouserListTable12[[#This Row],['#/Unit]]*FilterSpecs!$B$3+MouserListTable12[[#This Row],[Extra Initial]],0)</f>
        <v>0</v>
      </c>
      <c r="G399" s="103" t="s">
        <v>1273</v>
      </c>
      <c r="H399" s="103" t="s">
        <v>1274</v>
      </c>
      <c r="I399" s="106" t="s">
        <v>1275</v>
      </c>
      <c r="J399" s="103">
        <v>1</v>
      </c>
      <c r="K399" s="157">
        <v>1.5</v>
      </c>
      <c r="L399" s="106" t="s">
        <v>1910</v>
      </c>
      <c r="M399" s="103"/>
      <c r="N399" s="157">
        <f>MouserListTable12[[#This Row],['# Initial]]*MouserListTable12[[#This Row],[Price (USD)]]</f>
        <v>0</v>
      </c>
      <c r="O399" s="106" t="s">
        <v>1272</v>
      </c>
      <c r="P399" s="103">
        <f t="shared" si="6"/>
        <v>380</v>
      </c>
      <c r="Q399" s="103" t="s">
        <v>8</v>
      </c>
      <c r="R39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474-COM-12766</v>
      </c>
      <c r="S399" s="195" t="str">
        <f>HYPERLINK("https://www.mouser.com/ProductDetail/" &amp;MouserListTable12[[#This Row],[Mouser SKU]])</f>
        <v>https://www.mouser.com/ProductDetail/474-COM-12766</v>
      </c>
      <c r="T399" s="121">
        <v>0</v>
      </c>
      <c r="U399" s="121">
        <v>2</v>
      </c>
      <c r="V399" s="121">
        <v>0</v>
      </c>
      <c r="W399" s="121">
        <f>MouserListTable12[[#This Row],['#/Unit]]*FilterSpecs!$C$3+MouserListTable12[[#This Row],[Extra]]</f>
        <v>2</v>
      </c>
      <c r="X399" s="121">
        <f>IF(MouserListTable12[[#This Row],[Tag]]=FilterSpecs!$F$7,MouserListTable12[[#This Row],['#/Unit]]*MouserListTable12[[#This Row],[Price (USD)]],0)</f>
        <v>0</v>
      </c>
      <c r="Y399" s="121">
        <f>MouserListTable12[[#This Row],[Tot '#]]*MouserListTable12[[#This Row],[Price (USD)]]</f>
        <v>3</v>
      </c>
      <c r="Z399"/>
    </row>
    <row r="400" spans="1:26" s="146" customFormat="1" hidden="1" x14ac:dyDescent="0.3">
      <c r="A400" s="103" t="s">
        <v>897</v>
      </c>
      <c r="B400" s="106" t="s">
        <v>1617</v>
      </c>
      <c r="C400" s="103" t="s">
        <v>1906</v>
      </c>
      <c r="D400" s="106" t="str">
        <f>IF(MouserListTable12[[#This Row],[Vendor]]=FilterSpecs!$A$8,MouserListTable12[[#This Row],[Mouser SKU]], MouserListTable12[[#This Row],[Supplier SKU]])</f>
        <v>474-COM-00527</v>
      </c>
      <c r="E400" s="121">
        <f>MouserListTable12[[#This Row],[Tot '#]]-MouserListTable12[[#This Row],['# Initial]]</f>
        <v>1</v>
      </c>
      <c r="F400" s="121">
        <f>IF(AND(MouserListTable12[[#This Row],[Tag]]&lt;&gt;FilterSpecs!$F$12, MouserListTable12[[#This Row],[Tag]]&lt;&gt;FilterSpecs!$F$9), MouserListTable12[[#This Row],['#/Unit]]*FilterSpecs!$B$3+MouserListTable12[[#This Row],[Extra Initial]],0)</f>
        <v>0</v>
      </c>
      <c r="G400" s="103" t="s">
        <v>384</v>
      </c>
      <c r="H400" s="103" t="s">
        <v>385</v>
      </c>
      <c r="I400" s="106" t="s">
        <v>386</v>
      </c>
      <c r="J400" s="103">
        <v>1</v>
      </c>
      <c r="K400" s="157">
        <v>1.95</v>
      </c>
      <c r="L400" s="106" t="s">
        <v>2487</v>
      </c>
      <c r="M400" s="103"/>
      <c r="N400" s="157">
        <f>MouserListTable12[[#This Row],['# Initial]]*MouserListTable12[[#This Row],[Price (USD)]]</f>
        <v>0</v>
      </c>
      <c r="O400" s="106" t="s">
        <v>383</v>
      </c>
      <c r="P400" s="103">
        <f t="shared" si="6"/>
        <v>381</v>
      </c>
      <c r="Q400" s="103" t="s">
        <v>8</v>
      </c>
      <c r="R40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474-COM-00527</v>
      </c>
      <c r="S400" s="195" t="str">
        <f>HYPERLINK("https://www.mouser.com/ProductDetail/" &amp;MouserListTable12[[#This Row],[Mouser SKU]])</f>
        <v>https://www.mouser.com/ProductDetail/474-COM-00527</v>
      </c>
      <c r="T400" s="121">
        <v>0</v>
      </c>
      <c r="U400" s="121">
        <v>1</v>
      </c>
      <c r="V400" s="121">
        <v>0</v>
      </c>
      <c r="W400" s="121">
        <f>MouserListTable12[[#This Row],['#/Unit]]*FilterSpecs!$C$3+MouserListTable12[[#This Row],[Extra]]</f>
        <v>1</v>
      </c>
      <c r="X400" s="121">
        <f>IF(MouserListTable12[[#This Row],[Tag]]=FilterSpecs!$F$7,MouserListTable12[[#This Row],['#/Unit]]*MouserListTable12[[#This Row],[Price (USD)]],0)</f>
        <v>0</v>
      </c>
      <c r="Y400" s="121">
        <f>MouserListTable12[[#This Row],[Tot '#]]*MouserListTable12[[#This Row],[Price (USD)]]</f>
        <v>1.95</v>
      </c>
      <c r="Z400"/>
    </row>
    <row r="401" spans="1:26" s="146" customFormat="1" x14ac:dyDescent="0.3">
      <c r="A401" s="103" t="s">
        <v>897</v>
      </c>
      <c r="B401" s="106" t="s">
        <v>1617</v>
      </c>
      <c r="C401" s="103" t="s">
        <v>1906</v>
      </c>
      <c r="D401" s="106" t="str">
        <f>IF(MouserListTable12[[#This Row],[Vendor]]=FilterSpecs!$A$8,MouserListTable12[[#This Row],[Mouser SKU]], MouserListTable12[[#This Row],[Supplier SKU]])</f>
        <v>474-PRT-07937</v>
      </c>
      <c r="E401" s="121">
        <f>MouserListTable12[[#This Row],[Tot '#]]-MouserListTable12[[#This Row],['# Initial]]</f>
        <v>1</v>
      </c>
      <c r="F401" s="121">
        <f>IF(AND(MouserListTable12[[#This Row],[Tag]]&lt;&gt;FilterSpecs!$F$12, MouserListTable12[[#This Row],[Tag]]&lt;&gt;FilterSpecs!$F$9), MouserListTable12[[#This Row],['#/Unit]]*FilterSpecs!$B$3+MouserListTable12[[#This Row],[Extra Initial]],0)</f>
        <v>25</v>
      </c>
      <c r="G401" s="103" t="s">
        <v>1844</v>
      </c>
      <c r="H401" s="103" t="s">
        <v>1845</v>
      </c>
      <c r="I401" s="106" t="s">
        <v>1846</v>
      </c>
      <c r="J401" s="103">
        <v>1</v>
      </c>
      <c r="K401" s="157">
        <v>0.5</v>
      </c>
      <c r="L401" s="106" t="s">
        <v>1911</v>
      </c>
      <c r="M401" s="103"/>
      <c r="N401" s="157">
        <f>MouserListTable12[[#This Row],['# Initial]]*MouserListTable12[[#This Row],[Price (USD)]]</f>
        <v>12.5</v>
      </c>
      <c r="O401" s="106" t="s">
        <v>1843</v>
      </c>
      <c r="P401" s="103">
        <f t="shared" si="6"/>
        <v>382</v>
      </c>
      <c r="Q401" s="103" t="s">
        <v>8</v>
      </c>
      <c r="R40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474-PRT-07937</v>
      </c>
      <c r="S401" s="195" t="str">
        <f>HYPERLINK("https://www.mouser.com/ProductDetail/" &amp;MouserListTable12[[#This Row],[Mouser SKU]])</f>
        <v>https://www.mouser.com/ProductDetail/474-PRT-07937</v>
      </c>
      <c r="T401" s="121">
        <f>SUM(T403:T409)</f>
        <v>5</v>
      </c>
      <c r="U401" s="121">
        <v>1</v>
      </c>
      <c r="V401" s="121">
        <v>0</v>
      </c>
      <c r="W401" s="121">
        <f>MouserListTable12[[#This Row],['#/Unit]]*FilterSpecs!$C$3+MouserListTable12[[#This Row],[Extra]]</f>
        <v>26</v>
      </c>
      <c r="X401" s="121">
        <f>IF(MouserListTable12[[#This Row],[Tag]]=FilterSpecs!$F$7,MouserListTable12[[#This Row],['#/Unit]]*MouserListTable12[[#This Row],[Price (USD)]],0)</f>
        <v>2.5</v>
      </c>
      <c r="Y401" s="121">
        <f>MouserListTable12[[#This Row],[Tot '#]]*MouserListTable12[[#This Row],[Price (USD)]]</f>
        <v>13</v>
      </c>
      <c r="Z401"/>
    </row>
    <row r="402" spans="1:26" s="146" customFormat="1" hidden="1" x14ac:dyDescent="0.3">
      <c r="A402" s="128" t="s">
        <v>897</v>
      </c>
      <c r="B402" s="128" t="s">
        <v>1617</v>
      </c>
      <c r="C402" s="103" t="s">
        <v>1906</v>
      </c>
      <c r="D402" s="106" t="str">
        <f>IF(MouserListTable12[[#This Row],[Vendor]]=FilterSpecs!$A$8,MouserListTable12[[#This Row],[Mouser SKU]], MouserListTable12[[#This Row],[Supplier SKU]])</f>
        <v>485-2202</v>
      </c>
      <c r="E402" s="121">
        <f>MouserListTable12[[#This Row],[Tot '#]]-MouserListTable12[[#This Row],['# Initial]]</f>
        <v>0</v>
      </c>
      <c r="F402" s="121">
        <f>IF(AND(MouserListTable12[[#This Row],[Tag]]&lt;&gt;FilterSpecs!$F$12, MouserListTable12[[#This Row],[Tag]]&lt;&gt;FilterSpecs!$F$9), MouserListTable12[[#This Row],['#/Unit]]*FilterSpecs!$B$3+MouserListTable12[[#This Row],[Extra Initial]],0)</f>
        <v>0</v>
      </c>
      <c r="I402" s="128" t="s">
        <v>2476</v>
      </c>
      <c r="J402" s="153">
        <v>114</v>
      </c>
      <c r="K402" s="159">
        <v>0.75</v>
      </c>
      <c r="L402" s="126" t="s">
        <v>1910</v>
      </c>
      <c r="N402" s="157">
        <f>MouserListTable12[[#This Row],['# Initial]]*MouserListTable12[[#This Row],[Price (USD)]]</f>
        <v>0</v>
      </c>
      <c r="O402" s="153" t="s">
        <v>2477</v>
      </c>
      <c r="P402" s="103">
        <f t="shared" si="6"/>
        <v>383</v>
      </c>
      <c r="Q402" s="103" t="s">
        <v>1898</v>
      </c>
      <c r="R40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485-2202</v>
      </c>
      <c r="S402" s="195" t="str">
        <f>HYPERLINK("https://www.mouser.com/ProductDetail/" &amp;MouserListTable12[[#This Row],[Mouser SKU]])</f>
        <v>https://www.mouser.com/ProductDetail/485-2202</v>
      </c>
      <c r="T402" s="121">
        <v>0</v>
      </c>
      <c r="U402" s="121">
        <v>0</v>
      </c>
      <c r="V402" s="121">
        <v>0</v>
      </c>
      <c r="W402" s="121">
        <f>MouserListTable12[[#This Row],['#/Unit]]*FilterSpecs!$C$3+MouserListTable12[[#This Row],[Extra]]</f>
        <v>0</v>
      </c>
      <c r="X402" s="121">
        <f>IF(MouserListTable12[[#This Row],[Tag]]=FilterSpecs!$F$7,MouserListTable12[[#This Row],['#/Unit]]*MouserListTable12[[#This Row],[Price (USD)]],0)</f>
        <v>0</v>
      </c>
      <c r="Y402" s="121">
        <f>MouserListTable12[[#This Row],[Tot '#]]*MouserListTable12[[#This Row],[Price (USD)]]</f>
        <v>0</v>
      </c>
      <c r="Z402"/>
    </row>
    <row r="403" spans="1:26" s="146" customFormat="1" x14ac:dyDescent="0.3">
      <c r="A403" s="103" t="s">
        <v>897</v>
      </c>
      <c r="B403" s="106" t="s">
        <v>1617</v>
      </c>
      <c r="C403" s="103" t="s">
        <v>1906</v>
      </c>
      <c r="D403" s="106" t="str">
        <f>IF(MouserListTable12[[#This Row],[Vendor]]=FilterSpecs!$A$8,MouserListTable12[[#This Row],[Mouser SKU]], MouserListTable12[[#This Row],[Supplier SKU]])</f>
        <v>474-COM-09456</v>
      </c>
      <c r="E403" s="121">
        <f>MouserListTable12[[#This Row],[Tot '#]]-MouserListTable12[[#This Row],['# Initial]]</f>
        <v>0</v>
      </c>
      <c r="F403" s="121">
        <f>IF(AND(MouserListTable12[[#This Row],[Tag]]&lt;&gt;FilterSpecs!$F$12, MouserListTable12[[#This Row],[Tag]]&lt;&gt;FilterSpecs!$F$9), MouserListTable12[[#This Row],['#/Unit]]*FilterSpecs!$B$3+MouserListTable12[[#This Row],[Extra Initial]],0)</f>
        <v>10</v>
      </c>
      <c r="G403" s="103" t="s">
        <v>664</v>
      </c>
      <c r="H403" s="103" t="s">
        <v>665</v>
      </c>
      <c r="I403" s="106" t="s">
        <v>666</v>
      </c>
      <c r="J403" s="103">
        <v>1</v>
      </c>
      <c r="K403" s="157">
        <v>0.95</v>
      </c>
      <c r="L403" s="106" t="s">
        <v>1911</v>
      </c>
      <c r="M403" s="103"/>
      <c r="N403" s="157">
        <f>MouserListTable12[[#This Row],['# Initial]]*MouserListTable12[[#This Row],[Price (USD)]]</f>
        <v>9.5</v>
      </c>
      <c r="O403" s="106" t="s">
        <v>663</v>
      </c>
      <c r="P403" s="103">
        <f t="shared" ref="P403:P466" si="10">IF($P402="List #",1,$P402+1)</f>
        <v>384</v>
      </c>
      <c r="Q403" s="103" t="s">
        <v>8</v>
      </c>
      <c r="R40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474-COM-09456</v>
      </c>
      <c r="S403" s="195" t="str">
        <f>HYPERLINK("https://www.mouser.com/ProductDetail/" &amp;MouserListTable12[[#This Row],[Mouser SKU]])</f>
        <v>https://www.mouser.com/ProductDetail/474-COM-09456</v>
      </c>
      <c r="T403" s="121">
        <v>2</v>
      </c>
      <c r="U403" s="121">
        <v>0</v>
      </c>
      <c r="V403" s="121">
        <v>0</v>
      </c>
      <c r="W403" s="121">
        <f>MouserListTable12[[#This Row],['#/Unit]]*FilterSpecs!$C$3+MouserListTable12[[#This Row],[Extra]]</f>
        <v>10</v>
      </c>
      <c r="X403" s="121">
        <f>IF(MouserListTable12[[#This Row],[Tag]]=FilterSpecs!$F$7,MouserListTable12[[#This Row],['#/Unit]]*MouserListTable12[[#This Row],[Price (USD)]],0)</f>
        <v>1.9</v>
      </c>
      <c r="Y403" s="121">
        <f>MouserListTable12[[#This Row],[Tot '#]]*MouserListTable12[[#This Row],[Price (USD)]]</f>
        <v>9.5</v>
      </c>
      <c r="Z403"/>
    </row>
    <row r="404" spans="1:26" s="146" customFormat="1" x14ac:dyDescent="0.3">
      <c r="A404" s="103" t="s">
        <v>897</v>
      </c>
      <c r="B404" s="106" t="s">
        <v>1617</v>
      </c>
      <c r="C404" s="103" t="s">
        <v>1906</v>
      </c>
      <c r="D404" s="106" t="str">
        <f>IF(MouserListTable12[[#This Row],[Vendor]]=FilterSpecs!$A$8,MouserListTable12[[#This Row],[Mouser SKU]], MouserListTable12[[#This Row],[Supplier SKU]])</f>
        <v>474-COM-10613</v>
      </c>
      <c r="E404" s="121">
        <f>MouserListTable12[[#This Row],[Tot '#]]-MouserListTable12[[#This Row],['# Initial]]</f>
        <v>0</v>
      </c>
      <c r="F404" s="121">
        <f>IF(AND(MouserListTable12[[#This Row],[Tag]]&lt;&gt;FilterSpecs!$F$12, MouserListTable12[[#This Row],[Tag]]&lt;&gt;FilterSpecs!$F$9), MouserListTable12[[#This Row],['#/Unit]]*FilterSpecs!$B$3+MouserListTable12[[#This Row],[Extra Initial]],0)</f>
        <v>5</v>
      </c>
      <c r="G404" s="103" t="s">
        <v>962</v>
      </c>
      <c r="H404" s="103" t="s">
        <v>963</v>
      </c>
      <c r="I404" s="106" t="s">
        <v>964</v>
      </c>
      <c r="J404" s="103">
        <v>1</v>
      </c>
      <c r="K404" s="157">
        <v>1.5</v>
      </c>
      <c r="L404" s="106" t="s">
        <v>1911</v>
      </c>
      <c r="M404" s="103"/>
      <c r="N404" s="157">
        <f>MouserListTable12[[#This Row],['# Initial]]*MouserListTable12[[#This Row],[Price (USD)]]</f>
        <v>7.5</v>
      </c>
      <c r="O404" s="106" t="s">
        <v>961</v>
      </c>
      <c r="P404" s="103">
        <f t="shared" si="10"/>
        <v>385</v>
      </c>
      <c r="Q404" s="103" t="s">
        <v>8</v>
      </c>
      <c r="R40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474-COM-10613</v>
      </c>
      <c r="S404" s="195" t="str">
        <f>HYPERLINK("https://www.mouser.com/ProductDetail/" &amp;MouserListTable12[[#This Row],[Mouser SKU]])</f>
        <v>https://www.mouser.com/ProductDetail/474-COM-10613</v>
      </c>
      <c r="T404" s="121">
        <v>1</v>
      </c>
      <c r="U404" s="121">
        <v>0</v>
      </c>
      <c r="V404" s="121">
        <v>0</v>
      </c>
      <c r="W404" s="121">
        <f>MouserListTable12[[#This Row],['#/Unit]]*FilterSpecs!$C$3+MouserListTable12[[#This Row],[Extra]]</f>
        <v>5</v>
      </c>
      <c r="X404" s="121">
        <f>IF(MouserListTable12[[#This Row],[Tag]]=FilterSpecs!$F$7,MouserListTable12[[#This Row],['#/Unit]]*MouserListTable12[[#This Row],[Price (USD)]],0)</f>
        <v>1.5</v>
      </c>
      <c r="Y404" s="121">
        <f>MouserListTable12[[#This Row],[Tot '#]]*MouserListTable12[[#This Row],[Price (USD)]]</f>
        <v>7.5</v>
      </c>
      <c r="Z404"/>
    </row>
    <row r="405" spans="1:26" s="146" customFormat="1" x14ac:dyDescent="0.3">
      <c r="A405" s="103" t="s">
        <v>897</v>
      </c>
      <c r="B405" s="106" t="s">
        <v>1617</v>
      </c>
      <c r="C405" s="103" t="s">
        <v>1906</v>
      </c>
      <c r="D405" s="106" t="str">
        <f>IF(MouserListTable12[[#This Row],[Vendor]]=FilterSpecs!$A$8,MouserListTable12[[#This Row],[Mouser SKU]], MouserListTable12[[#This Row],[Supplier SKU]])</f>
        <v>474-COM-09273</v>
      </c>
      <c r="E405" s="121">
        <f>MouserListTable12[[#This Row],[Tot '#]]-MouserListTable12[[#This Row],['# Initial]]</f>
        <v>0</v>
      </c>
      <c r="F405" s="121">
        <f>IF(AND(MouserListTable12[[#This Row],[Tag]]&lt;&gt;FilterSpecs!$F$12, MouserListTable12[[#This Row],[Tag]]&lt;&gt;FilterSpecs!$F$9), MouserListTable12[[#This Row],['#/Unit]]*FilterSpecs!$B$3+MouserListTable12[[#This Row],[Extra Initial]],0)</f>
        <v>5</v>
      </c>
      <c r="G405" s="103" t="s">
        <v>404</v>
      </c>
      <c r="H405" s="103" t="s">
        <v>405</v>
      </c>
      <c r="I405" s="106" t="s">
        <v>406</v>
      </c>
      <c r="J405" s="103">
        <v>1</v>
      </c>
      <c r="K405" s="157">
        <v>0.95</v>
      </c>
      <c r="L405" s="106" t="s">
        <v>1911</v>
      </c>
      <c r="M405" s="103"/>
      <c r="N405" s="157">
        <f>MouserListTable12[[#This Row],['# Initial]]*MouserListTable12[[#This Row],[Price (USD)]]</f>
        <v>4.75</v>
      </c>
      <c r="O405" s="106" t="s">
        <v>403</v>
      </c>
      <c r="P405" s="103">
        <f t="shared" si="10"/>
        <v>386</v>
      </c>
      <c r="Q405" s="103" t="s">
        <v>8</v>
      </c>
      <c r="R40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474-COM-09273</v>
      </c>
      <c r="S405" s="195" t="str">
        <f>HYPERLINK("https://www.mouser.com/ProductDetail/" &amp;MouserListTable12[[#This Row],[Mouser SKU]])</f>
        <v>https://www.mouser.com/ProductDetail/474-COM-09273</v>
      </c>
      <c r="T405" s="121">
        <v>1</v>
      </c>
      <c r="U405" s="121">
        <v>0</v>
      </c>
      <c r="V405" s="121">
        <v>0</v>
      </c>
      <c r="W405" s="121">
        <f>MouserListTable12[[#This Row],['#/Unit]]*FilterSpecs!$C$3+MouserListTable12[[#This Row],[Extra]]</f>
        <v>5</v>
      </c>
      <c r="X405" s="121">
        <f>IF(MouserListTable12[[#This Row],[Tag]]=FilterSpecs!$F$7,MouserListTable12[[#This Row],['#/Unit]]*MouserListTable12[[#This Row],[Price (USD)]],0)</f>
        <v>0.95</v>
      </c>
      <c r="Y405" s="121">
        <f>MouserListTable12[[#This Row],[Tot '#]]*MouserListTable12[[#This Row],[Price (USD)]]</f>
        <v>4.75</v>
      </c>
      <c r="Z405"/>
    </row>
    <row r="406" spans="1:26" s="146" customFormat="1" x14ac:dyDescent="0.3">
      <c r="A406" s="103" t="s">
        <v>897</v>
      </c>
      <c r="B406" s="106" t="s">
        <v>1617</v>
      </c>
      <c r="C406" s="103" t="s">
        <v>1906</v>
      </c>
      <c r="D406" s="106" t="str">
        <f>IF(MouserListTable12[[#This Row],[Vendor]]=FilterSpecs!$A$8,MouserListTable12[[#This Row],[Mouser SKU]], MouserListTable12[[#This Row],[Supplier SKU]])</f>
        <v>474-COM-08636</v>
      </c>
      <c r="E406" s="121">
        <f>MouserListTable12[[#This Row],[Tot '#]]-MouserListTable12[[#This Row],['# Initial]]</f>
        <v>0</v>
      </c>
      <c r="F406" s="121">
        <f>IF(AND(MouserListTable12[[#This Row],[Tag]]&lt;&gt;FilterSpecs!$F$12, MouserListTable12[[#This Row],[Tag]]&lt;&gt;FilterSpecs!$F$9), MouserListTable12[[#This Row],['#/Unit]]*FilterSpecs!$B$3+MouserListTable12[[#This Row],[Extra Initial]],0)</f>
        <v>5</v>
      </c>
      <c r="G406" s="103" t="s">
        <v>400</v>
      </c>
      <c r="H406" s="103" t="s">
        <v>401</v>
      </c>
      <c r="I406" s="106" t="s">
        <v>402</v>
      </c>
      <c r="J406" s="103">
        <v>1</v>
      </c>
      <c r="K406" s="157">
        <v>2.38</v>
      </c>
      <c r="L406" s="106" t="s">
        <v>1911</v>
      </c>
      <c r="M406" s="103"/>
      <c r="N406" s="157">
        <f>MouserListTable12[[#This Row],['# Initial]]*MouserListTable12[[#This Row],[Price (USD)]]</f>
        <v>11.899999999999999</v>
      </c>
      <c r="O406" s="106" t="s">
        <v>399</v>
      </c>
      <c r="P406" s="103">
        <f t="shared" si="10"/>
        <v>387</v>
      </c>
      <c r="Q406" s="103" t="s">
        <v>8</v>
      </c>
      <c r="R40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474-COM-08636</v>
      </c>
      <c r="S406" s="195" t="str">
        <f>HYPERLINK("https://www.mouser.com/ProductDetail/" &amp;MouserListTable12[[#This Row],[Mouser SKU]])</f>
        <v>https://www.mouser.com/ProductDetail/474-COM-08636</v>
      </c>
      <c r="T406" s="121">
        <v>1</v>
      </c>
      <c r="U406" s="121">
        <v>0</v>
      </c>
      <c r="V406" s="121">
        <v>0</v>
      </c>
      <c r="W406" s="121">
        <f>MouserListTable12[[#This Row],['#/Unit]]*FilterSpecs!$C$3+MouserListTable12[[#This Row],[Extra]]</f>
        <v>5</v>
      </c>
      <c r="X406" s="121">
        <f>IF(MouserListTable12[[#This Row],[Tag]]=FilterSpecs!$F$7,MouserListTable12[[#This Row],['#/Unit]]*MouserListTable12[[#This Row],[Price (USD)]],0)</f>
        <v>2.38</v>
      </c>
      <c r="Y406" s="121">
        <f>MouserListTable12[[#This Row],[Tot '#]]*MouserListTable12[[#This Row],[Price (USD)]]</f>
        <v>11.899999999999999</v>
      </c>
      <c r="Z406"/>
    </row>
    <row r="407" spans="1:26" s="146" customFormat="1" hidden="1" x14ac:dyDescent="0.3">
      <c r="A407" s="103" t="s">
        <v>897</v>
      </c>
      <c r="B407" s="106" t="s">
        <v>1617</v>
      </c>
      <c r="C407" s="103" t="s">
        <v>1906</v>
      </c>
      <c r="D407" s="106" t="str">
        <f>IF(MouserListTable12[[#This Row],[Vendor]]=FilterSpecs!$A$8,MouserListTable12[[#This Row],[Mouser SKU]], MouserListTable12[[#This Row],[Supplier SKU]])</f>
        <v>474-COM-00317</v>
      </c>
      <c r="E407" s="121">
        <f>MouserListTable12[[#This Row],[Tot '#]]-MouserListTable12[[#This Row],['# Initial]]</f>
        <v>1</v>
      </c>
      <c r="F407" s="121">
        <f>IF(AND(MouserListTable12[[#This Row],[Tag]]&lt;&gt;FilterSpecs!$F$12, MouserListTable12[[#This Row],[Tag]]&lt;&gt;FilterSpecs!$F$9), MouserListTable12[[#This Row],['#/Unit]]*FilterSpecs!$B$3+MouserListTable12[[#This Row],[Extra Initial]],0)</f>
        <v>0</v>
      </c>
      <c r="G407" s="103" t="s">
        <v>1097</v>
      </c>
      <c r="H407" s="103" t="s">
        <v>1098</v>
      </c>
      <c r="I407" s="106" t="s">
        <v>1099</v>
      </c>
      <c r="J407" s="103">
        <v>1</v>
      </c>
      <c r="K407" s="157">
        <v>1.95</v>
      </c>
      <c r="L407" s="106" t="s">
        <v>1910</v>
      </c>
      <c r="M407" s="103"/>
      <c r="N407" s="157">
        <f>MouserListTable12[[#This Row],['# Initial]]*MouserListTable12[[#This Row],[Price (USD)]]</f>
        <v>0</v>
      </c>
      <c r="O407" s="106" t="s">
        <v>1096</v>
      </c>
      <c r="P407" s="103">
        <f t="shared" si="10"/>
        <v>388</v>
      </c>
      <c r="Q407" s="103" t="s">
        <v>8</v>
      </c>
      <c r="R40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474-COM-00317</v>
      </c>
      <c r="S407" s="195" t="str">
        <f>HYPERLINK("https://www.mouser.com/ProductDetail/" &amp;MouserListTable12[[#This Row],[Mouser SKU]])</f>
        <v>https://www.mouser.com/ProductDetail/474-COM-00317</v>
      </c>
      <c r="T407" s="121">
        <v>0</v>
      </c>
      <c r="U407" s="121">
        <v>1</v>
      </c>
      <c r="V407" s="121">
        <v>0</v>
      </c>
      <c r="W407" s="121">
        <f>MouserListTable12[[#This Row],['#/Unit]]*FilterSpecs!$C$3+MouserListTable12[[#This Row],[Extra]]</f>
        <v>1</v>
      </c>
      <c r="X407" s="121">
        <f>IF(MouserListTable12[[#This Row],[Tag]]=FilterSpecs!$F$7,MouserListTable12[[#This Row],['#/Unit]]*MouserListTable12[[#This Row],[Price (USD)]],0)</f>
        <v>0</v>
      </c>
      <c r="Y407" s="121">
        <f>MouserListTable12[[#This Row],[Tot '#]]*MouserListTable12[[#This Row],[Price (USD)]]</f>
        <v>1.95</v>
      </c>
      <c r="Z407"/>
    </row>
    <row r="408" spans="1:26" s="146" customFormat="1" hidden="1" x14ac:dyDescent="0.3">
      <c r="A408" s="103" t="s">
        <v>897</v>
      </c>
      <c r="B408" s="106" t="s">
        <v>1617</v>
      </c>
      <c r="C408" s="103" t="s">
        <v>1906</v>
      </c>
      <c r="D408" s="106" t="str">
        <f>IF(MouserListTable12[[#This Row],[Vendor]]=FilterSpecs!$A$8,MouserListTable12[[#This Row],[Mouser SKU]], MouserListTable12[[#This Row],[Supplier SKU]])</f>
        <v>485-1787</v>
      </c>
      <c r="E408" s="121">
        <f>MouserListTable12[[#This Row],[Tot '#]]-MouserListTable12[[#This Row],['# Initial]]</f>
        <v>0</v>
      </c>
      <c r="F408" s="121">
        <f>IF(AND(MouserListTable12[[#This Row],[Tag]]&lt;&gt;FilterSpecs!$F$12, MouserListTable12[[#This Row],[Tag]]&lt;&gt;FilterSpecs!$F$9), MouserListTable12[[#This Row],['#/Unit]]*FilterSpecs!$B$3+MouserListTable12[[#This Row],[Extra Initial]],0)</f>
        <v>0</v>
      </c>
      <c r="G408" s="103"/>
      <c r="H408" s="103"/>
      <c r="I408" s="146" t="s">
        <v>2152</v>
      </c>
      <c r="K408" s="158">
        <v>1.5</v>
      </c>
      <c r="L408" s="146" t="s">
        <v>1910</v>
      </c>
      <c r="N408" s="157">
        <f>MouserListTable12[[#This Row],['# Initial]]*MouserListTable12[[#This Row],[Price (USD)]]</f>
        <v>0</v>
      </c>
      <c r="O408" s="106" t="s">
        <v>2151</v>
      </c>
      <c r="P408" s="103">
        <f t="shared" si="10"/>
        <v>389</v>
      </c>
      <c r="Q408" s="103" t="s">
        <v>1898</v>
      </c>
      <c r="R40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485-1787</v>
      </c>
      <c r="S408" s="195" t="str">
        <f>HYPERLINK("https://www.mouser.com/ProductDetail/" &amp;MouserListTable12[[#This Row],[Mouser SKU]])</f>
        <v>https://www.mouser.com/ProductDetail/485-1787</v>
      </c>
      <c r="T408" s="121">
        <v>0</v>
      </c>
      <c r="U408" s="121">
        <v>0</v>
      </c>
      <c r="V408" s="121">
        <v>0</v>
      </c>
      <c r="W408" s="121">
        <f>MouserListTable12[[#This Row],['#/Unit]]*FilterSpecs!$C$3+MouserListTable12[[#This Row],[Extra]]</f>
        <v>0</v>
      </c>
      <c r="X408" s="121">
        <f>IF(MouserListTable12[[#This Row],[Tag]]=FilterSpecs!$F$7,MouserListTable12[[#This Row],['#/Unit]]*MouserListTable12[[#This Row],[Price (USD)]],0)</f>
        <v>0</v>
      </c>
      <c r="Y408" s="121">
        <f>MouserListTable12[[#This Row],[Tot '#]]*MouserListTable12[[#This Row],[Price (USD)]]</f>
        <v>0</v>
      </c>
      <c r="Z408"/>
    </row>
    <row r="409" spans="1:26" s="146" customFormat="1" hidden="1" x14ac:dyDescent="0.3">
      <c r="A409" s="126" t="s">
        <v>897</v>
      </c>
      <c r="B409" s="146" t="s">
        <v>1617</v>
      </c>
      <c r="C409" s="103" t="s">
        <v>1906</v>
      </c>
      <c r="D409" s="106" t="str">
        <f>IF(MouserListTable12[[#This Row],[Vendor]]=FilterSpecs!$A$8,MouserListTable12[[#This Row],[Mouser SKU]], MouserListTable12[[#This Row],[Supplier SKU]])</f>
        <v>474-COM-00525</v>
      </c>
      <c r="E409" s="121">
        <f>MouserListTable12[[#This Row],[Tot '#]]-MouserListTable12[[#This Row],['# Initial]]</f>
        <v>0</v>
      </c>
      <c r="F409" s="121">
        <f>IF(AND(MouserListTable12[[#This Row],[Tag]]&lt;&gt;FilterSpecs!$F$12, MouserListTable12[[#This Row],[Tag]]&lt;&gt;FilterSpecs!$F$9), MouserListTable12[[#This Row],['#/Unit]]*FilterSpecs!$B$3+MouserListTable12[[#This Row],[Extra Initial]],0)</f>
        <v>0</v>
      </c>
      <c r="G409" s="103" t="s">
        <v>680</v>
      </c>
      <c r="H409" s="103" t="s">
        <v>681</v>
      </c>
      <c r="I409" s="106" t="s">
        <v>682</v>
      </c>
      <c r="J409" s="103">
        <v>1</v>
      </c>
      <c r="K409" s="157">
        <v>1.95</v>
      </c>
      <c r="L409" s="106" t="s">
        <v>1910</v>
      </c>
      <c r="M409" s="103"/>
      <c r="N409" s="157">
        <f>MouserListTable12[[#This Row],['# Initial]]*MouserListTable12[[#This Row],[Price (USD)]]</f>
        <v>0</v>
      </c>
      <c r="O409" s="106" t="s">
        <v>679</v>
      </c>
      <c r="P409" s="103">
        <f t="shared" si="10"/>
        <v>390</v>
      </c>
      <c r="Q409" s="103" t="s">
        <v>8</v>
      </c>
      <c r="R40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474-COM-00525</v>
      </c>
      <c r="S409" s="195" t="str">
        <f>HYPERLINK("https://www.mouser.com/ProductDetail/" &amp;MouserListTable12[[#This Row],[Mouser SKU]])</f>
        <v>https://www.mouser.com/ProductDetail/474-COM-00525</v>
      </c>
      <c r="T409" s="121">
        <v>0</v>
      </c>
      <c r="U409" s="121">
        <v>0</v>
      </c>
      <c r="V409" s="121">
        <v>0</v>
      </c>
      <c r="W409" s="121">
        <f>MouserListTable12[[#This Row],['#/Unit]]*FilterSpecs!$C$3+MouserListTable12[[#This Row],[Extra]]</f>
        <v>0</v>
      </c>
      <c r="X409" s="121">
        <f>IF(MouserListTable12[[#This Row],[Tag]]=FilterSpecs!$F$7,MouserListTable12[[#This Row],['#/Unit]]*MouserListTable12[[#This Row],[Price (USD)]],0)</f>
        <v>0</v>
      </c>
      <c r="Y409" s="121">
        <f>MouserListTable12[[#This Row],[Tot '#]]*MouserListTable12[[#This Row],[Price (USD)]]</f>
        <v>0</v>
      </c>
      <c r="Z409"/>
    </row>
    <row r="410" spans="1:26" s="146" customFormat="1" hidden="1" x14ac:dyDescent="0.3">
      <c r="A410" s="126" t="s">
        <v>897</v>
      </c>
      <c r="B410" s="146" t="s">
        <v>1617</v>
      </c>
      <c r="C410" s="103" t="s">
        <v>1906</v>
      </c>
      <c r="D410" s="106" t="str">
        <f>IF(MouserListTable12[[#This Row],[Vendor]]=FilterSpecs!$A$8,MouserListTable12[[#This Row],[Mouser SKU]], MouserListTable12[[#This Row],[Supplier SKU]])</f>
        <v>474-COM-13699</v>
      </c>
      <c r="E410" s="121">
        <f>MouserListTable12[[#This Row],[Tot '#]]-MouserListTable12[[#This Row],['# Initial]]</f>
        <v>0</v>
      </c>
      <c r="F410" s="121">
        <f>IF(AND(MouserListTable12[[#This Row],[Tag]]&lt;&gt;FilterSpecs!$F$12, MouserListTable12[[#This Row],[Tag]]&lt;&gt;FilterSpecs!$F$9), MouserListTable12[[#This Row],['#/Unit]]*FilterSpecs!$B$3+MouserListTable12[[#This Row],[Extra Initial]],0)</f>
        <v>0</v>
      </c>
      <c r="G410" s="103" t="s">
        <v>408</v>
      </c>
      <c r="H410" s="103" t="s">
        <v>409</v>
      </c>
      <c r="I410" s="106" t="s">
        <v>410</v>
      </c>
      <c r="J410" s="103">
        <v>1</v>
      </c>
      <c r="K410" s="157">
        <v>0.95</v>
      </c>
      <c r="L410" s="106" t="s">
        <v>1910</v>
      </c>
      <c r="M410" s="103"/>
      <c r="N410" s="157">
        <f>MouserListTable12[[#This Row],['# Initial]]*MouserListTable12[[#This Row],[Price (USD)]]</f>
        <v>0</v>
      </c>
      <c r="O410" s="106" t="s">
        <v>407</v>
      </c>
      <c r="P410" s="103">
        <f t="shared" si="10"/>
        <v>391</v>
      </c>
      <c r="Q410" s="103" t="s">
        <v>8</v>
      </c>
      <c r="R41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474-COM-13699</v>
      </c>
      <c r="S410" s="195" t="str">
        <f>HYPERLINK("https://www.mouser.com/ProductDetail/" &amp;MouserListTable12[[#This Row],[Mouser SKU]])</f>
        <v>https://www.mouser.com/ProductDetail/474-COM-13699</v>
      </c>
      <c r="T410" s="121">
        <v>0</v>
      </c>
      <c r="U410" s="121">
        <v>0</v>
      </c>
      <c r="V410" s="121">
        <v>0</v>
      </c>
      <c r="W410" s="121">
        <f>MouserListTable12[[#This Row],['#/Unit]]*FilterSpecs!$C$3+MouserListTable12[[#This Row],[Extra]]</f>
        <v>0</v>
      </c>
      <c r="X410" s="121">
        <f>IF(MouserListTable12[[#This Row],[Tag]]=FilterSpecs!$F$7,MouserListTable12[[#This Row],['#/Unit]]*MouserListTable12[[#This Row],[Price (USD)]],0)</f>
        <v>0</v>
      </c>
      <c r="Y410" s="121">
        <f>MouserListTable12[[#This Row],[Tot '#]]*MouserListTable12[[#This Row],[Price (USD)]]</f>
        <v>0</v>
      </c>
      <c r="Z410"/>
    </row>
    <row r="411" spans="1:26" s="146" customFormat="1" hidden="1" x14ac:dyDescent="0.3">
      <c r="A411" s="126" t="s">
        <v>897</v>
      </c>
      <c r="B411" s="146" t="s">
        <v>1617</v>
      </c>
      <c r="C411" s="103" t="s">
        <v>1906</v>
      </c>
      <c r="D411" s="106" t="str">
        <f>IF(MouserListTable12[[#This Row],[Vendor]]=FilterSpecs!$A$8,MouserListTable12[[#This Row],[Mouser SKU]], MouserListTable12[[#This Row],[Supplier SKU]])</f>
        <v>474-BOB-11733</v>
      </c>
      <c r="E411" s="121">
        <f>MouserListTable12[[#This Row],[Tot '#]]-MouserListTable12[[#This Row],['# Initial]]</f>
        <v>0</v>
      </c>
      <c r="F411" s="121">
        <f>IF(AND(MouserListTable12[[#This Row],[Tag]]&lt;&gt;FilterSpecs!$F$12, MouserListTable12[[#This Row],[Tag]]&lt;&gt;FilterSpecs!$F$9), MouserListTable12[[#This Row],['#/Unit]]*FilterSpecs!$B$3+MouserListTable12[[#This Row],[Extra Initial]],0)</f>
        <v>0</v>
      </c>
      <c r="G411" s="103" t="s">
        <v>412</v>
      </c>
      <c r="H411" s="103" t="s">
        <v>413</v>
      </c>
      <c r="I411" s="106" t="s">
        <v>221</v>
      </c>
      <c r="J411" s="103">
        <v>1</v>
      </c>
      <c r="K411" s="157">
        <v>3.95</v>
      </c>
      <c r="L411" s="106" t="s">
        <v>2490</v>
      </c>
      <c r="M411" s="103"/>
      <c r="N411" s="157">
        <f>MouserListTable12[[#This Row],['# Initial]]*MouserListTable12[[#This Row],[Price (USD)]]</f>
        <v>0</v>
      </c>
      <c r="O411" s="106" t="s">
        <v>411</v>
      </c>
      <c r="P411" s="103">
        <f t="shared" si="10"/>
        <v>392</v>
      </c>
      <c r="Q411" s="103" t="s">
        <v>8</v>
      </c>
      <c r="R41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474-BOB-11733</v>
      </c>
      <c r="S411" s="195" t="str">
        <f>HYPERLINK("https://www.mouser.com/ProductDetail/" &amp;MouserListTable12[[#This Row],[Mouser SKU]])</f>
        <v>https://www.mouser.com/ProductDetail/474-BOB-11733</v>
      </c>
      <c r="T411" s="121">
        <v>0</v>
      </c>
      <c r="U411" s="121">
        <v>0</v>
      </c>
      <c r="V411" s="121">
        <v>0</v>
      </c>
      <c r="W411" s="121">
        <f>MouserListTable12[[#This Row],['#/Unit]]*FilterSpecs!$C$3+MouserListTable12[[#This Row],[Extra]]</f>
        <v>0</v>
      </c>
      <c r="X411" s="121">
        <f>IF(MouserListTable12[[#This Row],[Tag]]=FilterSpecs!$F$7,MouserListTable12[[#This Row],['#/Unit]]*MouserListTable12[[#This Row],[Price (USD)]],0)</f>
        <v>0</v>
      </c>
      <c r="Y411" s="121">
        <f>MouserListTable12[[#This Row],[Tot '#]]*MouserListTable12[[#This Row],[Price (USD)]]</f>
        <v>0</v>
      </c>
      <c r="Z411"/>
    </row>
    <row r="412" spans="1:26" s="146" customFormat="1" x14ac:dyDescent="0.3">
      <c r="A412" s="103" t="s">
        <v>897</v>
      </c>
      <c r="B412" s="106" t="s">
        <v>1617</v>
      </c>
      <c r="C412" s="103" t="s">
        <v>1906</v>
      </c>
      <c r="D412" s="106" t="str">
        <f>IF(MouserListTable12[[#This Row],[Vendor]]=FilterSpecs!$A$8,MouserListTable12[[#This Row],[Mouser SKU]], MouserListTable12[[#This Row],[Supplier SKU]])</f>
        <v>474-COM-08034</v>
      </c>
      <c r="E412" s="121">
        <f>MouserListTable12[[#This Row],[Tot '#]]-MouserListTable12[[#This Row],['# Initial]]</f>
        <v>0</v>
      </c>
      <c r="F412" s="121">
        <f>IF(AND(MouserListTable12[[#This Row],[Tag]]&lt;&gt;FilterSpecs!$F$12, MouserListTable12[[#This Row],[Tag]]&lt;&gt;FilterSpecs!$F$9), MouserListTable12[[#This Row],['#/Unit]]*FilterSpecs!$B$3+MouserListTable12[[#This Row],[Extra Initial]],0)</f>
        <v>5</v>
      </c>
      <c r="G412" s="103" t="s">
        <v>434</v>
      </c>
      <c r="H412" s="103" t="s">
        <v>435</v>
      </c>
      <c r="I412" s="106" t="s">
        <v>436</v>
      </c>
      <c r="J412" s="103">
        <v>1</v>
      </c>
      <c r="K412" s="157">
        <v>1.5</v>
      </c>
      <c r="L412" s="106" t="s">
        <v>1911</v>
      </c>
      <c r="M412" s="103"/>
      <c r="N412" s="157">
        <f>MouserListTable12[[#This Row],['# Initial]]*MouserListTable12[[#This Row],[Price (USD)]]</f>
        <v>7.5</v>
      </c>
      <c r="O412" s="106" t="s">
        <v>433</v>
      </c>
      <c r="P412" s="103">
        <f t="shared" si="10"/>
        <v>393</v>
      </c>
      <c r="Q412" s="103" t="s">
        <v>8</v>
      </c>
      <c r="R41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474-COM-08034</v>
      </c>
      <c r="S412" s="195" t="str">
        <f>HYPERLINK("https://www.mouser.com/ProductDetail/" &amp;MouserListTable12[[#This Row],[Mouser SKU]])</f>
        <v>https://www.mouser.com/ProductDetail/474-COM-08034</v>
      </c>
      <c r="T412" s="121">
        <v>1</v>
      </c>
      <c r="U412" s="121">
        <v>0</v>
      </c>
      <c r="V412" s="121">
        <v>0</v>
      </c>
      <c r="W412" s="121">
        <f>MouserListTable12[[#This Row],['#/Unit]]*FilterSpecs!$C$3+MouserListTable12[[#This Row],[Extra]]</f>
        <v>5</v>
      </c>
      <c r="X412" s="121">
        <f>IF(MouserListTable12[[#This Row],[Tag]]=FilterSpecs!$F$7,MouserListTable12[[#This Row],['#/Unit]]*MouserListTable12[[#This Row],[Price (USD)]],0)</f>
        <v>1.5</v>
      </c>
      <c r="Y412" s="121">
        <f>MouserListTable12[[#This Row],[Tot '#]]*MouserListTable12[[#This Row],[Price (USD)]]</f>
        <v>7.5</v>
      </c>
      <c r="Z412"/>
    </row>
    <row r="413" spans="1:26" s="146" customFormat="1" hidden="1" x14ac:dyDescent="0.3">
      <c r="A413" s="126" t="s">
        <v>897</v>
      </c>
      <c r="B413" s="126" t="s">
        <v>1893</v>
      </c>
      <c r="C413" s="103" t="s">
        <v>1906</v>
      </c>
      <c r="D413" s="106" t="str">
        <f>IF(MouserListTable12[[#This Row],[Vendor]]=FilterSpecs!$A$8,MouserListTable12[[#This Row],[Mouser SKU]], MouserListTable12[[#This Row],[Supplier SKU]])</f>
        <v>474-PRT-13875</v>
      </c>
      <c r="E413" s="121">
        <f>MouserListTable12[[#This Row],[Tot '#]]-MouserListTable12[[#This Row],['# Initial]]</f>
        <v>0</v>
      </c>
      <c r="F413" s="121">
        <f>IF(AND(MouserListTable12[[#This Row],[Tag]]&lt;&gt;FilterSpecs!$F$12, MouserListTable12[[#This Row],[Tag]]&lt;&gt;FilterSpecs!$F$9), MouserListTable12[[#This Row],['#/Unit]]*FilterSpecs!$B$3+MouserListTable12[[#This Row],[Extra Initial]],0)</f>
        <v>0</v>
      </c>
      <c r="G413" s="103" t="s">
        <v>776</v>
      </c>
      <c r="H413" s="103" t="s">
        <v>777</v>
      </c>
      <c r="I413" s="103" t="s">
        <v>778</v>
      </c>
      <c r="J413" s="103">
        <v>1</v>
      </c>
      <c r="K413" s="157">
        <v>0.5</v>
      </c>
      <c r="L413" s="103" t="s">
        <v>1910</v>
      </c>
      <c r="M413" s="103"/>
      <c r="N413" s="157">
        <f>MouserListTable12[[#This Row],['# Initial]]*MouserListTable12[[#This Row],[Price (USD)]]</f>
        <v>0</v>
      </c>
      <c r="O413" s="106" t="s">
        <v>775</v>
      </c>
      <c r="P413" s="103">
        <f t="shared" si="10"/>
        <v>394</v>
      </c>
      <c r="Q413" s="103" t="s">
        <v>8</v>
      </c>
      <c r="R41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474-PRT-13875</v>
      </c>
      <c r="S413" s="195" t="str">
        <f>HYPERLINK("https://www.mouser.com/ProductDetail/" &amp;MouserListTable12[[#This Row],[Mouser SKU]])</f>
        <v>https://www.mouser.com/ProductDetail/474-PRT-13875</v>
      </c>
      <c r="T413" s="121">
        <v>0</v>
      </c>
      <c r="U413" s="121">
        <v>0</v>
      </c>
      <c r="V413" s="121">
        <v>0</v>
      </c>
      <c r="W413" s="121">
        <f>MouserListTable12[[#This Row],['#/Unit]]*FilterSpecs!$C$3+MouserListTable12[[#This Row],[Extra]]</f>
        <v>0</v>
      </c>
      <c r="X413" s="121">
        <f>IF(MouserListTable12[[#This Row],[Tag]]=FilterSpecs!$F$7,MouserListTable12[[#This Row],['#/Unit]]*MouserListTable12[[#This Row],[Price (USD)]],0)</f>
        <v>0</v>
      </c>
      <c r="Y413" s="121">
        <f>MouserListTable12[[#This Row],[Tot '#]]*MouserListTable12[[#This Row],[Price (USD)]]</f>
        <v>0</v>
      </c>
      <c r="Z413"/>
    </row>
    <row r="414" spans="1:26" s="146" customFormat="1" hidden="1" x14ac:dyDescent="0.3">
      <c r="A414" s="103" t="s">
        <v>897</v>
      </c>
      <c r="B414" s="103" t="s">
        <v>1893</v>
      </c>
      <c r="C414" s="103" t="s">
        <v>1906</v>
      </c>
      <c r="D414" s="106" t="str">
        <f>IF(MouserListTable12[[#This Row],[Vendor]]=FilterSpecs!$A$8,MouserListTable12[[#This Row],[Mouser SKU]], MouserListTable12[[#This Row],[Supplier SKU]])</f>
        <v>474-PRT-12790</v>
      </c>
      <c r="E414" s="121">
        <f>MouserListTable12[[#This Row],[Tot '#]]-MouserListTable12[[#This Row],['# Initial]]</f>
        <v>1</v>
      </c>
      <c r="F414" s="121">
        <f>IF(AND(MouserListTable12[[#This Row],[Tag]]&lt;&gt;FilterSpecs!$F$12, MouserListTable12[[#This Row],[Tag]]&lt;&gt;FilterSpecs!$F$9), MouserListTable12[[#This Row],['#/Unit]]*FilterSpecs!$B$3+MouserListTable12[[#This Row],[Extra Initial]],0)</f>
        <v>0</v>
      </c>
      <c r="G414" s="103" t="s">
        <v>1776</v>
      </c>
      <c r="H414" s="103" t="s">
        <v>1777</v>
      </c>
      <c r="I414" s="103" t="s">
        <v>1778</v>
      </c>
      <c r="J414" s="103">
        <v>1</v>
      </c>
      <c r="K414" s="157">
        <v>2.95</v>
      </c>
      <c r="L414" s="103" t="s">
        <v>1910</v>
      </c>
      <c r="M414" s="103"/>
      <c r="N414" s="157">
        <f>MouserListTable12[[#This Row],['# Initial]]*MouserListTable12[[#This Row],[Price (USD)]]</f>
        <v>0</v>
      </c>
      <c r="O414" s="106" t="s">
        <v>1775</v>
      </c>
      <c r="P414" s="103">
        <f t="shared" si="10"/>
        <v>395</v>
      </c>
      <c r="Q414" s="103" t="s">
        <v>8</v>
      </c>
      <c r="R41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474-PRT-12790</v>
      </c>
      <c r="S414" s="195" t="str">
        <f>HYPERLINK("https://www.mouser.com/ProductDetail/" &amp;MouserListTable12[[#This Row],[Mouser SKU]])</f>
        <v>https://www.mouser.com/ProductDetail/474-PRT-12790</v>
      </c>
      <c r="T414" s="121">
        <v>0</v>
      </c>
      <c r="U414" s="121">
        <v>1</v>
      </c>
      <c r="V414" s="121">
        <v>0</v>
      </c>
      <c r="W414" s="121">
        <f>MouserListTable12[[#This Row],['#/Unit]]*FilterSpecs!$C$3+MouserListTable12[[#This Row],[Extra]]</f>
        <v>1</v>
      </c>
      <c r="X414" s="121">
        <f>IF(MouserListTable12[[#This Row],[Tag]]=FilterSpecs!$F$7,MouserListTable12[[#This Row],['#/Unit]]*MouserListTable12[[#This Row],[Price (USD)]],0)</f>
        <v>0</v>
      </c>
      <c r="Y414" s="121">
        <f>MouserListTable12[[#This Row],[Tot '#]]*MouserListTable12[[#This Row],[Price (USD)]]</f>
        <v>2.95</v>
      </c>
      <c r="Z414"/>
    </row>
    <row r="415" spans="1:26" s="146" customFormat="1" hidden="1" x14ac:dyDescent="0.3">
      <c r="A415" s="126" t="s">
        <v>897</v>
      </c>
      <c r="B415" s="126" t="s">
        <v>1893</v>
      </c>
      <c r="C415" s="103" t="s">
        <v>1906</v>
      </c>
      <c r="D415" s="106" t="str">
        <f>IF(MouserListTable12[[#This Row],[Vendor]]=FilterSpecs!$A$8,MouserListTable12[[#This Row],[Mouser SKU]], MouserListTable12[[#This Row],[Supplier SKU]])</f>
        <v>474-PRT-10007</v>
      </c>
      <c r="E415" s="121">
        <f>MouserListTable12[[#This Row],[Tot '#]]-MouserListTable12[[#This Row],['# Initial]]</f>
        <v>0</v>
      </c>
      <c r="F415" s="121">
        <f>IF(AND(MouserListTable12[[#This Row],[Tag]]&lt;&gt;FilterSpecs!$F$12, MouserListTable12[[#This Row],[Tag]]&lt;&gt;FilterSpecs!$F$9), MouserListTable12[[#This Row],['#/Unit]]*FilterSpecs!$B$3+MouserListTable12[[#This Row],[Extra Initial]],0)</f>
        <v>0</v>
      </c>
      <c r="G415" s="103" t="s">
        <v>524</v>
      </c>
      <c r="H415" s="103" t="s">
        <v>525</v>
      </c>
      <c r="I415" s="103" t="s">
        <v>526</v>
      </c>
      <c r="J415" s="103">
        <v>1</v>
      </c>
      <c r="K415" s="157">
        <v>1.5</v>
      </c>
      <c r="L415" s="103" t="s">
        <v>1910</v>
      </c>
      <c r="M415" s="103"/>
      <c r="N415" s="157">
        <f>MouserListTable12[[#This Row],['# Initial]]*MouserListTable12[[#This Row],[Price (USD)]]</f>
        <v>0</v>
      </c>
      <c r="O415" s="106" t="s">
        <v>523</v>
      </c>
      <c r="P415" s="103">
        <f t="shared" si="10"/>
        <v>396</v>
      </c>
      <c r="Q415" s="103" t="s">
        <v>8</v>
      </c>
      <c r="R41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474-PRT-10007</v>
      </c>
      <c r="S415" s="195" t="str">
        <f>HYPERLINK("https://www.mouser.com/ProductDetail/" &amp;MouserListTable12[[#This Row],[Mouser SKU]])</f>
        <v>https://www.mouser.com/ProductDetail/474-PRT-10007</v>
      </c>
      <c r="T415" s="121">
        <v>0</v>
      </c>
      <c r="U415" s="121">
        <v>0</v>
      </c>
      <c r="V415" s="121">
        <v>0</v>
      </c>
      <c r="W415" s="121">
        <f>MouserListTable12[[#This Row],['#/Unit]]*FilterSpecs!$C$3+MouserListTable12[[#This Row],[Extra]]</f>
        <v>0</v>
      </c>
      <c r="X415" s="121">
        <f>IF(MouserListTable12[[#This Row],[Tag]]=FilterSpecs!$F$7,MouserListTable12[[#This Row],['#/Unit]]*MouserListTable12[[#This Row],[Price (USD)]],0)</f>
        <v>0</v>
      </c>
      <c r="Y415" s="121">
        <f>MouserListTable12[[#This Row],[Tot '#]]*MouserListTable12[[#This Row],[Price (USD)]]</f>
        <v>0</v>
      </c>
      <c r="Z415"/>
    </row>
    <row r="416" spans="1:26" s="146" customFormat="1" hidden="1" x14ac:dyDescent="0.3">
      <c r="A416" s="126" t="s">
        <v>897</v>
      </c>
      <c r="B416" s="126" t="s">
        <v>1893</v>
      </c>
      <c r="C416" s="103" t="s">
        <v>1906</v>
      </c>
      <c r="D416" s="106" t="str">
        <f>IF(MouserListTable12[[#This Row],[Vendor]]=FilterSpecs!$A$8,MouserListTable12[[#This Row],[Mouser SKU]], MouserListTable12[[#This Row],[Supplier SKU]])</f>
        <v>474-PRT-11376</v>
      </c>
      <c r="E416" s="121">
        <f>MouserListTable12[[#This Row],[Tot '#]]-MouserListTable12[[#This Row],['# Initial]]</f>
        <v>0</v>
      </c>
      <c r="F416" s="121">
        <f>IF(AND(MouserListTable12[[#This Row],[Tag]]&lt;&gt;FilterSpecs!$F$12, MouserListTable12[[#This Row],[Tag]]&lt;&gt;FilterSpecs!$F$9), MouserListTable12[[#This Row],['#/Unit]]*FilterSpecs!$B$3+MouserListTable12[[#This Row],[Extra Initial]],0)</f>
        <v>0</v>
      </c>
      <c r="G416" s="103" t="s">
        <v>528</v>
      </c>
      <c r="H416" s="103" t="s">
        <v>529</v>
      </c>
      <c r="I416" s="103" t="s">
        <v>530</v>
      </c>
      <c r="J416" s="103">
        <v>1</v>
      </c>
      <c r="K416" s="157">
        <v>0.5</v>
      </c>
      <c r="L416" s="103" t="s">
        <v>1910</v>
      </c>
      <c r="M416" s="103"/>
      <c r="N416" s="157">
        <f>MouserListTable12[[#This Row],['# Initial]]*MouserListTable12[[#This Row],[Price (USD)]]</f>
        <v>0</v>
      </c>
      <c r="O416" s="106" t="s">
        <v>527</v>
      </c>
      <c r="P416" s="103">
        <f t="shared" si="10"/>
        <v>397</v>
      </c>
      <c r="Q416" s="103" t="s">
        <v>8</v>
      </c>
      <c r="R41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474-PRT-11376</v>
      </c>
      <c r="S416" s="195" t="str">
        <f>HYPERLINK("https://www.mouser.com/ProductDetail/" &amp;MouserListTable12[[#This Row],[Mouser SKU]])</f>
        <v>https://www.mouser.com/ProductDetail/474-PRT-11376</v>
      </c>
      <c r="T416" s="121">
        <v>0</v>
      </c>
      <c r="U416" s="121">
        <v>0</v>
      </c>
      <c r="V416" s="121">
        <v>0</v>
      </c>
      <c r="W416" s="121">
        <f>MouserListTable12[[#This Row],['#/Unit]]*FilterSpecs!$C$3+MouserListTable12[[#This Row],[Extra]]</f>
        <v>0</v>
      </c>
      <c r="X416" s="121">
        <f>IF(MouserListTable12[[#This Row],[Tag]]=FilterSpecs!$F$7,MouserListTable12[[#This Row],['#/Unit]]*MouserListTable12[[#This Row],[Price (USD)]],0)</f>
        <v>0</v>
      </c>
      <c r="Y416" s="121">
        <f>MouserListTable12[[#This Row],[Tot '#]]*MouserListTable12[[#This Row],[Price (USD)]]</f>
        <v>0</v>
      </c>
      <c r="Z416"/>
    </row>
    <row r="417" spans="1:26" s="146" customFormat="1" hidden="1" x14ac:dyDescent="0.3">
      <c r="A417" s="126" t="s">
        <v>897</v>
      </c>
      <c r="B417" s="126" t="s">
        <v>1893</v>
      </c>
      <c r="C417" s="103" t="s">
        <v>1906</v>
      </c>
      <c r="D417" s="106" t="str">
        <f>IF(MouserListTable12[[#This Row],[Vendor]]=FilterSpecs!$A$8,MouserListTable12[[#This Row],[Mouser SKU]], MouserListTable12[[#This Row],[Supplier SKU]])</f>
        <v>474-PRT-14311</v>
      </c>
      <c r="E417" s="121">
        <f>MouserListTable12[[#This Row],[Tot '#]]-MouserListTable12[[#This Row],['# Initial]]</f>
        <v>0</v>
      </c>
      <c r="F417" s="121">
        <f>IF(AND(MouserListTable12[[#This Row],[Tag]]&lt;&gt;FilterSpecs!$F$12, MouserListTable12[[#This Row],[Tag]]&lt;&gt;FilterSpecs!$F$9), MouserListTable12[[#This Row],['#/Unit]]*FilterSpecs!$B$3+MouserListTable12[[#This Row],[Extra Initial]],0)</f>
        <v>0</v>
      </c>
      <c r="G417" s="103" t="s">
        <v>580</v>
      </c>
      <c r="H417" s="103" t="s">
        <v>581</v>
      </c>
      <c r="I417" s="103" t="s">
        <v>582</v>
      </c>
      <c r="J417" s="103">
        <v>1</v>
      </c>
      <c r="K417" s="157">
        <v>1.5</v>
      </c>
      <c r="L417" s="103" t="s">
        <v>1910</v>
      </c>
      <c r="M417" s="103"/>
      <c r="N417" s="157">
        <f>MouserListTable12[[#This Row],['# Initial]]*MouserListTable12[[#This Row],[Price (USD)]]</f>
        <v>0</v>
      </c>
      <c r="O417" s="106" t="s">
        <v>579</v>
      </c>
      <c r="P417" s="103">
        <f t="shared" si="10"/>
        <v>398</v>
      </c>
      <c r="Q417" s="103" t="s">
        <v>8</v>
      </c>
      <c r="R41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474-PRT-14311</v>
      </c>
      <c r="S417" s="195" t="str">
        <f>HYPERLINK("https://www.mouser.com/ProductDetail/" &amp;MouserListTable12[[#This Row],[Mouser SKU]])</f>
        <v>https://www.mouser.com/ProductDetail/474-PRT-14311</v>
      </c>
      <c r="T417" s="121">
        <v>0</v>
      </c>
      <c r="U417" s="121">
        <v>0</v>
      </c>
      <c r="V417" s="121">
        <v>0</v>
      </c>
      <c r="W417" s="121">
        <f>MouserListTable12[[#This Row],['#/Unit]]*FilterSpecs!$C$3+MouserListTable12[[#This Row],[Extra]]</f>
        <v>0</v>
      </c>
      <c r="X417" s="121">
        <f>IF(MouserListTable12[[#This Row],[Tag]]=FilterSpecs!$F$7,MouserListTable12[[#This Row],['#/Unit]]*MouserListTable12[[#This Row],[Price (USD)]],0)</f>
        <v>0</v>
      </c>
      <c r="Y417" s="121">
        <f>MouserListTable12[[#This Row],[Tot '#]]*MouserListTable12[[#This Row],[Price (USD)]]</f>
        <v>0</v>
      </c>
      <c r="Z417"/>
    </row>
    <row r="418" spans="1:26" s="146" customFormat="1" hidden="1" x14ac:dyDescent="0.3">
      <c r="A418" s="126" t="s">
        <v>897</v>
      </c>
      <c r="B418" s="126" t="s">
        <v>1893</v>
      </c>
      <c r="C418" s="103" t="s">
        <v>1906</v>
      </c>
      <c r="D418" s="106" t="str">
        <f>IF(MouserListTable12[[#This Row],[Vendor]]=FilterSpecs!$A$8,MouserListTable12[[#This Row],[Mouser SKU]], MouserListTable12[[#This Row],[Supplier SKU]])</f>
        <v>474-PRT-14322</v>
      </c>
      <c r="E418" s="121">
        <f>MouserListTable12[[#This Row],[Tot '#]]-MouserListTable12[[#This Row],['# Initial]]</f>
        <v>0</v>
      </c>
      <c r="F418" s="121">
        <f>IF(AND(MouserListTable12[[#This Row],[Tag]]&lt;&gt;FilterSpecs!$F$12, MouserListTable12[[#This Row],[Tag]]&lt;&gt;FilterSpecs!$F$9), MouserListTable12[[#This Row],['#/Unit]]*FilterSpecs!$B$3+MouserListTable12[[#This Row],[Extra Initial]],0)</f>
        <v>0</v>
      </c>
      <c r="G418" s="103" t="s">
        <v>482</v>
      </c>
      <c r="H418" s="103" t="s">
        <v>483</v>
      </c>
      <c r="I418" s="103" t="s">
        <v>484</v>
      </c>
      <c r="J418" s="103"/>
      <c r="K418" s="157">
        <v>0.5</v>
      </c>
      <c r="L418" s="103" t="s">
        <v>1910</v>
      </c>
      <c r="M418" s="103"/>
      <c r="N418" s="157">
        <f>MouserListTable12[[#This Row],['# Initial]]*MouserListTable12[[#This Row],[Price (USD)]]</f>
        <v>0</v>
      </c>
      <c r="O418" s="106" t="s">
        <v>481</v>
      </c>
      <c r="P418" s="103">
        <f t="shared" si="10"/>
        <v>399</v>
      </c>
      <c r="Q418" s="103" t="s">
        <v>8</v>
      </c>
      <c r="R41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474-PRT-14322</v>
      </c>
      <c r="S418" s="195" t="str">
        <f>HYPERLINK("https://www.mouser.com/ProductDetail/" &amp;MouserListTable12[[#This Row],[Mouser SKU]])</f>
        <v>https://www.mouser.com/ProductDetail/474-PRT-14322</v>
      </c>
      <c r="T418" s="121">
        <v>0</v>
      </c>
      <c r="U418" s="121">
        <v>0</v>
      </c>
      <c r="V418" s="121">
        <v>0</v>
      </c>
      <c r="W418" s="121">
        <f>MouserListTable12[[#This Row],['#/Unit]]*FilterSpecs!$C$3+MouserListTable12[[#This Row],[Extra]]</f>
        <v>0</v>
      </c>
      <c r="X418" s="121">
        <f>IF(MouserListTable12[[#This Row],[Tag]]=FilterSpecs!$F$7,MouserListTable12[[#This Row],['#/Unit]]*MouserListTable12[[#This Row],[Price (USD)]],0)</f>
        <v>0</v>
      </c>
      <c r="Y418" s="121">
        <f>MouserListTable12[[#This Row],[Tot '#]]*MouserListTable12[[#This Row],[Price (USD)]]</f>
        <v>0</v>
      </c>
      <c r="Z418"/>
    </row>
    <row r="419" spans="1:26" s="146" customFormat="1" hidden="1" x14ac:dyDescent="0.3">
      <c r="A419" s="126" t="s">
        <v>897</v>
      </c>
      <c r="B419" s="126" t="s">
        <v>1893</v>
      </c>
      <c r="C419" s="103" t="s">
        <v>1906</v>
      </c>
      <c r="D419" s="106" t="str">
        <f>IF(MouserListTable12[[#This Row],[Vendor]]=FilterSpecs!$A$8,MouserListTable12[[#This Row],[Mouser SKU]], MouserListTable12[[#This Row],[Supplier SKU]])</f>
        <v>474-PRT-13925</v>
      </c>
      <c r="E419" s="121">
        <f>MouserListTable12[[#This Row],[Tot '#]]-MouserListTable12[[#This Row],['# Initial]]</f>
        <v>0</v>
      </c>
      <c r="F419" s="121">
        <f>IF(AND(MouserListTable12[[#This Row],[Tag]]&lt;&gt;FilterSpecs!$F$12, MouserListTable12[[#This Row],[Tag]]&lt;&gt;FilterSpecs!$F$9), MouserListTable12[[#This Row],['#/Unit]]*FilterSpecs!$B$3+MouserListTable12[[#This Row],[Extra Initial]],0)</f>
        <v>0</v>
      </c>
      <c r="G419" s="103" t="s">
        <v>478</v>
      </c>
      <c r="H419" s="103" t="s">
        <v>479</v>
      </c>
      <c r="I419" s="103" t="s">
        <v>480</v>
      </c>
      <c r="J419" s="103">
        <v>1</v>
      </c>
      <c r="K419" s="157">
        <v>1.5</v>
      </c>
      <c r="L419" s="103" t="s">
        <v>1910</v>
      </c>
      <c r="M419" s="103"/>
      <c r="N419" s="157">
        <f>MouserListTable12[[#This Row],['# Initial]]*MouserListTable12[[#This Row],[Price (USD)]]</f>
        <v>0</v>
      </c>
      <c r="O419" s="106" t="s">
        <v>477</v>
      </c>
      <c r="P419" s="103">
        <f t="shared" si="10"/>
        <v>400</v>
      </c>
      <c r="Q419" s="103" t="s">
        <v>8</v>
      </c>
      <c r="R41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474-PRT-13925</v>
      </c>
      <c r="S419" s="195" t="str">
        <f>HYPERLINK("https://www.mouser.com/ProductDetail/" &amp;MouserListTable12[[#This Row],[Mouser SKU]])</f>
        <v>https://www.mouser.com/ProductDetail/474-PRT-13925</v>
      </c>
      <c r="T419" s="121">
        <v>0</v>
      </c>
      <c r="U419" s="121">
        <v>0</v>
      </c>
      <c r="V419" s="121">
        <v>0</v>
      </c>
      <c r="W419" s="121">
        <f>MouserListTable12[[#This Row],['#/Unit]]*FilterSpecs!$C$3+MouserListTable12[[#This Row],[Extra]]</f>
        <v>0</v>
      </c>
      <c r="X419" s="121">
        <f>IF(MouserListTable12[[#This Row],[Tag]]=FilterSpecs!$F$7,MouserListTable12[[#This Row],['#/Unit]]*MouserListTable12[[#This Row],[Price (USD)]],0)</f>
        <v>0</v>
      </c>
      <c r="Y419" s="121">
        <f>MouserListTable12[[#This Row],[Tot '#]]*MouserListTable12[[#This Row],[Price (USD)]]</f>
        <v>0</v>
      </c>
      <c r="Z419"/>
    </row>
    <row r="420" spans="1:26" s="146" customFormat="1" x14ac:dyDescent="0.3">
      <c r="A420" s="103" t="s">
        <v>897</v>
      </c>
      <c r="B420" s="103" t="s">
        <v>1893</v>
      </c>
      <c r="C420" s="103" t="s">
        <v>1906</v>
      </c>
      <c r="D420" s="106" t="str">
        <f>IF(MouserListTable12[[#This Row],[Vendor]]=FilterSpecs!$A$8,MouserListTable12[[#This Row],[Mouser SKU]], MouserListTable12[[#This Row],[Supplier SKU]])</f>
        <v>485-85</v>
      </c>
      <c r="E420" s="121">
        <f>MouserListTable12[[#This Row],[Tot '#]]-MouserListTable12[[#This Row],['# Initial]]</f>
        <v>0</v>
      </c>
      <c r="F420" s="121">
        <f>IF(AND(MouserListTable12[[#This Row],[Tag]]&lt;&gt;FilterSpecs!$F$12, MouserListTable12[[#This Row],[Tag]]&lt;&gt;FilterSpecs!$F$9), MouserListTable12[[#This Row],['#/Unit]]*FilterSpecs!$B$3+MouserListTable12[[#This Row],[Extra Initial]],0)</f>
        <v>10</v>
      </c>
      <c r="G420" s="103"/>
      <c r="H420" s="103"/>
      <c r="I420" s="103" t="s">
        <v>2194</v>
      </c>
      <c r="K420" s="157">
        <v>1.95</v>
      </c>
      <c r="L420" s="103" t="s">
        <v>1911</v>
      </c>
      <c r="M420" s="106"/>
      <c r="N420" s="157">
        <f>MouserListTable12[[#This Row],['# Initial]]*MouserListTable12[[#This Row],[Price (USD)]]</f>
        <v>19.5</v>
      </c>
      <c r="O420" s="106" t="s">
        <v>2193</v>
      </c>
      <c r="P420" s="103">
        <f t="shared" si="10"/>
        <v>401</v>
      </c>
      <c r="Q420" s="103" t="s">
        <v>1898</v>
      </c>
      <c r="R42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485-85</v>
      </c>
      <c r="S420" s="195" t="str">
        <f>HYPERLINK("https://www.mouser.com/ProductDetail/" &amp;MouserListTable12[[#This Row],[Mouser SKU]])</f>
        <v>https://www.mouser.com/ProductDetail/485-85</v>
      </c>
      <c r="T420" s="121">
        <v>2</v>
      </c>
      <c r="U420" s="121">
        <v>0</v>
      </c>
      <c r="V420" s="121">
        <v>0</v>
      </c>
      <c r="W420" s="121">
        <f>MouserListTable12[[#This Row],['#/Unit]]*FilterSpecs!$C$3+MouserListTable12[[#This Row],[Extra]]</f>
        <v>10</v>
      </c>
      <c r="X420" s="121">
        <f>IF(MouserListTable12[[#This Row],[Tag]]=FilterSpecs!$F$7,MouserListTable12[[#This Row],['#/Unit]]*MouserListTable12[[#This Row],[Price (USD)]],0)</f>
        <v>3.9</v>
      </c>
      <c r="Y420" s="121">
        <f>MouserListTable12[[#This Row],[Tot '#]]*MouserListTable12[[#This Row],[Price (USD)]]</f>
        <v>19.5</v>
      </c>
      <c r="Z420"/>
    </row>
    <row r="421" spans="1:26" s="146" customFormat="1" x14ac:dyDescent="0.3">
      <c r="A421" s="103" t="s">
        <v>897</v>
      </c>
      <c r="B421" s="103" t="s">
        <v>1893</v>
      </c>
      <c r="C421" s="103" t="s">
        <v>1906</v>
      </c>
      <c r="D421" s="106" t="str">
        <f>IF(MouserListTable12[[#This Row],[Vendor]]=FilterSpecs!$A$8,MouserListTable12[[#This Row],[Mouser SKU]], MouserListTable12[[#This Row],[Supplier SKU]])</f>
        <v>485-3366</v>
      </c>
      <c r="E421" s="121">
        <f>MouserListTable12[[#This Row],[Tot '#]]-MouserListTable12[[#This Row],['# Initial]]</f>
        <v>0</v>
      </c>
      <c r="F421" s="121">
        <f>IF(AND(MouserListTable12[[#This Row],[Tag]]&lt;&gt;FilterSpecs!$F$12, MouserListTable12[[#This Row],[Tag]]&lt;&gt;FilterSpecs!$F$9), MouserListTable12[[#This Row],['#/Unit]]*FilterSpecs!$B$3+MouserListTable12[[#This Row],[Extra Initial]],0)</f>
        <v>1</v>
      </c>
      <c r="G421" s="103"/>
      <c r="H421" s="103"/>
      <c r="I421" s="103" t="s">
        <v>2176</v>
      </c>
      <c r="K421" s="157">
        <v>2.95</v>
      </c>
      <c r="L421" s="103" t="s">
        <v>1910</v>
      </c>
      <c r="M421" s="106"/>
      <c r="N421" s="157">
        <f>MouserListTable12[[#This Row],['# Initial]]*MouserListTable12[[#This Row],[Price (USD)]]</f>
        <v>2.95</v>
      </c>
      <c r="O421" s="106" t="s">
        <v>2175</v>
      </c>
      <c r="P421" s="103">
        <f t="shared" si="10"/>
        <v>402</v>
      </c>
      <c r="Q421" s="103" t="s">
        <v>1898</v>
      </c>
      <c r="R42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485-3366</v>
      </c>
      <c r="S421" s="195" t="str">
        <f>HYPERLINK("https://www.mouser.com/ProductDetail/" &amp;MouserListTable12[[#This Row],[Mouser SKU]])</f>
        <v>https://www.mouser.com/ProductDetail/485-3366</v>
      </c>
      <c r="T421" s="121">
        <v>0</v>
      </c>
      <c r="U421" s="121">
        <v>1</v>
      </c>
      <c r="V421" s="121">
        <v>1</v>
      </c>
      <c r="W421" s="121">
        <f>MouserListTable12[[#This Row],['#/Unit]]*FilterSpecs!$C$3+MouserListTable12[[#This Row],[Extra]]</f>
        <v>1</v>
      </c>
      <c r="X421" s="121">
        <f>IF(MouserListTable12[[#This Row],[Tag]]=FilterSpecs!$F$7,MouserListTable12[[#This Row],['#/Unit]]*MouserListTable12[[#This Row],[Price (USD)]],0)</f>
        <v>0</v>
      </c>
      <c r="Y421" s="121">
        <f>MouserListTable12[[#This Row],[Tot '#]]*MouserListTable12[[#This Row],[Price (USD)]]</f>
        <v>2.95</v>
      </c>
      <c r="Z421"/>
    </row>
    <row r="422" spans="1:26" s="146" customFormat="1" hidden="1" x14ac:dyDescent="0.3">
      <c r="A422" s="126" t="s">
        <v>897</v>
      </c>
      <c r="B422" s="126" t="s">
        <v>1891</v>
      </c>
      <c r="C422" s="103" t="s">
        <v>1906</v>
      </c>
      <c r="D422" s="106" t="str">
        <f>IF(MouserListTable12[[#This Row],[Vendor]]=FilterSpecs!$A$8,MouserListTable12[[#This Row],[Mouser SKU]], MouserListTable12[[#This Row],[Supplier SKU]])</f>
        <v>474-PRT-12807</v>
      </c>
      <c r="E422" s="121">
        <f>MouserListTable12[[#This Row],[Tot '#]]-MouserListTable12[[#This Row],['# Initial]]</f>
        <v>0</v>
      </c>
      <c r="F422" s="121">
        <f>IF(AND(MouserListTable12[[#This Row],[Tag]]&lt;&gt;FilterSpecs!$F$12, MouserListTable12[[#This Row],[Tag]]&lt;&gt;FilterSpecs!$F$9), MouserListTable12[[#This Row],['#/Unit]]*FilterSpecs!$B$3+MouserListTable12[[#This Row],[Extra Initial]],0)</f>
        <v>0</v>
      </c>
      <c r="G422" s="103" t="s">
        <v>772</v>
      </c>
      <c r="H422" s="103" t="s">
        <v>773</v>
      </c>
      <c r="I422" s="103" t="s">
        <v>774</v>
      </c>
      <c r="J422" s="103">
        <v>1</v>
      </c>
      <c r="K422" s="157">
        <v>0.5</v>
      </c>
      <c r="L422" s="103" t="s">
        <v>1910</v>
      </c>
      <c r="M422" s="103"/>
      <c r="N422" s="157">
        <f>MouserListTable12[[#This Row],['# Initial]]*MouserListTable12[[#This Row],[Price (USD)]]</f>
        <v>0</v>
      </c>
      <c r="O422" s="106" t="s">
        <v>771</v>
      </c>
      <c r="P422" s="103">
        <f t="shared" si="10"/>
        <v>403</v>
      </c>
      <c r="Q422" s="103" t="s">
        <v>8</v>
      </c>
      <c r="R42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474-PRT-12807</v>
      </c>
      <c r="S422" s="195" t="str">
        <f>HYPERLINK("https://www.mouser.com/ProductDetail/" &amp;MouserListTable12[[#This Row],[Mouser SKU]])</f>
        <v>https://www.mouser.com/ProductDetail/474-PRT-12807</v>
      </c>
      <c r="T422" s="121">
        <v>0</v>
      </c>
      <c r="U422" s="121">
        <v>0</v>
      </c>
      <c r="V422" s="121">
        <v>0</v>
      </c>
      <c r="W422" s="121">
        <f>MouserListTable12[[#This Row],['#/Unit]]*FilterSpecs!$C$3+MouserListTable12[[#This Row],[Extra]]</f>
        <v>0</v>
      </c>
      <c r="X422" s="121">
        <f>IF(MouserListTable12[[#This Row],[Tag]]=FilterSpecs!$F$7,MouserListTable12[[#This Row],['#/Unit]]*MouserListTable12[[#This Row],[Price (USD)]],0)</f>
        <v>0</v>
      </c>
      <c r="Y422" s="121">
        <f>MouserListTable12[[#This Row],[Tot '#]]*MouserListTable12[[#This Row],[Price (USD)]]</f>
        <v>0</v>
      </c>
      <c r="Z422"/>
    </row>
    <row r="423" spans="1:26" s="146" customFormat="1" hidden="1" x14ac:dyDescent="0.3">
      <c r="A423" s="126" t="s">
        <v>897</v>
      </c>
      <c r="B423" s="126" t="s">
        <v>1891</v>
      </c>
      <c r="C423" s="103" t="s">
        <v>1906</v>
      </c>
      <c r="D423" s="106" t="str">
        <f>IF(MouserListTable12[[#This Row],[Vendor]]=FilterSpecs!$A$8,MouserListTable12[[#This Row],[Mouser SKU]], MouserListTable12[[#This Row],[Supplier SKU]])</f>
        <v>474-PRT-13156</v>
      </c>
      <c r="E423" s="121">
        <f>MouserListTable12[[#This Row],[Tot '#]]-MouserListTable12[[#This Row],['# Initial]]</f>
        <v>0</v>
      </c>
      <c r="F423" s="121">
        <f>IF(AND(MouserListTable12[[#This Row],[Tag]]&lt;&gt;FilterSpecs!$F$12, MouserListTable12[[#This Row],[Tag]]&lt;&gt;FilterSpecs!$F$9), MouserListTable12[[#This Row],['#/Unit]]*FilterSpecs!$B$3+MouserListTable12[[#This Row],[Extra Initial]],0)</f>
        <v>0</v>
      </c>
      <c r="G423" s="103" t="s">
        <v>516</v>
      </c>
      <c r="H423" s="103" t="s">
        <v>517</v>
      </c>
      <c r="I423" s="103" t="s">
        <v>518</v>
      </c>
      <c r="J423" s="103">
        <v>1</v>
      </c>
      <c r="K423" s="157">
        <v>0.95</v>
      </c>
      <c r="L423" s="103" t="s">
        <v>1910</v>
      </c>
      <c r="M423" s="103"/>
      <c r="N423" s="157">
        <f>MouserListTable12[[#This Row],['# Initial]]*MouserListTable12[[#This Row],[Price (USD)]]</f>
        <v>0</v>
      </c>
      <c r="O423" s="106" t="s">
        <v>515</v>
      </c>
      <c r="P423" s="103">
        <f t="shared" si="10"/>
        <v>404</v>
      </c>
      <c r="Q423" s="103" t="s">
        <v>8</v>
      </c>
      <c r="R42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474-PRT-13156</v>
      </c>
      <c r="S423" s="195" t="str">
        <f>HYPERLINK("https://www.mouser.com/ProductDetail/" &amp;MouserListTable12[[#This Row],[Mouser SKU]])</f>
        <v>https://www.mouser.com/ProductDetail/474-PRT-13156</v>
      </c>
      <c r="T423" s="121">
        <v>0</v>
      </c>
      <c r="U423" s="121">
        <v>0</v>
      </c>
      <c r="V423" s="121">
        <v>0</v>
      </c>
      <c r="W423" s="121">
        <f>MouserListTable12[[#This Row],['#/Unit]]*FilterSpecs!$C$3+MouserListTable12[[#This Row],[Extra]]</f>
        <v>0</v>
      </c>
      <c r="X423" s="121">
        <f>IF(MouserListTable12[[#This Row],[Tag]]=FilterSpecs!$F$7,MouserListTable12[[#This Row],['#/Unit]]*MouserListTable12[[#This Row],[Price (USD)]],0)</f>
        <v>0</v>
      </c>
      <c r="Y423" s="121">
        <f>MouserListTable12[[#This Row],[Tot '#]]*MouserListTable12[[#This Row],[Price (USD)]]</f>
        <v>0</v>
      </c>
      <c r="Z423"/>
    </row>
    <row r="424" spans="1:26" s="146" customFormat="1" hidden="1" x14ac:dyDescent="0.3">
      <c r="A424" s="103" t="s">
        <v>897</v>
      </c>
      <c r="B424" s="103" t="s">
        <v>1891</v>
      </c>
      <c r="C424" s="103" t="s">
        <v>1906</v>
      </c>
      <c r="D424" s="106" t="str">
        <f>IF(MouserListTable12[[#This Row],[Vendor]]=FilterSpecs!$A$8,MouserListTable12[[#This Row],[Mouser SKU]], MouserListTable12[[#This Row],[Supplier SKU]])</f>
        <v>474-PRT-12791</v>
      </c>
      <c r="E424" s="121">
        <f>MouserListTable12[[#This Row],[Tot '#]]-MouserListTable12[[#This Row],['# Initial]]</f>
        <v>1</v>
      </c>
      <c r="F424" s="121">
        <f>IF(AND(MouserListTable12[[#This Row],[Tag]]&lt;&gt;FilterSpecs!$F$12, MouserListTable12[[#This Row],[Tag]]&lt;&gt;FilterSpecs!$F$9), MouserListTable12[[#This Row],['#/Unit]]*FilterSpecs!$B$3+MouserListTable12[[#This Row],[Extra Initial]],0)</f>
        <v>0</v>
      </c>
      <c r="G424" s="103" t="s">
        <v>1792</v>
      </c>
      <c r="H424" s="103" t="s">
        <v>1793</v>
      </c>
      <c r="I424" s="103" t="s">
        <v>1794</v>
      </c>
      <c r="J424" s="103">
        <v>1</v>
      </c>
      <c r="K424" s="157">
        <v>0.95</v>
      </c>
      <c r="L424" s="103" t="s">
        <v>1910</v>
      </c>
      <c r="M424" s="103"/>
      <c r="N424" s="157">
        <f>MouserListTable12[[#This Row],['# Initial]]*MouserListTable12[[#This Row],[Price (USD)]]</f>
        <v>0</v>
      </c>
      <c r="O424" s="106" t="s">
        <v>1791</v>
      </c>
      <c r="P424" s="103">
        <f t="shared" si="10"/>
        <v>405</v>
      </c>
      <c r="Q424" s="103" t="s">
        <v>8</v>
      </c>
      <c r="R42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474-PRT-12791</v>
      </c>
      <c r="S424" s="195" t="str">
        <f>HYPERLINK("https://www.mouser.com/ProductDetail/" &amp;MouserListTable12[[#This Row],[Mouser SKU]])</f>
        <v>https://www.mouser.com/ProductDetail/474-PRT-12791</v>
      </c>
      <c r="T424" s="121">
        <v>0</v>
      </c>
      <c r="U424" s="121">
        <v>1</v>
      </c>
      <c r="V424" s="121">
        <v>0</v>
      </c>
      <c r="W424" s="121">
        <f>MouserListTable12[[#This Row],['#/Unit]]*FilterSpecs!$C$3+MouserListTable12[[#This Row],[Extra]]</f>
        <v>1</v>
      </c>
      <c r="X424" s="121">
        <f>IF(MouserListTable12[[#This Row],[Tag]]=FilterSpecs!$F$7,MouserListTable12[[#This Row],['#/Unit]]*MouserListTable12[[#This Row],[Price (USD)]],0)</f>
        <v>0</v>
      </c>
      <c r="Y424" s="121">
        <f>MouserListTable12[[#This Row],[Tot '#]]*MouserListTable12[[#This Row],[Price (USD)]]</f>
        <v>0.95</v>
      </c>
      <c r="Z424"/>
    </row>
    <row r="425" spans="1:26" s="146" customFormat="1" hidden="1" x14ac:dyDescent="0.3">
      <c r="A425" s="126" t="s">
        <v>897</v>
      </c>
      <c r="B425" s="126" t="s">
        <v>1891</v>
      </c>
      <c r="C425" s="103" t="s">
        <v>1906</v>
      </c>
      <c r="D425" s="106" t="str">
        <f>IF(MouserListTable12[[#This Row],[Vendor]]=FilterSpecs!$A$8,MouserListTable12[[#This Row],[Mouser SKU]], MouserListTable12[[#This Row],[Supplier SKU]])</f>
        <v>474-PRT-00116</v>
      </c>
      <c r="E425" s="121">
        <f>MouserListTable12[[#This Row],[Tot '#]]-MouserListTable12[[#This Row],['# Initial]]</f>
        <v>0</v>
      </c>
      <c r="F425" s="121">
        <f>IF(AND(MouserListTable12[[#This Row],[Tag]]&lt;&gt;FilterSpecs!$F$12, MouserListTable12[[#This Row],[Tag]]&lt;&gt;FilterSpecs!$F$9), MouserListTable12[[#This Row],['#/Unit]]*FilterSpecs!$B$3+MouserListTable12[[#This Row],[Extra Initial]],0)</f>
        <v>0</v>
      </c>
      <c r="G425" s="103" t="s">
        <v>756</v>
      </c>
      <c r="H425" s="103" t="s">
        <v>757</v>
      </c>
      <c r="I425" s="103" t="s">
        <v>758</v>
      </c>
      <c r="J425" s="103">
        <v>1</v>
      </c>
      <c r="K425" s="157">
        <v>1.5</v>
      </c>
      <c r="L425" s="103" t="s">
        <v>1910</v>
      </c>
      <c r="M425" s="103"/>
      <c r="N425" s="157">
        <f>MouserListTable12[[#This Row],['# Initial]]*MouserListTable12[[#This Row],[Price (USD)]]</f>
        <v>0</v>
      </c>
      <c r="O425" s="106" t="s">
        <v>755</v>
      </c>
      <c r="P425" s="103">
        <f t="shared" si="10"/>
        <v>406</v>
      </c>
      <c r="Q425" s="103" t="s">
        <v>8</v>
      </c>
      <c r="R42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474-PRT-00116</v>
      </c>
      <c r="S425" s="195" t="str">
        <f>HYPERLINK("https://www.mouser.com/ProductDetail/" &amp;MouserListTable12[[#This Row],[Mouser SKU]])</f>
        <v>https://www.mouser.com/ProductDetail/474-PRT-00116</v>
      </c>
      <c r="T425" s="121">
        <v>0</v>
      </c>
      <c r="U425" s="121">
        <v>0</v>
      </c>
      <c r="V425" s="121">
        <v>0</v>
      </c>
      <c r="W425" s="121">
        <f>MouserListTable12[[#This Row],['#/Unit]]*FilterSpecs!$C$3+MouserListTable12[[#This Row],[Extra]]</f>
        <v>0</v>
      </c>
      <c r="X425" s="121">
        <f>IF(MouserListTable12[[#This Row],[Tag]]=FilterSpecs!$F$7,MouserListTable12[[#This Row],['#/Unit]]*MouserListTable12[[#This Row],[Price (USD)]],0)</f>
        <v>0</v>
      </c>
      <c r="Y425" s="121">
        <f>MouserListTable12[[#This Row],[Tot '#]]*MouserListTable12[[#This Row],[Price (USD)]]</f>
        <v>0</v>
      </c>
      <c r="Z425"/>
    </row>
    <row r="426" spans="1:26" s="146" customFormat="1" x14ac:dyDescent="0.3">
      <c r="A426" s="103" t="s">
        <v>897</v>
      </c>
      <c r="B426" s="103" t="s">
        <v>1891</v>
      </c>
      <c r="C426" s="103" t="s">
        <v>1906</v>
      </c>
      <c r="D426" s="106" t="str">
        <f>IF(MouserListTable12[[#This Row],[Vendor]]=FilterSpecs!$A$8,MouserListTable12[[#This Row],[Mouser SKU]], MouserListTable12[[#This Row],[Supplier SKU]])</f>
        <v>485-392</v>
      </c>
      <c r="E426" s="121">
        <f>MouserListTable12[[#This Row],[Tot '#]]-MouserListTable12[[#This Row],['# Initial]]</f>
        <v>0</v>
      </c>
      <c r="F426" s="121">
        <f>IF(AND(MouserListTable12[[#This Row],[Tag]]&lt;&gt;FilterSpecs!$F$12, MouserListTable12[[#This Row],[Tag]]&lt;&gt;FilterSpecs!$F$9), MouserListTable12[[#This Row],['#/Unit]]*FilterSpecs!$B$3+MouserListTable12[[#This Row],[Extra Initial]],0)</f>
        <v>1</v>
      </c>
      <c r="G426" s="103"/>
      <c r="H426" s="103"/>
      <c r="I426" s="103" t="s">
        <v>2190</v>
      </c>
      <c r="K426" s="157">
        <v>4.95</v>
      </c>
      <c r="L426" s="103" t="s">
        <v>1910</v>
      </c>
      <c r="M426" s="106"/>
      <c r="N426" s="157">
        <f>MouserListTable12[[#This Row],['# Initial]]*MouserListTable12[[#This Row],[Price (USD)]]</f>
        <v>4.95</v>
      </c>
      <c r="O426" s="106" t="s">
        <v>2189</v>
      </c>
      <c r="P426" s="103">
        <f t="shared" si="10"/>
        <v>407</v>
      </c>
      <c r="Q426" s="103" t="s">
        <v>1898</v>
      </c>
      <c r="R42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485-392</v>
      </c>
      <c r="S426" s="195" t="str">
        <f>HYPERLINK("https://www.mouser.com/ProductDetail/" &amp;MouserListTable12[[#This Row],[Mouser SKU]])</f>
        <v>https://www.mouser.com/ProductDetail/485-392</v>
      </c>
      <c r="T426" s="121">
        <v>0</v>
      </c>
      <c r="U426" s="121">
        <v>1</v>
      </c>
      <c r="V426" s="121">
        <v>1</v>
      </c>
      <c r="W426" s="121">
        <f>MouserListTable12[[#This Row],['#/Unit]]*FilterSpecs!$C$3+MouserListTable12[[#This Row],[Extra]]</f>
        <v>1</v>
      </c>
      <c r="X426" s="121">
        <f>IF(MouserListTable12[[#This Row],[Tag]]=FilterSpecs!$F$7,MouserListTable12[[#This Row],['#/Unit]]*MouserListTable12[[#This Row],[Price (USD)]],0)</f>
        <v>0</v>
      </c>
      <c r="Y426" s="121">
        <f>MouserListTable12[[#This Row],[Tot '#]]*MouserListTable12[[#This Row],[Price (USD)]]</f>
        <v>4.95</v>
      </c>
      <c r="Z426"/>
    </row>
    <row r="427" spans="1:26" s="146" customFormat="1" x14ac:dyDescent="0.3">
      <c r="A427" s="103" t="s">
        <v>897</v>
      </c>
      <c r="B427" s="103" t="s">
        <v>1891</v>
      </c>
      <c r="C427" s="103" t="s">
        <v>1906</v>
      </c>
      <c r="D427" s="106" t="str">
        <f>IF(MouserListTable12[[#This Row],[Vendor]]=FilterSpecs!$A$8,MouserListTable12[[#This Row],[Mouser SKU]], MouserListTable12[[#This Row],[Supplier SKU]])</f>
        <v>485-3009</v>
      </c>
      <c r="E427" s="121">
        <f>MouserListTable12[[#This Row],[Tot '#]]-MouserListTable12[[#This Row],['# Initial]]</f>
        <v>0</v>
      </c>
      <c r="F427" s="121">
        <f>IF(AND(MouserListTable12[[#This Row],[Tag]]&lt;&gt;FilterSpecs!$F$12, MouserListTable12[[#This Row],[Tag]]&lt;&gt;FilterSpecs!$F$9), MouserListTable12[[#This Row],['#/Unit]]*FilterSpecs!$B$3+MouserListTable12[[#This Row],[Extra Initial]],0)</f>
        <v>1</v>
      </c>
      <c r="G427" s="103"/>
      <c r="H427" s="103"/>
      <c r="I427" s="103" t="s">
        <v>2182</v>
      </c>
      <c r="K427" s="157">
        <v>4.95</v>
      </c>
      <c r="L427" s="103" t="s">
        <v>1910</v>
      </c>
      <c r="M427" s="106"/>
      <c r="N427" s="157">
        <f>MouserListTable12[[#This Row],['# Initial]]*MouserListTable12[[#This Row],[Price (USD)]]</f>
        <v>4.95</v>
      </c>
      <c r="O427" s="106" t="s">
        <v>2181</v>
      </c>
      <c r="P427" s="103">
        <f t="shared" si="10"/>
        <v>408</v>
      </c>
      <c r="Q427" s="103" t="s">
        <v>1898</v>
      </c>
      <c r="R42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485-3009</v>
      </c>
      <c r="S427" s="195" t="str">
        <f>HYPERLINK("https://www.mouser.com/ProductDetail/" &amp;MouserListTable12[[#This Row],[Mouser SKU]])</f>
        <v>https://www.mouser.com/ProductDetail/485-3009</v>
      </c>
      <c r="T427" s="121">
        <v>0</v>
      </c>
      <c r="U427" s="121">
        <v>1</v>
      </c>
      <c r="V427" s="121">
        <v>1</v>
      </c>
      <c r="W427" s="121">
        <f>MouserListTable12[[#This Row],['#/Unit]]*FilterSpecs!$C$3+MouserListTable12[[#This Row],[Extra]]</f>
        <v>1</v>
      </c>
      <c r="X427" s="121">
        <f>IF(MouserListTable12[[#This Row],[Tag]]=FilterSpecs!$F$7,MouserListTable12[[#This Row],['#/Unit]]*MouserListTable12[[#This Row],[Price (USD)]],0)</f>
        <v>0</v>
      </c>
      <c r="Y427" s="121">
        <f>MouserListTable12[[#This Row],[Tot '#]]*MouserListTable12[[#This Row],[Price (USD)]]</f>
        <v>4.95</v>
      </c>
      <c r="Z427"/>
    </row>
    <row r="428" spans="1:26" s="146" customFormat="1" x14ac:dyDescent="0.3">
      <c r="A428" s="103" t="s">
        <v>897</v>
      </c>
      <c r="B428" s="103" t="s">
        <v>1891</v>
      </c>
      <c r="C428" s="103" t="s">
        <v>1906</v>
      </c>
      <c r="D428" s="106" t="str">
        <f>IF(MouserListTable12[[#This Row],[Vendor]]=FilterSpecs!$A$8,MouserListTable12[[#This Row],[Mouser SKU]], MouserListTable12[[#This Row],[Supplier SKU]])</f>
        <v>474-PRT-10158</v>
      </c>
      <c r="E428" s="121">
        <f>MouserListTable12[[#This Row],[Tot '#]]-MouserListTable12[[#This Row],['# Initial]]</f>
        <v>0</v>
      </c>
      <c r="F428" s="121">
        <f>IF(AND(MouserListTable12[[#This Row],[Tag]]&lt;&gt;FilterSpecs!$F$12, MouserListTable12[[#This Row],[Tag]]&lt;&gt;FilterSpecs!$F$9), MouserListTable12[[#This Row],['#/Unit]]*FilterSpecs!$B$3+MouserListTable12[[#This Row],[Extra Initial]],0)</f>
        <v>5</v>
      </c>
      <c r="G428" s="103" t="s">
        <v>490</v>
      </c>
      <c r="H428" s="103" t="s">
        <v>491</v>
      </c>
      <c r="I428" s="103" t="s">
        <v>492</v>
      </c>
      <c r="J428" s="103">
        <v>1</v>
      </c>
      <c r="K428" s="157">
        <v>2.95</v>
      </c>
      <c r="L428" s="103" t="s">
        <v>1911</v>
      </c>
      <c r="M428" s="103"/>
      <c r="N428" s="157">
        <f>MouserListTable12[[#This Row],['# Initial]]*MouserListTable12[[#This Row],[Price (USD)]]</f>
        <v>14.75</v>
      </c>
      <c r="O428" s="106" t="s">
        <v>489</v>
      </c>
      <c r="P428" s="103">
        <f t="shared" si="10"/>
        <v>409</v>
      </c>
      <c r="Q428" s="103" t="s">
        <v>8</v>
      </c>
      <c r="R42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474-PRT-10158</v>
      </c>
      <c r="S428" s="195" t="str">
        <f>HYPERLINK("https://www.mouser.com/ProductDetail/" &amp;MouserListTable12[[#This Row],[Mouser SKU]])</f>
        <v>https://www.mouser.com/ProductDetail/474-PRT-10158</v>
      </c>
      <c r="T428" s="121">
        <v>1</v>
      </c>
      <c r="U428" s="121">
        <v>0</v>
      </c>
      <c r="V428" s="121">
        <v>0</v>
      </c>
      <c r="W428" s="121">
        <f>MouserListTable12[[#This Row],['#/Unit]]*FilterSpecs!$C$3+MouserListTable12[[#This Row],[Extra]]</f>
        <v>5</v>
      </c>
      <c r="X428" s="121">
        <f>IF(MouserListTable12[[#This Row],[Tag]]=FilterSpecs!$F$7,MouserListTable12[[#This Row],['#/Unit]]*MouserListTable12[[#This Row],[Price (USD)]],0)</f>
        <v>2.95</v>
      </c>
      <c r="Y428" s="121">
        <f>MouserListTable12[[#This Row],[Tot '#]]*MouserListTable12[[#This Row],[Price (USD)]]</f>
        <v>14.75</v>
      </c>
      <c r="Z428"/>
    </row>
    <row r="429" spans="1:26" s="146" customFormat="1" x14ac:dyDescent="0.3">
      <c r="A429" s="103" t="s">
        <v>897</v>
      </c>
      <c r="B429" s="103" t="s">
        <v>1891</v>
      </c>
      <c r="C429" s="103" t="s">
        <v>1906</v>
      </c>
      <c r="D429" s="106" t="str">
        <f>IF(MouserListTable12[[#This Row],[Vendor]]=FilterSpecs!$A$8,MouserListTable12[[#This Row],[Mouser SKU]], MouserListTable12[[#This Row],[Supplier SKU]])</f>
        <v>474-PRT-12693</v>
      </c>
      <c r="E429" s="121">
        <f>MouserListTable12[[#This Row],[Tot '#]]-MouserListTable12[[#This Row],['# Initial]]</f>
        <v>0</v>
      </c>
      <c r="F429" s="121">
        <f>IF(AND(MouserListTable12[[#This Row],[Tag]]&lt;&gt;FilterSpecs!$F$12, MouserListTable12[[#This Row],[Tag]]&lt;&gt;FilterSpecs!$F$9), MouserListTable12[[#This Row],['#/Unit]]*FilterSpecs!$B$3+MouserListTable12[[#This Row],[Extra Initial]],0)</f>
        <v>5</v>
      </c>
      <c r="G429" s="103" t="s">
        <v>474</v>
      </c>
      <c r="H429" s="103" t="s">
        <v>475</v>
      </c>
      <c r="I429" s="103" t="s">
        <v>476</v>
      </c>
      <c r="J429" s="103">
        <v>1</v>
      </c>
      <c r="K429" s="157">
        <v>0.75</v>
      </c>
      <c r="L429" s="103" t="s">
        <v>1911</v>
      </c>
      <c r="M429" s="103"/>
      <c r="N429" s="157">
        <f>MouserListTable12[[#This Row],['# Initial]]*MouserListTable12[[#This Row],[Price (USD)]]</f>
        <v>3.75</v>
      </c>
      <c r="O429" s="106" t="s">
        <v>473</v>
      </c>
      <c r="P429" s="103">
        <f t="shared" si="10"/>
        <v>410</v>
      </c>
      <c r="Q429" s="103" t="s">
        <v>8</v>
      </c>
      <c r="R42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474-PRT-12693</v>
      </c>
      <c r="S429" s="195" t="str">
        <f>HYPERLINK("https://www.mouser.com/ProductDetail/" &amp;MouserListTable12[[#This Row],[Mouser SKU]])</f>
        <v>https://www.mouser.com/ProductDetail/474-PRT-12693</v>
      </c>
      <c r="T429" s="121">
        <v>1</v>
      </c>
      <c r="U429" s="121">
        <v>0</v>
      </c>
      <c r="V429" s="121">
        <v>0</v>
      </c>
      <c r="W429" s="121">
        <f>MouserListTable12[[#This Row],['#/Unit]]*FilterSpecs!$C$3+MouserListTable12[[#This Row],[Extra]]</f>
        <v>5</v>
      </c>
      <c r="X429" s="121">
        <f>IF(MouserListTable12[[#This Row],[Tag]]=FilterSpecs!$F$7,MouserListTable12[[#This Row],['#/Unit]]*MouserListTable12[[#This Row],[Price (USD)]],0)</f>
        <v>0.75</v>
      </c>
      <c r="Y429" s="121">
        <f>MouserListTable12[[#This Row],[Tot '#]]*MouserListTable12[[#This Row],[Price (USD)]]</f>
        <v>3.75</v>
      </c>
      <c r="Z429"/>
    </row>
    <row r="430" spans="1:26" s="146" customFormat="1" x14ac:dyDescent="0.3">
      <c r="A430" s="128" t="s">
        <v>897</v>
      </c>
      <c r="B430" s="128" t="s">
        <v>1891</v>
      </c>
      <c r="C430" s="103" t="s">
        <v>1906</v>
      </c>
      <c r="D430" s="106" t="str">
        <f>IF(MouserListTable12[[#This Row],[Vendor]]=FilterSpecs!$A$8,MouserListTable12[[#This Row],[Mouser SKU]], MouserListTable12[[#This Row],[Supplier SKU]])</f>
        <v>485-400</v>
      </c>
      <c r="E430" s="121">
        <f>MouserListTable12[[#This Row],[Tot '#]]-MouserListTable12[[#This Row],['# Initial]]</f>
        <v>0</v>
      </c>
      <c r="F430" s="121">
        <f>IF(AND(MouserListTable12[[#This Row],[Tag]]&lt;&gt;FilterSpecs!$F$12, MouserListTable12[[#This Row],[Tag]]&lt;&gt;FilterSpecs!$F$9), MouserListTable12[[#This Row],['#/Unit]]*FilterSpecs!$B$3+MouserListTable12[[#This Row],[Extra Initial]],0)</f>
        <v>1</v>
      </c>
      <c r="I430" s="128" t="s">
        <v>2482</v>
      </c>
      <c r="J430" s="153">
        <v>117</v>
      </c>
      <c r="K430" s="159">
        <v>3</v>
      </c>
      <c r="L430" s="126" t="s">
        <v>1910</v>
      </c>
      <c r="N430" s="157">
        <f>MouserListTable12[[#This Row],['# Initial]]*MouserListTable12[[#This Row],[Price (USD)]]</f>
        <v>3</v>
      </c>
      <c r="O430" s="153" t="s">
        <v>2483</v>
      </c>
      <c r="P430" s="103">
        <f t="shared" si="10"/>
        <v>411</v>
      </c>
      <c r="Q430" s="103" t="s">
        <v>1898</v>
      </c>
      <c r="R43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485-400</v>
      </c>
      <c r="S430" s="195" t="str">
        <f>HYPERLINK("https://www.mouser.com/ProductDetail/" &amp;MouserListTable12[[#This Row],[Mouser SKU]])</f>
        <v>https://www.mouser.com/ProductDetail/485-400</v>
      </c>
      <c r="T430" s="121">
        <v>0</v>
      </c>
      <c r="U430" s="121">
        <v>1</v>
      </c>
      <c r="V430" s="121">
        <v>1</v>
      </c>
      <c r="W430" s="121">
        <f>MouserListTable12[[#This Row],['#/Unit]]*FilterSpecs!$C$3+MouserListTable12[[#This Row],[Extra]]</f>
        <v>1</v>
      </c>
      <c r="X430" s="121">
        <f>IF(MouserListTable12[[#This Row],[Tag]]=FilterSpecs!$F$7,MouserListTable12[[#This Row],['#/Unit]]*MouserListTable12[[#This Row],[Price (USD)]],0)</f>
        <v>0</v>
      </c>
      <c r="Y430" s="121">
        <f>MouserListTable12[[#This Row],[Tot '#]]*MouserListTable12[[#This Row],[Price (USD)]]</f>
        <v>3</v>
      </c>
      <c r="Z430"/>
    </row>
    <row r="431" spans="1:26" s="146" customFormat="1" hidden="1" x14ac:dyDescent="0.3">
      <c r="A431" s="126" t="s">
        <v>897</v>
      </c>
      <c r="B431" s="126" t="s">
        <v>1891</v>
      </c>
      <c r="C431" s="103" t="s">
        <v>1906</v>
      </c>
      <c r="D431" s="106" t="str">
        <f>IF(MouserListTable12[[#This Row],[Vendor]]=FilterSpecs!$A$8,MouserListTable12[[#This Row],[Mouser SKU]], MouserListTable12[[#This Row],[Supplier SKU]])</f>
        <v>474-PRT-00553</v>
      </c>
      <c r="E431" s="121">
        <f>MouserListTable12[[#This Row],[Tot '#]]-MouserListTable12[[#This Row],['# Initial]]</f>
        <v>0</v>
      </c>
      <c r="F431" s="121">
        <f>IF(AND(MouserListTable12[[#This Row],[Tag]]&lt;&gt;FilterSpecs!$F$12, MouserListTable12[[#This Row],[Tag]]&lt;&gt;FilterSpecs!$F$9), MouserListTable12[[#This Row],['#/Unit]]*FilterSpecs!$B$3+MouserListTable12[[#This Row],[Extra Initial]],0)</f>
        <v>0</v>
      </c>
      <c r="G431" s="103" t="s">
        <v>760</v>
      </c>
      <c r="H431" s="103" t="s">
        <v>761</v>
      </c>
      <c r="I431" s="103" t="s">
        <v>762</v>
      </c>
      <c r="J431" s="103">
        <v>1</v>
      </c>
      <c r="K431" s="157">
        <v>1.95</v>
      </c>
      <c r="L431" s="103" t="s">
        <v>1910</v>
      </c>
      <c r="M431" s="103"/>
      <c r="N431" s="157">
        <f>MouserListTable12[[#This Row],['# Initial]]*MouserListTable12[[#This Row],[Price (USD)]]</f>
        <v>0</v>
      </c>
      <c r="O431" s="106" t="s">
        <v>759</v>
      </c>
      <c r="P431" s="103">
        <f t="shared" si="10"/>
        <v>412</v>
      </c>
      <c r="Q431" s="103" t="s">
        <v>8</v>
      </c>
      <c r="R43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474-PRT-00553</v>
      </c>
      <c r="S431" s="195" t="str">
        <f>HYPERLINK("https://www.mouser.com/ProductDetail/" &amp;MouserListTable12[[#This Row],[Mouser SKU]])</f>
        <v>https://www.mouser.com/ProductDetail/474-PRT-00553</v>
      </c>
      <c r="T431" s="121">
        <v>0</v>
      </c>
      <c r="U431" s="121">
        <v>0</v>
      </c>
      <c r="V431" s="121">
        <v>0</v>
      </c>
      <c r="W431" s="121">
        <f>MouserListTable12[[#This Row],['#/Unit]]*FilterSpecs!$C$3+MouserListTable12[[#This Row],[Extra]]</f>
        <v>0</v>
      </c>
      <c r="X431" s="121">
        <f>IF(MouserListTable12[[#This Row],[Tag]]=FilterSpecs!$F$7,MouserListTable12[[#This Row],['#/Unit]]*MouserListTable12[[#This Row],[Price (USD)]],0)</f>
        <v>0</v>
      </c>
      <c r="Y431" s="121">
        <f>MouserListTable12[[#This Row],[Tot '#]]*MouserListTable12[[#This Row],[Price (USD)]]</f>
        <v>0</v>
      </c>
      <c r="Z431"/>
    </row>
    <row r="432" spans="1:26" s="146" customFormat="1" hidden="1" x14ac:dyDescent="0.3">
      <c r="A432" s="103" t="s">
        <v>897</v>
      </c>
      <c r="B432" s="103" t="s">
        <v>1891</v>
      </c>
      <c r="C432" s="103" t="s">
        <v>1906</v>
      </c>
      <c r="D432" s="106" t="str">
        <f>IF(MouserListTable12[[#This Row],[Vendor]]=FilterSpecs!$A$8,MouserListTable12[[#This Row],[Mouser SKU]], MouserListTable12[[#This Row],[Supplier SKU]])</f>
        <v>485-1540</v>
      </c>
      <c r="E432" s="121">
        <f>MouserListTable12[[#This Row],[Tot '#]]-MouserListTable12[[#This Row],['# Initial]]</f>
        <v>1</v>
      </c>
      <c r="F432" s="121">
        <f>IF(AND(MouserListTable12[[#This Row],[Tag]]&lt;&gt;FilterSpecs!$F$12, MouserListTable12[[#This Row],[Tag]]&lt;&gt;FilterSpecs!$F$9), MouserListTable12[[#This Row],['#/Unit]]*FilterSpecs!$B$3+MouserListTable12[[#This Row],[Extra Initial]],0)</f>
        <v>0</v>
      </c>
      <c r="G432" s="103"/>
      <c r="H432" s="103"/>
      <c r="I432" s="126" t="s">
        <v>2192</v>
      </c>
      <c r="K432" s="158">
        <v>5.95</v>
      </c>
      <c r="L432" s="126" t="s">
        <v>2487</v>
      </c>
      <c r="N432" s="157">
        <f>MouserListTable12[[#This Row],['# Initial]]*MouserListTable12[[#This Row],[Price (USD)]]</f>
        <v>0</v>
      </c>
      <c r="O432" s="106" t="s">
        <v>2191</v>
      </c>
      <c r="P432" s="103">
        <f t="shared" si="10"/>
        <v>413</v>
      </c>
      <c r="Q432" s="103" t="s">
        <v>1898</v>
      </c>
      <c r="R43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485-1540</v>
      </c>
      <c r="S432" s="195" t="str">
        <f>HYPERLINK("https://www.mouser.com/ProductDetail/" &amp;MouserListTable12[[#This Row],[Mouser SKU]])</f>
        <v>https://www.mouser.com/ProductDetail/485-1540</v>
      </c>
      <c r="T432" s="121">
        <v>0</v>
      </c>
      <c r="U432" s="121">
        <v>1</v>
      </c>
      <c r="V432" s="121">
        <v>1</v>
      </c>
      <c r="W432" s="121">
        <f>MouserListTable12[[#This Row],['#/Unit]]*FilterSpecs!$C$3+MouserListTable12[[#This Row],[Extra]]</f>
        <v>1</v>
      </c>
      <c r="X432" s="121">
        <f>IF(MouserListTable12[[#This Row],[Tag]]=FilterSpecs!$F$7,MouserListTable12[[#This Row],['#/Unit]]*MouserListTable12[[#This Row],[Price (USD)]],0)</f>
        <v>0</v>
      </c>
      <c r="Y432" s="121">
        <f>MouserListTable12[[#This Row],[Tot '#]]*MouserListTable12[[#This Row],[Price (USD)]]</f>
        <v>5.95</v>
      </c>
      <c r="Z432"/>
    </row>
    <row r="433" spans="1:26" s="146" customFormat="1" hidden="1" x14ac:dyDescent="0.3">
      <c r="A433" s="103" t="s">
        <v>897</v>
      </c>
      <c r="B433" s="103" t="s">
        <v>1891</v>
      </c>
      <c r="C433" s="103" t="s">
        <v>1906</v>
      </c>
      <c r="D433" s="106" t="str">
        <f>IF(MouserListTable12[[#This Row],[Vendor]]=FilterSpecs!$A$8,MouserListTable12[[#This Row],[Mouser SKU]], MouserListTable12[[#This Row],[Supplier SKU]])</f>
        <v>485-2822</v>
      </c>
      <c r="E433" s="121">
        <f>MouserListTable12[[#This Row],[Tot '#]]-MouserListTable12[[#This Row],['# Initial]]</f>
        <v>0</v>
      </c>
      <c r="F433" s="121">
        <f>IF(AND(MouserListTable12[[#This Row],[Tag]]&lt;&gt;FilterSpecs!$F$12, MouserListTable12[[#This Row],[Tag]]&lt;&gt;FilterSpecs!$F$9), MouserListTable12[[#This Row],['#/Unit]]*FilterSpecs!$B$3+MouserListTable12[[#This Row],[Extra Initial]],0)</f>
        <v>0</v>
      </c>
      <c r="G433" s="103"/>
      <c r="H433" s="103"/>
      <c r="I433" s="126" t="s">
        <v>2184</v>
      </c>
      <c r="K433" s="158">
        <v>0.95</v>
      </c>
      <c r="L433" s="126" t="s">
        <v>1910</v>
      </c>
      <c r="N433" s="157">
        <f>MouserListTable12[[#This Row],['# Initial]]*MouserListTable12[[#This Row],[Price (USD)]]</f>
        <v>0</v>
      </c>
      <c r="O433" s="106" t="s">
        <v>2183</v>
      </c>
      <c r="P433" s="103">
        <f t="shared" si="10"/>
        <v>414</v>
      </c>
      <c r="Q433" s="103" t="s">
        <v>1898</v>
      </c>
      <c r="R43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485-2822</v>
      </c>
      <c r="S433" s="195" t="str">
        <f>HYPERLINK("https://www.mouser.com/ProductDetail/" &amp;MouserListTable12[[#This Row],[Mouser SKU]])</f>
        <v>https://www.mouser.com/ProductDetail/485-2822</v>
      </c>
      <c r="T433" s="121">
        <v>0</v>
      </c>
      <c r="U433" s="121">
        <v>0</v>
      </c>
      <c r="V433" s="121">
        <v>0</v>
      </c>
      <c r="W433" s="121">
        <f>MouserListTable12[[#This Row],['#/Unit]]*FilterSpecs!$C$3+MouserListTable12[[#This Row],[Extra]]</f>
        <v>0</v>
      </c>
      <c r="X433" s="121">
        <f>IF(MouserListTable12[[#This Row],[Tag]]=FilterSpecs!$F$7,MouserListTable12[[#This Row],['#/Unit]]*MouserListTable12[[#This Row],[Price (USD)]],0)</f>
        <v>0</v>
      </c>
      <c r="Y433" s="121">
        <f>MouserListTable12[[#This Row],[Tot '#]]*MouserListTable12[[#This Row],[Price (USD)]]</f>
        <v>0</v>
      </c>
      <c r="Z433"/>
    </row>
    <row r="434" spans="1:26" s="146" customFormat="1" x14ac:dyDescent="0.3">
      <c r="A434" s="103" t="s">
        <v>897</v>
      </c>
      <c r="B434" s="103" t="s">
        <v>1891</v>
      </c>
      <c r="C434" s="103" t="s">
        <v>1906</v>
      </c>
      <c r="D434" s="106" t="str">
        <f>IF(MouserListTable12[[#This Row],[Vendor]]=FilterSpecs!$A$8,MouserListTable12[[#This Row],[Mouser SKU]], MouserListTable12[[#This Row],[Supplier SKU]])</f>
        <v>485-1539</v>
      </c>
      <c r="E434" s="121">
        <f>MouserListTable12[[#This Row],[Tot '#]]-MouserListTable12[[#This Row],['# Initial]]</f>
        <v>0</v>
      </c>
      <c r="F434" s="121">
        <f>IF(AND(MouserListTable12[[#This Row],[Tag]]&lt;&gt;FilterSpecs!$F$12, MouserListTable12[[#This Row],[Tag]]&lt;&gt;FilterSpecs!$F$9), MouserListTable12[[#This Row],['#/Unit]]*FilterSpecs!$B$3+MouserListTable12[[#This Row],[Extra Initial]],0)</f>
        <v>1</v>
      </c>
      <c r="G434" s="103"/>
      <c r="H434" s="103"/>
      <c r="I434" s="103" t="s">
        <v>2186</v>
      </c>
      <c r="K434" s="157">
        <v>7.5</v>
      </c>
      <c r="L434" s="103" t="s">
        <v>1910</v>
      </c>
      <c r="M434" s="106"/>
      <c r="N434" s="157">
        <f>MouserListTable12[[#This Row],['# Initial]]*MouserListTable12[[#This Row],[Price (USD)]]</f>
        <v>7.5</v>
      </c>
      <c r="O434" s="106" t="s">
        <v>2185</v>
      </c>
      <c r="P434" s="103">
        <f t="shared" si="10"/>
        <v>415</v>
      </c>
      <c r="Q434" s="103" t="s">
        <v>1898</v>
      </c>
      <c r="R43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485-1539</v>
      </c>
      <c r="S434" s="195" t="str">
        <f>HYPERLINK("https://www.mouser.com/ProductDetail/" &amp;MouserListTable12[[#This Row],[Mouser SKU]])</f>
        <v>https://www.mouser.com/ProductDetail/485-1539</v>
      </c>
      <c r="T434" s="121">
        <v>0</v>
      </c>
      <c r="U434" s="121">
        <v>1</v>
      </c>
      <c r="V434" s="121">
        <v>1</v>
      </c>
      <c r="W434" s="121">
        <f>MouserListTable12[[#This Row],['#/Unit]]*FilterSpecs!$C$3+MouserListTable12[[#This Row],[Extra]]</f>
        <v>1</v>
      </c>
      <c r="X434" s="121">
        <f>IF(MouserListTable12[[#This Row],[Tag]]=FilterSpecs!$F$7,MouserListTable12[[#This Row],['#/Unit]]*MouserListTable12[[#This Row],[Price (USD)]],0)</f>
        <v>0</v>
      </c>
      <c r="Y434" s="121">
        <f>MouserListTable12[[#This Row],[Tot '#]]*MouserListTable12[[#This Row],[Price (USD)]]</f>
        <v>7.5</v>
      </c>
      <c r="Z434"/>
    </row>
    <row r="435" spans="1:26" s="146" customFormat="1" x14ac:dyDescent="0.3">
      <c r="A435" s="103" t="s">
        <v>897</v>
      </c>
      <c r="B435" s="103" t="s">
        <v>1891</v>
      </c>
      <c r="C435" s="103" t="s">
        <v>1906</v>
      </c>
      <c r="D435" s="106" t="str">
        <f>IF(MouserListTable12[[#This Row],[Vendor]]=FilterSpecs!$A$8,MouserListTable12[[#This Row],[Mouser SKU]], MouserListTable12[[#This Row],[Supplier SKU]])</f>
        <v>485-1541</v>
      </c>
      <c r="E435" s="121">
        <f>MouserListTable12[[#This Row],[Tot '#]]-MouserListTable12[[#This Row],['# Initial]]</f>
        <v>0</v>
      </c>
      <c r="F435" s="121">
        <f>IF(AND(MouserListTable12[[#This Row],[Tag]]&lt;&gt;FilterSpecs!$F$12, MouserListTable12[[#This Row],[Tag]]&lt;&gt;FilterSpecs!$F$9), MouserListTable12[[#This Row],['#/Unit]]*FilterSpecs!$B$3+MouserListTable12[[#This Row],[Extra Initial]],0)</f>
        <v>1</v>
      </c>
      <c r="G435" s="103"/>
      <c r="H435" s="103"/>
      <c r="I435" s="103" t="s">
        <v>2188</v>
      </c>
      <c r="K435" s="157">
        <v>5.95</v>
      </c>
      <c r="L435" s="103" t="s">
        <v>1910</v>
      </c>
      <c r="M435" s="106"/>
      <c r="N435" s="157">
        <f>MouserListTable12[[#This Row],['# Initial]]*MouserListTable12[[#This Row],[Price (USD)]]</f>
        <v>5.95</v>
      </c>
      <c r="O435" s="106" t="s">
        <v>2187</v>
      </c>
      <c r="P435" s="103">
        <f t="shared" si="10"/>
        <v>416</v>
      </c>
      <c r="Q435" s="103" t="s">
        <v>1898</v>
      </c>
      <c r="R43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485-1541</v>
      </c>
      <c r="S435" s="195" t="str">
        <f>HYPERLINK("https://www.mouser.com/ProductDetail/" &amp;MouserListTable12[[#This Row],[Mouser SKU]])</f>
        <v>https://www.mouser.com/ProductDetail/485-1541</v>
      </c>
      <c r="T435" s="121">
        <v>0</v>
      </c>
      <c r="U435" s="121">
        <v>1</v>
      </c>
      <c r="V435" s="121">
        <v>1</v>
      </c>
      <c r="W435" s="121">
        <f>MouserListTable12[[#This Row],['#/Unit]]*FilterSpecs!$C$3+MouserListTable12[[#This Row],[Extra]]</f>
        <v>1</v>
      </c>
      <c r="X435" s="121">
        <f>IF(MouserListTable12[[#This Row],[Tag]]=FilterSpecs!$F$7,MouserListTable12[[#This Row],['#/Unit]]*MouserListTable12[[#This Row],[Price (USD)]],0)</f>
        <v>0</v>
      </c>
      <c r="Y435" s="121">
        <f>MouserListTable12[[#This Row],[Tot '#]]*MouserListTable12[[#This Row],[Price (USD)]]</f>
        <v>5.95</v>
      </c>
      <c r="Z435"/>
    </row>
    <row r="436" spans="1:26" s="146" customFormat="1" hidden="1" x14ac:dyDescent="0.3">
      <c r="A436" s="126" t="s">
        <v>897</v>
      </c>
      <c r="B436" s="126" t="s">
        <v>1891</v>
      </c>
      <c r="C436" s="103" t="s">
        <v>1906</v>
      </c>
      <c r="D436" s="106" t="str">
        <f>IF(MouserListTable12[[#This Row],[Vendor]]=FilterSpecs!$A$8,MouserListTable12[[#This Row],[Mouser SKU]], MouserListTable12[[#This Row],[Supplier SKU]])</f>
        <v>474-COM-12792</v>
      </c>
      <c r="E436" s="121">
        <f>MouserListTable12[[#This Row],[Tot '#]]-MouserListTable12[[#This Row],['# Initial]]</f>
        <v>0</v>
      </c>
      <c r="F436" s="121">
        <f>IF(AND(MouserListTable12[[#This Row],[Tag]]&lt;&gt;FilterSpecs!$F$12, MouserListTable12[[#This Row],[Tag]]&lt;&gt;FilterSpecs!$F$9), MouserListTable12[[#This Row],['#/Unit]]*FilterSpecs!$B$3+MouserListTable12[[#This Row],[Extra Initial]],0)</f>
        <v>0</v>
      </c>
      <c r="G436" s="103" t="s">
        <v>764</v>
      </c>
      <c r="H436" s="103" t="s">
        <v>765</v>
      </c>
      <c r="I436" s="103" t="s">
        <v>766</v>
      </c>
      <c r="J436" s="103">
        <v>1</v>
      </c>
      <c r="K436" s="157">
        <v>1.95</v>
      </c>
      <c r="L436" s="103" t="s">
        <v>1910</v>
      </c>
      <c r="M436" s="103"/>
      <c r="N436" s="157">
        <f>MouserListTable12[[#This Row],['# Initial]]*MouserListTable12[[#This Row],[Price (USD)]]</f>
        <v>0</v>
      </c>
      <c r="O436" s="106" t="s">
        <v>763</v>
      </c>
      <c r="P436" s="103">
        <f t="shared" si="10"/>
        <v>417</v>
      </c>
      <c r="Q436" s="103" t="s">
        <v>8</v>
      </c>
      <c r="R43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474-COM-12792</v>
      </c>
      <c r="S436" s="195" t="str">
        <f>HYPERLINK("https://www.mouser.com/ProductDetail/" &amp;MouserListTable12[[#This Row],[Mouser SKU]])</f>
        <v>https://www.mouser.com/ProductDetail/474-COM-12792</v>
      </c>
      <c r="T436" s="121">
        <v>0</v>
      </c>
      <c r="U436" s="121">
        <v>0</v>
      </c>
      <c r="V436" s="121">
        <v>0</v>
      </c>
      <c r="W436" s="121">
        <f>MouserListTable12[[#This Row],['#/Unit]]*FilterSpecs!$C$3+MouserListTable12[[#This Row],[Extra]]</f>
        <v>0</v>
      </c>
      <c r="X436" s="121">
        <f>IF(MouserListTable12[[#This Row],[Tag]]=FilterSpecs!$F$7,MouserListTable12[[#This Row],['#/Unit]]*MouserListTable12[[#This Row],[Price (USD)]],0)</f>
        <v>0</v>
      </c>
      <c r="Y436" s="121">
        <f>MouserListTable12[[#This Row],[Tot '#]]*MouserListTable12[[#This Row],[Price (USD)]]</f>
        <v>0</v>
      </c>
      <c r="Z436"/>
    </row>
    <row r="437" spans="1:26" s="146" customFormat="1" hidden="1" x14ac:dyDescent="0.3">
      <c r="A437" s="126" t="s">
        <v>897</v>
      </c>
      <c r="B437" s="126" t="s">
        <v>1891</v>
      </c>
      <c r="C437" s="103" t="s">
        <v>1906</v>
      </c>
      <c r="D437" s="106" t="str">
        <f>IF(MouserListTable12[[#This Row],[Vendor]]=FilterSpecs!$A$8,MouserListTable12[[#This Row],[Mouser SKU]], MouserListTable12[[#This Row],[Supplier SKU]])</f>
        <v>474-COM-10095</v>
      </c>
      <c r="E437" s="121">
        <f>MouserListTable12[[#This Row],[Tot '#]]-MouserListTable12[[#This Row],['# Initial]]</f>
        <v>0</v>
      </c>
      <c r="F437" s="121">
        <f>IF(AND(MouserListTable12[[#This Row],[Tag]]&lt;&gt;FilterSpecs!$F$12, MouserListTable12[[#This Row],[Tag]]&lt;&gt;FilterSpecs!$F$9), MouserListTable12[[#This Row],['#/Unit]]*FilterSpecs!$B$3+MouserListTable12[[#This Row],[Extra Initial]],0)</f>
        <v>0</v>
      </c>
      <c r="G437" s="103" t="s">
        <v>1305</v>
      </c>
      <c r="H437" s="103" t="s">
        <v>1306</v>
      </c>
      <c r="I437" s="103" t="s">
        <v>1307</v>
      </c>
      <c r="J437" s="103">
        <v>1</v>
      </c>
      <c r="K437" s="157">
        <v>4.95</v>
      </c>
      <c r="L437" s="103" t="s">
        <v>1910</v>
      </c>
      <c r="M437" s="103"/>
      <c r="N437" s="157">
        <f>MouserListTable12[[#This Row],['# Initial]]*MouserListTable12[[#This Row],[Price (USD)]]</f>
        <v>0</v>
      </c>
      <c r="O437" s="106" t="s">
        <v>1304</v>
      </c>
      <c r="P437" s="103">
        <f t="shared" si="10"/>
        <v>418</v>
      </c>
      <c r="Q437" s="103" t="s">
        <v>8</v>
      </c>
      <c r="R43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474-COM-10095</v>
      </c>
      <c r="S437" s="195" t="str">
        <f>HYPERLINK("https://www.mouser.com/ProductDetail/" &amp;MouserListTable12[[#This Row],[Mouser SKU]])</f>
        <v>https://www.mouser.com/ProductDetail/474-COM-10095</v>
      </c>
      <c r="T437" s="121">
        <v>0</v>
      </c>
      <c r="U437" s="121">
        <v>0</v>
      </c>
      <c r="V437" s="121">
        <v>0</v>
      </c>
      <c r="W437" s="121">
        <f>MouserListTable12[[#This Row],['#/Unit]]*FilterSpecs!$C$3+MouserListTable12[[#This Row],[Extra]]</f>
        <v>0</v>
      </c>
      <c r="X437" s="121">
        <f>IF(MouserListTable12[[#This Row],[Tag]]=FilterSpecs!$F$7,MouserListTable12[[#This Row],['#/Unit]]*MouserListTable12[[#This Row],[Price (USD)]],0)</f>
        <v>0</v>
      </c>
      <c r="Y437" s="121">
        <f>MouserListTable12[[#This Row],[Tot '#]]*MouserListTable12[[#This Row],[Price (USD)]]</f>
        <v>0</v>
      </c>
      <c r="Z437"/>
    </row>
    <row r="438" spans="1:26" s="146" customFormat="1" hidden="1" x14ac:dyDescent="0.3">
      <c r="A438" s="126" t="s">
        <v>897</v>
      </c>
      <c r="B438" s="126" t="s">
        <v>1891</v>
      </c>
      <c r="C438" s="103" t="s">
        <v>1906</v>
      </c>
      <c r="D438" s="106" t="str">
        <f>IF(MouserListTable12[[#This Row],[Vendor]]=FilterSpecs!$A$8,MouserListTable12[[#This Row],[Mouser SKU]], MouserListTable12[[#This Row],[Supplier SKU]])</f>
        <v>474-PRT-10112</v>
      </c>
      <c r="E438" s="121">
        <f>MouserListTable12[[#This Row],[Tot '#]]-MouserListTable12[[#This Row],['# Initial]]</f>
        <v>0</v>
      </c>
      <c r="F438" s="121">
        <f>IF(AND(MouserListTable12[[#This Row],[Tag]]&lt;&gt;FilterSpecs!$F$12, MouserListTable12[[#This Row],[Tag]]&lt;&gt;FilterSpecs!$F$9), MouserListTable12[[#This Row],['#/Unit]]*FilterSpecs!$B$3+MouserListTable12[[#This Row],[Extra Initial]],0)</f>
        <v>0</v>
      </c>
      <c r="G438" s="103" t="s">
        <v>784</v>
      </c>
      <c r="H438" s="103" t="s">
        <v>785</v>
      </c>
      <c r="I438" s="103" t="s">
        <v>786</v>
      </c>
      <c r="J438" s="103">
        <v>1</v>
      </c>
      <c r="K438" s="157">
        <v>0.95</v>
      </c>
      <c r="L438" s="103" t="s">
        <v>1910</v>
      </c>
      <c r="M438" s="103"/>
      <c r="N438" s="157">
        <f>MouserListTable12[[#This Row],['# Initial]]*MouserListTable12[[#This Row],[Price (USD)]]</f>
        <v>0</v>
      </c>
      <c r="O438" s="106" t="s">
        <v>783</v>
      </c>
      <c r="P438" s="103">
        <f t="shared" si="10"/>
        <v>419</v>
      </c>
      <c r="Q438" s="103" t="s">
        <v>8</v>
      </c>
      <c r="R43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474-PRT-10112</v>
      </c>
      <c r="S438" s="195" t="str">
        <f>HYPERLINK("https://www.mouser.com/ProductDetail/" &amp;MouserListTable12[[#This Row],[Mouser SKU]])</f>
        <v>https://www.mouser.com/ProductDetail/474-PRT-10112</v>
      </c>
      <c r="T438" s="121">
        <v>0</v>
      </c>
      <c r="U438" s="121">
        <v>0</v>
      </c>
      <c r="V438" s="121">
        <v>0</v>
      </c>
      <c r="W438" s="121">
        <f>MouserListTable12[[#This Row],['#/Unit]]*FilterSpecs!$C$3+MouserListTable12[[#This Row],[Extra]]</f>
        <v>0</v>
      </c>
      <c r="X438" s="121">
        <f>IF(MouserListTable12[[#This Row],[Tag]]=FilterSpecs!$F$7,MouserListTable12[[#This Row],['#/Unit]]*MouserListTable12[[#This Row],[Price (USD)]],0)</f>
        <v>0</v>
      </c>
      <c r="Y438" s="121">
        <f>MouserListTable12[[#This Row],[Tot '#]]*MouserListTable12[[#This Row],[Price (USD)]]</f>
        <v>0</v>
      </c>
      <c r="Z438"/>
    </row>
    <row r="439" spans="1:26" s="146" customFormat="1" x14ac:dyDescent="0.3">
      <c r="A439" s="103" t="s">
        <v>897</v>
      </c>
      <c r="B439" s="103" t="s">
        <v>1891</v>
      </c>
      <c r="C439" s="103" t="s">
        <v>1906</v>
      </c>
      <c r="D439" s="106" t="str">
        <f>IF(MouserListTable12[[#This Row],[Vendor]]=FilterSpecs!$A$8,MouserListTable12[[#This Row],[Mouser SKU]], MouserListTable12[[#This Row],[Supplier SKU]])</f>
        <v>485-2671</v>
      </c>
      <c r="E439" s="121">
        <f>MouserListTable12[[#This Row],[Tot '#]]-MouserListTable12[[#This Row],['# Initial]]</f>
        <v>0</v>
      </c>
      <c r="F439" s="121">
        <f>IF(AND(MouserListTable12[[#This Row],[Tag]]&lt;&gt;FilterSpecs!$F$12, MouserListTable12[[#This Row],[Tag]]&lt;&gt;FilterSpecs!$F$9), MouserListTable12[[#This Row],['#/Unit]]*FilterSpecs!$B$3+MouserListTable12[[#This Row],[Extra Initial]],0)</f>
        <v>1</v>
      </c>
      <c r="G439" s="103"/>
      <c r="H439" s="103"/>
      <c r="I439" s="103" t="s">
        <v>2180</v>
      </c>
      <c r="K439" s="157">
        <v>2.95</v>
      </c>
      <c r="L439" s="103" t="s">
        <v>1910</v>
      </c>
      <c r="M439" s="106"/>
      <c r="N439" s="157">
        <f>MouserListTable12[[#This Row],['# Initial]]*MouserListTable12[[#This Row],[Price (USD)]]</f>
        <v>2.95</v>
      </c>
      <c r="O439" s="106" t="s">
        <v>2179</v>
      </c>
      <c r="P439" s="103">
        <f t="shared" si="10"/>
        <v>420</v>
      </c>
      <c r="Q439" s="103" t="s">
        <v>1898</v>
      </c>
      <c r="R43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485-2671</v>
      </c>
      <c r="S439" s="195" t="str">
        <f>HYPERLINK("https://www.mouser.com/ProductDetail/" &amp;MouserListTable12[[#This Row],[Mouser SKU]])</f>
        <v>https://www.mouser.com/ProductDetail/485-2671</v>
      </c>
      <c r="T439" s="121">
        <v>0</v>
      </c>
      <c r="U439" s="121">
        <v>1</v>
      </c>
      <c r="V439" s="121">
        <v>1</v>
      </c>
      <c r="W439" s="121">
        <f>MouserListTable12[[#This Row],['#/Unit]]*FilterSpecs!$C$3+MouserListTable12[[#This Row],[Extra]]</f>
        <v>1</v>
      </c>
      <c r="X439" s="121">
        <f>IF(MouserListTable12[[#This Row],[Tag]]=FilterSpecs!$F$7,MouserListTable12[[#This Row],['#/Unit]]*MouserListTable12[[#This Row],[Price (USD)]],0)</f>
        <v>0</v>
      </c>
      <c r="Y439" s="121">
        <f>MouserListTable12[[#This Row],[Tot '#]]*MouserListTable12[[#This Row],[Price (USD)]]</f>
        <v>2.95</v>
      </c>
      <c r="Z439"/>
    </row>
    <row r="440" spans="1:26" s="146" customFormat="1" hidden="1" x14ac:dyDescent="0.3">
      <c r="A440" s="103" t="s">
        <v>897</v>
      </c>
      <c r="B440" s="103" t="s">
        <v>1892</v>
      </c>
      <c r="C440" s="103" t="s">
        <v>1906</v>
      </c>
      <c r="D440" s="106" t="str">
        <f>IF(MouserListTable12[[#This Row],[Vendor]]=FilterSpecs!$A$8,MouserListTable12[[#This Row],[Mouser SKU]], MouserListTable12[[#This Row],[Supplier SKU]])</f>
        <v>485-2886</v>
      </c>
      <c r="E440" s="121">
        <f>MouserListTable12[[#This Row],[Tot '#]]-MouserListTable12[[#This Row],['# Initial]]</f>
        <v>0</v>
      </c>
      <c r="F440" s="121">
        <f>IF(AND(MouserListTable12[[#This Row],[Tag]]&lt;&gt;FilterSpecs!$F$12, MouserListTable12[[#This Row],[Tag]]&lt;&gt;FilterSpecs!$F$9), MouserListTable12[[#This Row],['#/Unit]]*FilterSpecs!$B$3+MouserListTable12[[#This Row],[Extra Initial]],0)</f>
        <v>0</v>
      </c>
      <c r="G440" s="103"/>
      <c r="H440" s="103"/>
      <c r="I440" s="126" t="s">
        <v>2178</v>
      </c>
      <c r="K440" s="158">
        <v>0.95</v>
      </c>
      <c r="L440" s="126" t="s">
        <v>1910</v>
      </c>
      <c r="N440" s="157">
        <f>MouserListTable12[[#This Row],['# Initial]]*MouserListTable12[[#This Row],[Price (USD)]]</f>
        <v>0</v>
      </c>
      <c r="O440" s="106" t="s">
        <v>2177</v>
      </c>
      <c r="P440" s="103">
        <f t="shared" si="10"/>
        <v>421</v>
      </c>
      <c r="Q440" s="103" t="s">
        <v>1898</v>
      </c>
      <c r="R44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485-2886</v>
      </c>
      <c r="S440" s="195" t="str">
        <f>HYPERLINK("https://www.mouser.com/ProductDetail/" &amp;MouserListTable12[[#This Row],[Mouser SKU]])</f>
        <v>https://www.mouser.com/ProductDetail/485-2886</v>
      </c>
      <c r="T440" s="121">
        <v>0</v>
      </c>
      <c r="U440" s="121">
        <v>0</v>
      </c>
      <c r="V440" s="121">
        <v>0</v>
      </c>
      <c r="W440" s="121">
        <f>MouserListTable12[[#This Row],['#/Unit]]*FilterSpecs!$C$3+MouserListTable12[[#This Row],[Extra]]</f>
        <v>0</v>
      </c>
      <c r="X440" s="121">
        <f>IF(MouserListTable12[[#This Row],[Tag]]=FilterSpecs!$F$7,MouserListTable12[[#This Row],['#/Unit]]*MouserListTable12[[#This Row],[Price (USD)]],0)</f>
        <v>0</v>
      </c>
      <c r="Y440" s="121">
        <f>MouserListTable12[[#This Row],[Tot '#]]*MouserListTable12[[#This Row],[Price (USD)]]</f>
        <v>0</v>
      </c>
      <c r="Z440"/>
    </row>
    <row r="441" spans="1:26" s="146" customFormat="1" x14ac:dyDescent="0.3">
      <c r="A441" s="103" t="s">
        <v>897</v>
      </c>
      <c r="B441" s="103" t="s">
        <v>1892</v>
      </c>
      <c r="C441" s="103" t="s">
        <v>1906</v>
      </c>
      <c r="D441" s="106" t="str">
        <f>IF(MouserListTable12[[#This Row],[Vendor]]=FilterSpecs!$A$8,MouserListTable12[[#This Row],[Mouser SKU]], MouserListTable12[[#This Row],[Supplier SKU]])</f>
        <v>485-598</v>
      </c>
      <c r="E441" s="121">
        <f>MouserListTable12[[#This Row],[Tot '#]]-MouserListTable12[[#This Row],['# Initial]]</f>
        <v>0</v>
      </c>
      <c r="F441" s="121">
        <f>IF(AND(MouserListTable12[[#This Row],[Tag]]&lt;&gt;FilterSpecs!$F$12, MouserListTable12[[#This Row],[Tag]]&lt;&gt;FilterSpecs!$F$9), MouserListTable12[[#This Row],['#/Unit]]*FilterSpecs!$B$3+MouserListTable12[[#This Row],[Extra Initial]],0)</f>
        <v>1</v>
      </c>
      <c r="G441" s="103"/>
      <c r="H441" s="103"/>
      <c r="I441" s="103" t="s">
        <v>2172</v>
      </c>
      <c r="K441" s="157">
        <v>2.95</v>
      </c>
      <c r="L441" s="103" t="s">
        <v>1910</v>
      </c>
      <c r="M441" s="106"/>
      <c r="N441" s="157">
        <f>MouserListTable12[[#This Row],['# Initial]]*MouserListTable12[[#This Row],[Price (USD)]]</f>
        <v>2.95</v>
      </c>
      <c r="O441" s="106" t="s">
        <v>2171</v>
      </c>
      <c r="P441" s="103">
        <f t="shared" si="10"/>
        <v>422</v>
      </c>
      <c r="Q441" s="103" t="s">
        <v>1898</v>
      </c>
      <c r="R44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485-598</v>
      </c>
      <c r="S441" s="195" t="str">
        <f>HYPERLINK("https://www.mouser.com/ProductDetail/" &amp;MouserListTable12[[#This Row],[Mouser SKU]])</f>
        <v>https://www.mouser.com/ProductDetail/485-598</v>
      </c>
      <c r="T441" s="121">
        <v>0</v>
      </c>
      <c r="U441" s="121">
        <v>1</v>
      </c>
      <c r="V441" s="121">
        <v>1</v>
      </c>
      <c r="W441" s="121">
        <f>MouserListTable12[[#This Row],['#/Unit]]*FilterSpecs!$C$3+MouserListTable12[[#This Row],[Extra]]</f>
        <v>1</v>
      </c>
      <c r="X441" s="121">
        <f>IF(MouserListTable12[[#This Row],[Tag]]=FilterSpecs!$F$7,MouserListTable12[[#This Row],['#/Unit]]*MouserListTable12[[#This Row],[Price (USD)]],0)</f>
        <v>0</v>
      </c>
      <c r="Y441" s="121">
        <f>MouserListTable12[[#This Row],[Tot '#]]*MouserListTable12[[#This Row],[Price (USD)]]</f>
        <v>2.95</v>
      </c>
      <c r="Z441"/>
    </row>
    <row r="442" spans="1:26" s="146" customFormat="1" x14ac:dyDescent="0.3">
      <c r="A442" s="103" t="s">
        <v>897</v>
      </c>
      <c r="B442" s="103" t="s">
        <v>1892</v>
      </c>
      <c r="C442" s="103" t="s">
        <v>1906</v>
      </c>
      <c r="D442" s="106" t="str">
        <f>IF(MouserListTable12[[#This Row],[Vendor]]=FilterSpecs!$A$8,MouserListTable12[[#This Row],[Mouser SKU]], MouserListTable12[[#This Row],[Supplier SKU]])</f>
        <v>485-3008</v>
      </c>
      <c r="E442" s="121">
        <f>MouserListTable12[[#This Row],[Tot '#]]-MouserListTable12[[#This Row],['# Initial]]</f>
        <v>0</v>
      </c>
      <c r="F442" s="121">
        <f>IF(AND(MouserListTable12[[#This Row],[Tag]]&lt;&gt;FilterSpecs!$F$12, MouserListTable12[[#This Row],[Tag]]&lt;&gt;FilterSpecs!$F$9), MouserListTable12[[#This Row],['#/Unit]]*FilterSpecs!$B$3+MouserListTable12[[#This Row],[Extra Initial]],0)</f>
        <v>1</v>
      </c>
      <c r="G442" s="103"/>
      <c r="H442" s="103"/>
      <c r="I442" s="103" t="s">
        <v>2174</v>
      </c>
      <c r="K442" s="157">
        <v>7.95</v>
      </c>
      <c r="L442" s="103" t="s">
        <v>1910</v>
      </c>
      <c r="M442" s="106"/>
      <c r="N442" s="157">
        <f>MouserListTable12[[#This Row],['# Initial]]*MouserListTable12[[#This Row],[Price (USD)]]</f>
        <v>7.95</v>
      </c>
      <c r="O442" s="106" t="s">
        <v>2173</v>
      </c>
      <c r="P442" s="103">
        <f t="shared" si="10"/>
        <v>423</v>
      </c>
      <c r="Q442" s="103" t="s">
        <v>1898</v>
      </c>
      <c r="R44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485-3008</v>
      </c>
      <c r="S442" s="195" t="str">
        <f>HYPERLINK("https://www.mouser.com/ProductDetail/" &amp;MouserListTable12[[#This Row],[Mouser SKU]])</f>
        <v>https://www.mouser.com/ProductDetail/485-3008</v>
      </c>
      <c r="T442" s="121">
        <v>0</v>
      </c>
      <c r="U442" s="121">
        <v>1</v>
      </c>
      <c r="V442" s="121">
        <v>1</v>
      </c>
      <c r="W442" s="121">
        <f>MouserListTable12[[#This Row],['#/Unit]]*FilterSpecs!$C$3+MouserListTable12[[#This Row],[Extra]]</f>
        <v>1</v>
      </c>
      <c r="X442" s="121">
        <f>IF(MouserListTable12[[#This Row],[Tag]]=FilterSpecs!$F$7,MouserListTable12[[#This Row],['#/Unit]]*MouserListTable12[[#This Row],[Price (USD)]],0)</f>
        <v>0</v>
      </c>
      <c r="Y442" s="121">
        <f>MouserListTable12[[#This Row],[Tot '#]]*MouserListTable12[[#This Row],[Price (USD)]]</f>
        <v>7.95</v>
      </c>
      <c r="Z442"/>
    </row>
    <row r="443" spans="1:26" s="146" customFormat="1" x14ac:dyDescent="0.3">
      <c r="A443" s="103" t="s">
        <v>897</v>
      </c>
      <c r="B443" s="103" t="s">
        <v>1892</v>
      </c>
      <c r="C443" s="103" t="s">
        <v>1906</v>
      </c>
      <c r="D443" s="106" t="str">
        <f>IF(MouserListTable12[[#This Row],[Vendor]]=FilterSpecs!$A$8,MouserListTable12[[#This Row],[Mouser SKU]], MouserListTable12[[#This Row],[Supplier SKU]])</f>
        <v>485-1542</v>
      </c>
      <c r="E443" s="121">
        <f>MouserListTable12[[#This Row],[Tot '#]]-MouserListTable12[[#This Row],['# Initial]]</f>
        <v>0</v>
      </c>
      <c r="F443" s="121">
        <f>IF(AND(MouserListTable12[[#This Row],[Tag]]&lt;&gt;FilterSpecs!$F$12, MouserListTable12[[#This Row],[Tag]]&lt;&gt;FilterSpecs!$F$9), MouserListTable12[[#This Row],['#/Unit]]*FilterSpecs!$B$3+MouserListTable12[[#This Row],[Extra Initial]],0)</f>
        <v>1</v>
      </c>
      <c r="G443" s="103"/>
      <c r="H443" s="103"/>
      <c r="I443" s="103" t="s">
        <v>2164</v>
      </c>
      <c r="K443" s="157">
        <v>4.95</v>
      </c>
      <c r="L443" s="103" t="s">
        <v>1910</v>
      </c>
      <c r="M443" s="106"/>
      <c r="N443" s="157">
        <f>MouserListTable12[[#This Row],['# Initial]]*MouserListTable12[[#This Row],[Price (USD)]]</f>
        <v>4.95</v>
      </c>
      <c r="O443" s="106" t="s">
        <v>2163</v>
      </c>
      <c r="P443" s="103">
        <f t="shared" si="10"/>
        <v>424</v>
      </c>
      <c r="Q443" s="103" t="s">
        <v>1898</v>
      </c>
      <c r="R44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485-1542</v>
      </c>
      <c r="S443" s="195" t="str">
        <f>HYPERLINK("https://www.mouser.com/ProductDetail/" &amp;MouserListTable12[[#This Row],[Mouser SKU]])</f>
        <v>https://www.mouser.com/ProductDetail/485-1542</v>
      </c>
      <c r="T443" s="121">
        <v>0</v>
      </c>
      <c r="U443" s="121">
        <v>1</v>
      </c>
      <c r="V443" s="121">
        <v>1</v>
      </c>
      <c r="W443" s="121">
        <f>MouserListTable12[[#This Row],['#/Unit]]*FilterSpecs!$C$3+MouserListTable12[[#This Row],[Extra]]</f>
        <v>1</v>
      </c>
      <c r="X443" s="121">
        <f>IF(MouserListTable12[[#This Row],[Tag]]=FilterSpecs!$F$7,MouserListTable12[[#This Row],['#/Unit]]*MouserListTable12[[#This Row],[Price (USD)]],0)</f>
        <v>0</v>
      </c>
      <c r="Y443" s="121">
        <f>MouserListTable12[[#This Row],[Tot '#]]*MouserListTable12[[#This Row],[Price (USD)]]</f>
        <v>4.95</v>
      </c>
      <c r="Z443"/>
    </row>
    <row r="444" spans="1:26" s="146" customFormat="1" x14ac:dyDescent="0.3">
      <c r="A444" s="103" t="s">
        <v>897</v>
      </c>
      <c r="B444" s="103" t="s">
        <v>1892</v>
      </c>
      <c r="C444" s="103" t="s">
        <v>1906</v>
      </c>
      <c r="D444" s="106" t="str">
        <f>IF(MouserListTable12[[#This Row],[Vendor]]=FilterSpecs!$A$8,MouserListTable12[[#This Row],[Mouser SKU]], MouserListTable12[[#This Row],[Supplier SKU]])</f>
        <v>485-1544</v>
      </c>
      <c r="E444" s="121">
        <f>MouserListTable12[[#This Row],[Tot '#]]-MouserListTable12[[#This Row],['# Initial]]</f>
        <v>0</v>
      </c>
      <c r="F444" s="121">
        <f>IF(AND(MouserListTable12[[#This Row],[Tag]]&lt;&gt;FilterSpecs!$F$12, MouserListTable12[[#This Row],[Tag]]&lt;&gt;FilterSpecs!$F$9), MouserListTable12[[#This Row],['#/Unit]]*FilterSpecs!$B$3+MouserListTable12[[#This Row],[Extra Initial]],0)</f>
        <v>1</v>
      </c>
      <c r="G444" s="103"/>
      <c r="H444" s="103"/>
      <c r="I444" s="103" t="s">
        <v>2162</v>
      </c>
      <c r="K444" s="157">
        <v>5.95</v>
      </c>
      <c r="L444" s="103" t="s">
        <v>1910</v>
      </c>
      <c r="M444" s="106"/>
      <c r="N444" s="157">
        <f>MouserListTable12[[#This Row],['# Initial]]*MouserListTable12[[#This Row],[Price (USD)]]</f>
        <v>5.95</v>
      </c>
      <c r="O444" s="106" t="s">
        <v>2161</v>
      </c>
      <c r="P444" s="103">
        <f t="shared" si="10"/>
        <v>425</v>
      </c>
      <c r="Q444" s="103" t="s">
        <v>1898</v>
      </c>
      <c r="R44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485-1544</v>
      </c>
      <c r="S444" s="195" t="str">
        <f>HYPERLINK("https://www.mouser.com/ProductDetail/" &amp;MouserListTable12[[#This Row],[Mouser SKU]])</f>
        <v>https://www.mouser.com/ProductDetail/485-1544</v>
      </c>
      <c r="T444" s="121">
        <v>0</v>
      </c>
      <c r="U444" s="121">
        <v>1</v>
      </c>
      <c r="V444" s="121">
        <v>1</v>
      </c>
      <c r="W444" s="121">
        <f>MouserListTable12[[#This Row],['#/Unit]]*FilterSpecs!$C$3+MouserListTable12[[#This Row],[Extra]]</f>
        <v>1</v>
      </c>
      <c r="X444" s="121">
        <f>IF(MouserListTable12[[#This Row],[Tag]]=FilterSpecs!$F$7,MouserListTable12[[#This Row],['#/Unit]]*MouserListTable12[[#This Row],[Price (USD)]],0)</f>
        <v>0</v>
      </c>
      <c r="Y444" s="121">
        <f>MouserListTable12[[#This Row],[Tot '#]]*MouserListTable12[[#This Row],[Price (USD)]]</f>
        <v>5.95</v>
      </c>
      <c r="Z444"/>
    </row>
    <row r="445" spans="1:26" s="146" customFormat="1" hidden="1" x14ac:dyDescent="0.3">
      <c r="A445" s="103" t="s">
        <v>897</v>
      </c>
      <c r="B445" s="103" t="s">
        <v>1892</v>
      </c>
      <c r="C445" s="103" t="s">
        <v>1906</v>
      </c>
      <c r="D445" s="106" t="str">
        <f>IF(MouserListTable12[[#This Row],[Vendor]]=FilterSpecs!$A$8,MouserListTable12[[#This Row],[Mouser SKU]], MouserListTable12[[#This Row],[Supplier SKU]])</f>
        <v>485-2823</v>
      </c>
      <c r="E445" s="121">
        <f>MouserListTable12[[#This Row],[Tot '#]]-MouserListTable12[[#This Row],['# Initial]]</f>
        <v>0</v>
      </c>
      <c r="F445" s="121">
        <f>IF(AND(MouserListTable12[[#This Row],[Tag]]&lt;&gt;FilterSpecs!$F$12, MouserListTable12[[#This Row],[Tag]]&lt;&gt;FilterSpecs!$F$9), MouserListTable12[[#This Row],['#/Unit]]*FilterSpecs!$B$3+MouserListTable12[[#This Row],[Extra Initial]],0)</f>
        <v>0</v>
      </c>
      <c r="G445" s="103"/>
      <c r="H445" s="103"/>
      <c r="I445" s="126" t="s">
        <v>2158</v>
      </c>
      <c r="K445" s="158">
        <v>1.5</v>
      </c>
      <c r="L445" s="126" t="s">
        <v>1910</v>
      </c>
      <c r="N445" s="157">
        <f>MouserListTable12[[#This Row],['# Initial]]*MouserListTable12[[#This Row],[Price (USD)]]</f>
        <v>0</v>
      </c>
      <c r="O445" s="106" t="s">
        <v>2157</v>
      </c>
      <c r="P445" s="103">
        <f t="shared" si="10"/>
        <v>426</v>
      </c>
      <c r="Q445" s="103" t="s">
        <v>1898</v>
      </c>
      <c r="R44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485-2823</v>
      </c>
      <c r="S445" s="195" t="str">
        <f>HYPERLINK("https://www.mouser.com/ProductDetail/" &amp;MouserListTable12[[#This Row],[Mouser SKU]])</f>
        <v>https://www.mouser.com/ProductDetail/485-2823</v>
      </c>
      <c r="T445" s="121">
        <v>0</v>
      </c>
      <c r="U445" s="121">
        <v>0</v>
      </c>
      <c r="V445" s="121">
        <v>0</v>
      </c>
      <c r="W445" s="121">
        <f>MouserListTable12[[#This Row],['#/Unit]]*FilterSpecs!$C$3+MouserListTable12[[#This Row],[Extra]]</f>
        <v>0</v>
      </c>
      <c r="X445" s="121">
        <f>IF(MouserListTable12[[#This Row],[Tag]]=FilterSpecs!$F$7,MouserListTable12[[#This Row],['#/Unit]]*MouserListTable12[[#This Row],[Price (USD)]],0)</f>
        <v>0</v>
      </c>
      <c r="Y445" s="121">
        <f>MouserListTable12[[#This Row],[Tot '#]]*MouserListTable12[[#This Row],[Price (USD)]]</f>
        <v>0</v>
      </c>
      <c r="Z445"/>
    </row>
    <row r="446" spans="1:26" s="146" customFormat="1" x14ac:dyDescent="0.3">
      <c r="A446" s="103" t="s">
        <v>897</v>
      </c>
      <c r="B446" s="103" t="s">
        <v>1892</v>
      </c>
      <c r="C446" s="103" t="s">
        <v>1906</v>
      </c>
      <c r="D446" s="106" t="str">
        <f>IF(MouserListTable12[[#This Row],[Vendor]]=FilterSpecs!$A$8,MouserListTable12[[#This Row],[Mouser SKU]], MouserListTable12[[#This Row],[Supplier SKU]])</f>
        <v>485-1543</v>
      </c>
      <c r="E446" s="121">
        <f>MouserListTable12[[#This Row],[Tot '#]]-MouserListTable12[[#This Row],['# Initial]]</f>
        <v>0</v>
      </c>
      <c r="F446" s="121">
        <f>IF(AND(MouserListTable12[[#This Row],[Tag]]&lt;&gt;FilterSpecs!$F$12, MouserListTable12[[#This Row],[Tag]]&lt;&gt;FilterSpecs!$F$9), MouserListTable12[[#This Row],['#/Unit]]*FilterSpecs!$B$3+MouserListTable12[[#This Row],[Extra Initial]],0)</f>
        <v>1</v>
      </c>
      <c r="G446" s="103"/>
      <c r="H446" s="103"/>
      <c r="I446" s="103" t="s">
        <v>2160</v>
      </c>
      <c r="K446" s="157">
        <v>7.95</v>
      </c>
      <c r="L446" s="103" t="s">
        <v>1910</v>
      </c>
      <c r="M446" s="106"/>
      <c r="N446" s="157">
        <f>MouserListTable12[[#This Row],['# Initial]]*MouserListTable12[[#This Row],[Price (USD)]]</f>
        <v>7.95</v>
      </c>
      <c r="O446" s="106" t="s">
        <v>2159</v>
      </c>
      <c r="P446" s="103">
        <f t="shared" si="10"/>
        <v>427</v>
      </c>
      <c r="Q446" s="103" t="s">
        <v>1898</v>
      </c>
      <c r="R44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485-1543</v>
      </c>
      <c r="S446" s="195" t="str">
        <f>HYPERLINK("https://www.mouser.com/ProductDetail/" &amp;MouserListTable12[[#This Row],[Mouser SKU]])</f>
        <v>https://www.mouser.com/ProductDetail/485-1543</v>
      </c>
      <c r="T446" s="121">
        <v>0</v>
      </c>
      <c r="U446" s="121">
        <v>1</v>
      </c>
      <c r="V446" s="121">
        <v>1</v>
      </c>
      <c r="W446" s="121">
        <f>MouserListTable12[[#This Row],['#/Unit]]*FilterSpecs!$C$3+MouserListTable12[[#This Row],[Extra]]</f>
        <v>1</v>
      </c>
      <c r="X446" s="121">
        <f>IF(MouserListTable12[[#This Row],[Tag]]=FilterSpecs!$F$7,MouserListTable12[[#This Row],['#/Unit]]*MouserListTable12[[#This Row],[Price (USD)]],0)</f>
        <v>0</v>
      </c>
      <c r="Y446" s="121">
        <f>MouserListTable12[[#This Row],[Tot '#]]*MouserListTable12[[#This Row],[Price (USD)]]</f>
        <v>7.95</v>
      </c>
      <c r="Z446"/>
    </row>
    <row r="447" spans="1:26" s="146" customFormat="1" hidden="1" x14ac:dyDescent="0.3">
      <c r="A447" s="103" t="s">
        <v>897</v>
      </c>
      <c r="B447" s="103" t="s">
        <v>1892</v>
      </c>
      <c r="C447" s="103" t="s">
        <v>1906</v>
      </c>
      <c r="D447" s="106" t="str">
        <f>IF(MouserListTable12[[#This Row],[Vendor]]=FilterSpecs!$A$8,MouserListTable12[[#This Row],[Mouser SKU]], MouserListTable12[[#This Row],[Supplier SKU]])</f>
        <v>485-3342</v>
      </c>
      <c r="E447" s="121">
        <f>MouserListTable12[[#This Row],[Tot '#]]-MouserListTable12[[#This Row],['# Initial]]</f>
        <v>0</v>
      </c>
      <c r="F447" s="121">
        <f>IF(AND(MouserListTable12[[#This Row],[Tag]]&lt;&gt;FilterSpecs!$F$12, MouserListTable12[[#This Row],[Tag]]&lt;&gt;FilterSpecs!$F$9), MouserListTable12[[#This Row],['#/Unit]]*FilterSpecs!$B$3+MouserListTable12[[#This Row],[Extra Initial]],0)</f>
        <v>0</v>
      </c>
      <c r="G447" s="103"/>
      <c r="H447" s="103"/>
      <c r="I447" s="126" t="s">
        <v>2170</v>
      </c>
      <c r="K447" s="158">
        <v>0</v>
      </c>
      <c r="L447" s="126" t="s">
        <v>1910</v>
      </c>
      <c r="N447" s="157">
        <f>MouserListTable12[[#This Row],['# Initial]]*MouserListTable12[[#This Row],[Price (USD)]]</f>
        <v>0</v>
      </c>
      <c r="O447" s="106" t="s">
        <v>2169</v>
      </c>
      <c r="P447" s="103">
        <f t="shared" si="10"/>
        <v>428</v>
      </c>
      <c r="Q447" s="103" t="s">
        <v>1898</v>
      </c>
      <c r="R44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485-3342</v>
      </c>
      <c r="S447" s="195" t="str">
        <f>HYPERLINK("https://www.mouser.com/ProductDetail/" &amp;MouserListTable12[[#This Row],[Mouser SKU]])</f>
        <v>https://www.mouser.com/ProductDetail/485-3342</v>
      </c>
      <c r="T447" s="121">
        <v>0</v>
      </c>
      <c r="U447" s="121">
        <v>0</v>
      </c>
      <c r="V447" s="121">
        <v>0</v>
      </c>
      <c r="W447" s="121">
        <f>MouserListTable12[[#This Row],['#/Unit]]*FilterSpecs!$C$3+MouserListTable12[[#This Row],[Extra]]</f>
        <v>0</v>
      </c>
      <c r="X447" s="121">
        <f>IF(MouserListTable12[[#This Row],[Tag]]=FilterSpecs!$F$7,MouserListTable12[[#This Row],['#/Unit]]*MouserListTable12[[#This Row],[Price (USD)]],0)</f>
        <v>0</v>
      </c>
      <c r="Y447" s="121">
        <f>MouserListTable12[[#This Row],[Tot '#]]*MouserListTable12[[#This Row],[Price (USD)]]</f>
        <v>0</v>
      </c>
      <c r="Z447"/>
    </row>
    <row r="448" spans="1:26" s="146" customFormat="1" hidden="1" x14ac:dyDescent="0.3">
      <c r="A448" s="126" t="s">
        <v>897</v>
      </c>
      <c r="B448" s="126" t="s">
        <v>1892</v>
      </c>
      <c r="C448" s="103" t="s">
        <v>1906</v>
      </c>
      <c r="D448" s="106" t="str">
        <f>IF(MouserListTable12[[#This Row],[Vendor]]=FilterSpecs!$A$8,MouserListTable12[[#This Row],[Mouser SKU]], MouserListTable12[[#This Row],[Supplier SKU]])</f>
        <v>474-PRT-13010</v>
      </c>
      <c r="E448" s="121">
        <f>MouserListTable12[[#This Row],[Tot '#]]-MouserListTable12[[#This Row],['# Initial]]</f>
        <v>0</v>
      </c>
      <c r="F448" s="121">
        <f>IF(AND(MouserListTable12[[#This Row],[Tag]]&lt;&gt;FilterSpecs!$F$12, MouserListTable12[[#This Row],[Tag]]&lt;&gt;FilterSpecs!$F$9), MouserListTable12[[#This Row],['#/Unit]]*FilterSpecs!$B$3+MouserListTable12[[#This Row],[Extra Initial]],0)</f>
        <v>0</v>
      </c>
      <c r="G448" s="103" t="s">
        <v>768</v>
      </c>
      <c r="H448" s="103" t="s">
        <v>769</v>
      </c>
      <c r="I448" s="103" t="s">
        <v>770</v>
      </c>
      <c r="J448" s="103">
        <v>1</v>
      </c>
      <c r="K448" s="157">
        <v>0.5</v>
      </c>
      <c r="L448" s="103" t="s">
        <v>1910</v>
      </c>
      <c r="M448" s="103"/>
      <c r="N448" s="157">
        <f>MouserListTable12[[#This Row],['# Initial]]*MouserListTable12[[#This Row],[Price (USD)]]</f>
        <v>0</v>
      </c>
      <c r="O448" s="106" t="s">
        <v>767</v>
      </c>
      <c r="P448" s="103">
        <f t="shared" si="10"/>
        <v>429</v>
      </c>
      <c r="Q448" s="103" t="s">
        <v>8</v>
      </c>
      <c r="R44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474-PRT-13010</v>
      </c>
      <c r="S448" s="195" t="str">
        <f>HYPERLINK("https://www.mouser.com/ProductDetail/" &amp;MouserListTable12[[#This Row],[Mouser SKU]])</f>
        <v>https://www.mouser.com/ProductDetail/474-PRT-13010</v>
      </c>
      <c r="T448" s="121">
        <v>0</v>
      </c>
      <c r="U448" s="121">
        <v>0</v>
      </c>
      <c r="V448" s="121">
        <v>0</v>
      </c>
      <c r="W448" s="121">
        <f>MouserListTable12[[#This Row],['#/Unit]]*FilterSpecs!$C$3+MouserListTable12[[#This Row],[Extra]]</f>
        <v>0</v>
      </c>
      <c r="X448" s="121">
        <f>IF(MouserListTable12[[#This Row],[Tag]]=FilterSpecs!$F$7,MouserListTable12[[#This Row],['#/Unit]]*MouserListTable12[[#This Row],[Price (USD)]],0)</f>
        <v>0</v>
      </c>
      <c r="Y448" s="121">
        <f>MouserListTable12[[#This Row],[Tot '#]]*MouserListTable12[[#This Row],[Price (USD)]]</f>
        <v>0</v>
      </c>
      <c r="Z448"/>
    </row>
    <row r="449" spans="1:26" s="146" customFormat="1" x14ac:dyDescent="0.3">
      <c r="A449" s="103" t="s">
        <v>897</v>
      </c>
      <c r="B449" s="103" t="s">
        <v>1892</v>
      </c>
      <c r="C449" s="103" t="s">
        <v>1906</v>
      </c>
      <c r="D449" s="106" t="str">
        <f>IF(MouserListTable12[[#This Row],[Vendor]]=FilterSpecs!$A$8,MouserListTable12[[#This Row],[Mouser SKU]], MouserListTable12[[#This Row],[Supplier SKU]])</f>
        <v>474-PRT-10877</v>
      </c>
      <c r="E449" s="121">
        <f>MouserListTable12[[#This Row],[Tot '#]]-MouserListTable12[[#This Row],['# Initial]]</f>
        <v>5</v>
      </c>
      <c r="F449" s="121">
        <f>IF(AND(MouserListTable12[[#This Row],[Tag]]&lt;&gt;FilterSpecs!$F$12, MouserListTable12[[#This Row],[Tag]]&lt;&gt;FilterSpecs!$F$9), MouserListTable12[[#This Row],['#/Unit]]*FilterSpecs!$B$3+MouserListTable12[[#This Row],[Extra Initial]],0)</f>
        <v>5</v>
      </c>
      <c r="G449" s="103" t="s">
        <v>1536</v>
      </c>
      <c r="H449" s="103" t="s">
        <v>1537</v>
      </c>
      <c r="I449" s="103" t="s">
        <v>1538</v>
      </c>
      <c r="J449" s="103">
        <v>1</v>
      </c>
      <c r="K449" s="157">
        <v>1.5</v>
      </c>
      <c r="L449" s="103" t="s">
        <v>1911</v>
      </c>
      <c r="M449" s="103"/>
      <c r="N449" s="157">
        <f>MouserListTable12[[#This Row],['# Initial]]*MouserListTable12[[#This Row],[Price (USD)]]</f>
        <v>7.5</v>
      </c>
      <c r="O449" s="106" t="s">
        <v>1535</v>
      </c>
      <c r="P449" s="103">
        <f t="shared" si="10"/>
        <v>430</v>
      </c>
      <c r="Q449" s="103" t="s">
        <v>8</v>
      </c>
      <c r="R44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474-PRT-10877</v>
      </c>
      <c r="S449" s="195" t="str">
        <f>HYPERLINK("https://www.mouser.com/ProductDetail/" &amp;MouserListTable12[[#This Row],[Mouser SKU]])</f>
        <v>https://www.mouser.com/ProductDetail/474-PRT-10877</v>
      </c>
      <c r="T449" s="121">
        <v>1</v>
      </c>
      <c r="U449" s="121">
        <v>5</v>
      </c>
      <c r="V449" s="121">
        <v>0</v>
      </c>
      <c r="W449" s="121">
        <f>MouserListTable12[[#This Row],['#/Unit]]*FilterSpecs!$C$3+MouserListTable12[[#This Row],[Extra]]</f>
        <v>10</v>
      </c>
      <c r="X449" s="121">
        <f>IF(MouserListTable12[[#This Row],[Tag]]=FilterSpecs!$F$7,MouserListTable12[[#This Row],['#/Unit]]*MouserListTable12[[#This Row],[Price (USD)]],0)</f>
        <v>1.5</v>
      </c>
      <c r="Y449" s="121">
        <f>MouserListTable12[[#This Row],[Tot '#]]*MouserListTable12[[#This Row],[Price (USD)]]</f>
        <v>15</v>
      </c>
      <c r="Z449"/>
    </row>
    <row r="450" spans="1:26" s="146" customFormat="1" x14ac:dyDescent="0.3">
      <c r="A450" s="103" t="s">
        <v>897</v>
      </c>
      <c r="B450" s="103" t="s">
        <v>1892</v>
      </c>
      <c r="C450" s="103" t="s">
        <v>1906</v>
      </c>
      <c r="D450" s="106" t="str">
        <f>IF(MouserListTable12[[#This Row],[Vendor]]=FilterSpecs!$A$8,MouserListTable12[[#This Row],[Mouser SKU]], MouserListTable12[[#This Row],[Supplier SKU]])</f>
        <v>474-PRT-08506</v>
      </c>
      <c r="E450" s="121">
        <f>MouserListTable12[[#This Row],[Tot '#]]-MouserListTable12[[#This Row],['# Initial]]</f>
        <v>5</v>
      </c>
      <c r="F450" s="121">
        <f>IF(AND(MouserListTable12[[#This Row],[Tag]]&lt;&gt;FilterSpecs!$F$12, MouserListTable12[[#This Row],[Tag]]&lt;&gt;FilterSpecs!$F$9), MouserListTable12[[#This Row],['#/Unit]]*FilterSpecs!$B$3+MouserListTable12[[#This Row],[Extra Initial]],0)</f>
        <v>5</v>
      </c>
      <c r="G450" s="103" t="s">
        <v>1540</v>
      </c>
      <c r="H450" s="103" t="s">
        <v>1541</v>
      </c>
      <c r="I450" s="103" t="s">
        <v>1542</v>
      </c>
      <c r="J450" s="103">
        <v>1</v>
      </c>
      <c r="K450" s="157">
        <v>1.5</v>
      </c>
      <c r="L450" s="103" t="s">
        <v>1911</v>
      </c>
      <c r="M450" s="103"/>
      <c r="N450" s="157">
        <f>MouserListTable12[[#This Row],['# Initial]]*MouserListTable12[[#This Row],[Price (USD)]]</f>
        <v>7.5</v>
      </c>
      <c r="O450" s="106" t="s">
        <v>1539</v>
      </c>
      <c r="P450" s="103">
        <f t="shared" si="10"/>
        <v>431</v>
      </c>
      <c r="Q450" s="103" t="s">
        <v>8</v>
      </c>
      <c r="R45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474-PRT-08506</v>
      </c>
      <c r="S450" s="195" t="str">
        <f>HYPERLINK("https://www.mouser.com/ProductDetail/" &amp;MouserListTable12[[#This Row],[Mouser SKU]])</f>
        <v>https://www.mouser.com/ProductDetail/474-PRT-08506</v>
      </c>
      <c r="T450" s="121">
        <v>1</v>
      </c>
      <c r="U450" s="121">
        <v>5</v>
      </c>
      <c r="V450" s="121">
        <v>0</v>
      </c>
      <c r="W450" s="121">
        <f>MouserListTable12[[#This Row],['#/Unit]]*FilterSpecs!$C$3+MouserListTable12[[#This Row],[Extra]]</f>
        <v>10</v>
      </c>
      <c r="X450" s="121">
        <f>IF(MouserListTable12[[#This Row],[Tag]]=FilterSpecs!$F$7,MouserListTable12[[#This Row],['#/Unit]]*MouserListTable12[[#This Row],[Price (USD)]],0)</f>
        <v>1.5</v>
      </c>
      <c r="Y450" s="121">
        <f>MouserListTable12[[#This Row],[Tot '#]]*MouserListTable12[[#This Row],[Price (USD)]]</f>
        <v>15</v>
      </c>
      <c r="Z450"/>
    </row>
    <row r="451" spans="1:26" s="146" customFormat="1" hidden="1" x14ac:dyDescent="0.3">
      <c r="A451" s="128" t="s">
        <v>897</v>
      </c>
      <c r="B451" s="128" t="s">
        <v>1892</v>
      </c>
      <c r="C451" s="103" t="s">
        <v>1906</v>
      </c>
      <c r="D451" s="106" t="str">
        <f>IF(MouserListTable12[[#This Row],[Vendor]]=FilterSpecs!$A$8,MouserListTable12[[#This Row],[Mouser SKU]], MouserListTable12[[#This Row],[Supplier SKU]])</f>
        <v>485-1465</v>
      </c>
      <c r="E451" s="121">
        <f>MouserListTable12[[#This Row],[Tot '#]]-MouserListTable12[[#This Row],['# Initial]]</f>
        <v>0</v>
      </c>
      <c r="F451" s="121">
        <f>IF(AND(MouserListTable12[[#This Row],[Tag]]&lt;&gt;FilterSpecs!$F$12, MouserListTable12[[#This Row],[Tag]]&lt;&gt;FilterSpecs!$F$9), MouserListTable12[[#This Row],['#/Unit]]*FilterSpecs!$B$3+MouserListTable12[[#This Row],[Extra Initial]],0)</f>
        <v>0</v>
      </c>
      <c r="I451" s="128" t="s">
        <v>2480</v>
      </c>
      <c r="J451" s="153">
        <v>116</v>
      </c>
      <c r="K451" s="159">
        <v>0.95</v>
      </c>
      <c r="L451" s="126" t="s">
        <v>1910</v>
      </c>
      <c r="N451" s="157">
        <f>MouserListTable12[[#This Row],['# Initial]]*MouserListTable12[[#This Row],[Price (USD)]]</f>
        <v>0</v>
      </c>
      <c r="O451" s="153" t="s">
        <v>2481</v>
      </c>
      <c r="P451" s="103">
        <f t="shared" si="10"/>
        <v>432</v>
      </c>
      <c r="Q451" s="103" t="s">
        <v>1898</v>
      </c>
      <c r="R45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485-1465</v>
      </c>
      <c r="S451" s="195" t="str">
        <f>HYPERLINK("https://www.mouser.com/ProductDetail/" &amp;MouserListTable12[[#This Row],[Mouser SKU]])</f>
        <v>https://www.mouser.com/ProductDetail/485-1465</v>
      </c>
      <c r="T451" s="121">
        <v>0</v>
      </c>
      <c r="U451" s="121">
        <v>0</v>
      </c>
      <c r="V451" s="121">
        <v>0</v>
      </c>
      <c r="W451" s="121">
        <f>MouserListTable12[[#This Row],['#/Unit]]*FilterSpecs!$C$3+MouserListTable12[[#This Row],[Extra]]</f>
        <v>0</v>
      </c>
      <c r="X451" s="121">
        <f>IF(MouserListTable12[[#This Row],[Tag]]=FilterSpecs!$F$7,MouserListTable12[[#This Row],['#/Unit]]*MouserListTable12[[#This Row],[Price (USD)]],0)</f>
        <v>0</v>
      </c>
      <c r="Y451" s="121">
        <f>MouserListTable12[[#This Row],[Tot '#]]*MouserListTable12[[#This Row],[Price (USD)]]</f>
        <v>0</v>
      </c>
      <c r="Z451"/>
    </row>
    <row r="452" spans="1:26" s="146" customFormat="1" hidden="1" x14ac:dyDescent="0.3">
      <c r="A452" s="126" t="s">
        <v>897</v>
      </c>
      <c r="B452" s="126" t="s">
        <v>1892</v>
      </c>
      <c r="C452" s="103" t="s">
        <v>1906</v>
      </c>
      <c r="D452" s="106" t="str">
        <f>IF(MouserListTable12[[#This Row],[Vendor]]=FilterSpecs!$A$8,MouserListTable12[[#This Row],[Mouser SKU]], MouserListTable12[[#This Row],[Supplier SKU]])</f>
        <v>474-PRT-08272</v>
      </c>
      <c r="E452" s="121">
        <f>MouserListTable12[[#This Row],[Tot '#]]-MouserListTable12[[#This Row],['# Initial]]</f>
        <v>0</v>
      </c>
      <c r="F452" s="121">
        <f>IF(AND(MouserListTable12[[#This Row],[Tag]]&lt;&gt;FilterSpecs!$F$12, MouserListTable12[[#This Row],[Tag]]&lt;&gt;FilterSpecs!$F$9), MouserListTable12[[#This Row],['#/Unit]]*FilterSpecs!$B$3+MouserListTable12[[#This Row],[Extra Initial]],0)</f>
        <v>0</v>
      </c>
      <c r="G452" s="103" t="s">
        <v>780</v>
      </c>
      <c r="H452" s="103" t="s">
        <v>781</v>
      </c>
      <c r="I452" s="103" t="s">
        <v>782</v>
      </c>
      <c r="J452" s="103">
        <v>1</v>
      </c>
      <c r="K452" s="157">
        <v>1</v>
      </c>
      <c r="L452" s="103" t="s">
        <v>1910</v>
      </c>
      <c r="M452" s="103"/>
      <c r="N452" s="157">
        <f>MouserListTable12[[#This Row],['# Initial]]*MouserListTable12[[#This Row],[Price (USD)]]</f>
        <v>0</v>
      </c>
      <c r="O452" s="106" t="s">
        <v>779</v>
      </c>
      <c r="P452" s="103">
        <f t="shared" si="10"/>
        <v>433</v>
      </c>
      <c r="Q452" s="103" t="s">
        <v>8</v>
      </c>
      <c r="R45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474-PRT-08272</v>
      </c>
      <c r="S452" s="195" t="str">
        <f>HYPERLINK("https://www.mouser.com/ProductDetail/" &amp;MouserListTable12[[#This Row],[Mouser SKU]])</f>
        <v>https://www.mouser.com/ProductDetail/474-PRT-08272</v>
      </c>
      <c r="T452" s="121">
        <v>0</v>
      </c>
      <c r="U452" s="121">
        <v>0</v>
      </c>
      <c r="V452" s="121">
        <v>0</v>
      </c>
      <c r="W452" s="121">
        <f>MouserListTable12[[#This Row],['#/Unit]]*FilterSpecs!$C$3+MouserListTable12[[#This Row],[Extra]]</f>
        <v>0</v>
      </c>
      <c r="X452" s="121">
        <f>IF(MouserListTable12[[#This Row],[Tag]]=FilterSpecs!$F$7,MouserListTable12[[#This Row],['#/Unit]]*MouserListTable12[[#This Row],[Price (USD)]],0)</f>
        <v>0</v>
      </c>
      <c r="Y452" s="121">
        <f>MouserListTable12[[#This Row],[Tot '#]]*MouserListTable12[[#This Row],[Price (USD)]]</f>
        <v>0</v>
      </c>
      <c r="Z452"/>
    </row>
    <row r="453" spans="1:26" s="146" customFormat="1" x14ac:dyDescent="0.3">
      <c r="A453" s="103" t="s">
        <v>897</v>
      </c>
      <c r="B453" s="103" t="s">
        <v>1892</v>
      </c>
      <c r="C453" s="103" t="s">
        <v>1906</v>
      </c>
      <c r="D453" s="106" t="str">
        <f>IF(MouserListTable12[[#This Row],[Vendor]]=FilterSpecs!$A$8,MouserListTable12[[#This Row],[Mouser SKU]], MouserListTable12[[#This Row],[Supplier SKU]])</f>
        <v>485-366</v>
      </c>
      <c r="E453" s="121">
        <f>MouserListTable12[[#This Row],[Tot '#]]-MouserListTable12[[#This Row],['# Initial]]</f>
        <v>0</v>
      </c>
      <c r="F453" s="121">
        <f>IF(AND(MouserListTable12[[#This Row],[Tag]]&lt;&gt;FilterSpecs!$F$12, MouserListTable12[[#This Row],[Tag]]&lt;&gt;FilterSpecs!$F$9), MouserListTable12[[#This Row],['#/Unit]]*FilterSpecs!$B$3+MouserListTable12[[#This Row],[Extra Initial]],0)</f>
        <v>10</v>
      </c>
      <c r="G453" s="103"/>
      <c r="H453" s="103"/>
      <c r="I453" s="103" t="s">
        <v>2166</v>
      </c>
      <c r="K453" s="157">
        <v>0.95</v>
      </c>
      <c r="L453" s="103" t="s">
        <v>1910</v>
      </c>
      <c r="M453" s="106"/>
      <c r="N453" s="157">
        <f>MouserListTable12[[#This Row],['# Initial]]*MouserListTable12[[#This Row],[Price (USD)]]</f>
        <v>9.5</v>
      </c>
      <c r="O453" s="106" t="s">
        <v>2165</v>
      </c>
      <c r="P453" s="103">
        <f t="shared" si="10"/>
        <v>434</v>
      </c>
      <c r="Q453" s="103" t="s">
        <v>1898</v>
      </c>
      <c r="R45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485-366</v>
      </c>
      <c r="S453" s="195" t="str">
        <f>HYPERLINK("https://www.mouser.com/ProductDetail/" &amp;MouserListTable12[[#This Row],[Mouser SKU]])</f>
        <v>https://www.mouser.com/ProductDetail/485-366</v>
      </c>
      <c r="T453" s="121">
        <v>2</v>
      </c>
      <c r="U453" s="121">
        <v>0</v>
      </c>
      <c r="V453" s="121">
        <v>0</v>
      </c>
      <c r="W453" s="121">
        <f>MouserListTable12[[#This Row],['#/Unit]]*FilterSpecs!$C$3+MouserListTable12[[#This Row],[Extra]]</f>
        <v>10</v>
      </c>
      <c r="X453" s="121">
        <f>IF(MouserListTable12[[#This Row],[Tag]]=FilterSpecs!$F$7,MouserListTable12[[#This Row],['#/Unit]]*MouserListTable12[[#This Row],[Price (USD)]],0)</f>
        <v>0</v>
      </c>
      <c r="Y453" s="121">
        <f>MouserListTable12[[#This Row],[Tot '#]]*MouserListTable12[[#This Row],[Price (USD)]]</f>
        <v>9.5</v>
      </c>
      <c r="Z453"/>
    </row>
    <row r="454" spans="1:26" s="146" customFormat="1" x14ac:dyDescent="0.3">
      <c r="A454" s="103" t="s">
        <v>897</v>
      </c>
      <c r="B454" s="103" t="s">
        <v>1892</v>
      </c>
      <c r="C454" s="103" t="s">
        <v>1906</v>
      </c>
      <c r="D454" s="106" t="str">
        <f>IF(MouserListTable12[[#This Row],[Vendor]]=FilterSpecs!$A$8,MouserListTable12[[#This Row],[Mouser SKU]], MouserListTable12[[#This Row],[Supplier SKU]])</f>
        <v>485-2672</v>
      </c>
      <c r="E454" s="121">
        <f>MouserListTable12[[#This Row],[Tot '#]]-MouserListTable12[[#This Row],['# Initial]]</f>
        <v>0</v>
      </c>
      <c r="F454" s="121">
        <f>IF(AND(MouserListTable12[[#This Row],[Tag]]&lt;&gt;FilterSpecs!$F$12, MouserListTable12[[#This Row],[Tag]]&lt;&gt;FilterSpecs!$F$9), MouserListTable12[[#This Row],['#/Unit]]*FilterSpecs!$B$3+MouserListTable12[[#This Row],[Extra Initial]],0)</f>
        <v>1</v>
      </c>
      <c r="G454" s="103"/>
      <c r="H454" s="103"/>
      <c r="I454" s="103" t="s">
        <v>2168</v>
      </c>
      <c r="K454" s="157">
        <v>3.95</v>
      </c>
      <c r="L454" s="103" t="s">
        <v>1910</v>
      </c>
      <c r="M454" s="106"/>
      <c r="N454" s="157">
        <f>MouserListTable12[[#This Row],['# Initial]]*MouserListTable12[[#This Row],[Price (USD)]]</f>
        <v>3.95</v>
      </c>
      <c r="O454" s="106" t="s">
        <v>2167</v>
      </c>
      <c r="P454" s="103">
        <f t="shared" si="10"/>
        <v>435</v>
      </c>
      <c r="Q454" s="103" t="s">
        <v>1898</v>
      </c>
      <c r="R45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485-2672</v>
      </c>
      <c r="S454" s="195" t="str">
        <f>HYPERLINK("https://www.mouser.com/ProductDetail/" &amp;MouserListTable12[[#This Row],[Mouser SKU]])</f>
        <v>https://www.mouser.com/ProductDetail/485-2672</v>
      </c>
      <c r="T454" s="121">
        <v>0</v>
      </c>
      <c r="U454" s="121">
        <v>1</v>
      </c>
      <c r="V454" s="121">
        <v>1</v>
      </c>
      <c r="W454" s="121">
        <f>MouserListTable12[[#This Row],['#/Unit]]*FilterSpecs!$C$3+MouserListTable12[[#This Row],[Extra]]</f>
        <v>1</v>
      </c>
      <c r="X454" s="121">
        <f>IF(MouserListTable12[[#This Row],[Tag]]=FilterSpecs!$F$7,MouserListTable12[[#This Row],['#/Unit]]*MouserListTable12[[#This Row],[Price (USD)]],0)</f>
        <v>0</v>
      </c>
      <c r="Y454" s="121">
        <f>MouserListTable12[[#This Row],[Tot '#]]*MouserListTable12[[#This Row],[Price (USD)]]</f>
        <v>3.95</v>
      </c>
      <c r="Z454"/>
    </row>
    <row r="455" spans="1:26" s="146" customFormat="1" hidden="1" x14ac:dyDescent="0.3">
      <c r="A455" s="103" t="s">
        <v>897</v>
      </c>
      <c r="B455" s="103" t="s">
        <v>1890</v>
      </c>
      <c r="C455" s="103" t="s">
        <v>1906</v>
      </c>
      <c r="D455" s="106" t="str">
        <f>IF(MouserListTable12[[#This Row],[Vendor]]=FilterSpecs!$A$8,MouserListTable12[[#This Row],[Mouser SKU]], MouserListTable12[[#This Row],[Supplier SKU]])</f>
        <v>474-COM-14087</v>
      </c>
      <c r="E455" s="121">
        <f>MouserListTable12[[#This Row],[Tot '#]]-MouserListTable12[[#This Row],['# Initial]]</f>
        <v>15</v>
      </c>
      <c r="F455" s="121">
        <f>IF(AND(MouserListTable12[[#This Row],[Tag]]&lt;&gt;FilterSpecs!$F$12, MouserListTable12[[#This Row],[Tag]]&lt;&gt;FilterSpecs!$F$9), MouserListTable12[[#This Row],['#/Unit]]*FilterSpecs!$B$3+MouserListTable12[[#This Row],[Extra Initial]],0)</f>
        <v>0</v>
      </c>
      <c r="G455" s="103" t="s">
        <v>824</v>
      </c>
      <c r="H455" s="103" t="s">
        <v>825</v>
      </c>
      <c r="I455" s="103" t="s">
        <v>826</v>
      </c>
      <c r="J455" s="103">
        <v>1</v>
      </c>
      <c r="K455" s="157">
        <v>1.95</v>
      </c>
      <c r="L455" s="103" t="s">
        <v>2487</v>
      </c>
      <c r="M455" s="103"/>
      <c r="N455" s="157">
        <f>MouserListTable12[[#This Row],['# Initial]]*MouserListTable12[[#This Row],[Price (USD)]]</f>
        <v>0</v>
      </c>
      <c r="O455" s="106" t="s">
        <v>823</v>
      </c>
      <c r="P455" s="103">
        <f t="shared" si="10"/>
        <v>436</v>
      </c>
      <c r="Q455" s="103" t="s">
        <v>8</v>
      </c>
      <c r="R45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474-COM-14087</v>
      </c>
      <c r="S455" s="195" t="str">
        <f>HYPERLINK("https://www.mouser.com/ProductDetail/" &amp;MouserListTable12[[#This Row],[Mouser SKU]])</f>
        <v>https://www.mouser.com/ProductDetail/474-COM-14087</v>
      </c>
      <c r="T455" s="121">
        <v>3</v>
      </c>
      <c r="U455" s="121">
        <v>0</v>
      </c>
      <c r="V455" s="121">
        <v>0</v>
      </c>
      <c r="W455" s="121">
        <f>MouserListTable12[[#This Row],['#/Unit]]*FilterSpecs!$C$3+MouserListTable12[[#This Row],[Extra]]</f>
        <v>15</v>
      </c>
      <c r="X455" s="121">
        <f>IF(MouserListTable12[[#This Row],[Tag]]=FilterSpecs!$F$7,MouserListTable12[[#This Row],['#/Unit]]*MouserListTable12[[#This Row],[Price (USD)]],0)</f>
        <v>0</v>
      </c>
      <c r="Y455" s="121">
        <f>MouserListTable12[[#This Row],[Tot '#]]*MouserListTable12[[#This Row],[Price (USD)]]</f>
        <v>29.25</v>
      </c>
      <c r="Z455"/>
    </row>
    <row r="456" spans="1:26" s="146" customFormat="1" x14ac:dyDescent="0.3">
      <c r="A456" s="126" t="s">
        <v>897</v>
      </c>
      <c r="B456" s="126" t="s">
        <v>1890</v>
      </c>
      <c r="C456" s="103" t="s">
        <v>1906</v>
      </c>
      <c r="D456" s="106" t="str">
        <f>IF(MouserListTable12[[#This Row],[Vendor]]=FilterSpecs!$A$8,MouserListTable12[[#This Row],[Mouser SKU]], MouserListTable12[[#This Row],[Supplier SKU]])</f>
        <v>474-COM-14085</v>
      </c>
      <c r="E456" s="121">
        <f>MouserListTable12[[#This Row],[Tot '#]]-MouserListTable12[[#This Row],['# Initial]]</f>
        <v>0</v>
      </c>
      <c r="F456" s="121">
        <f>IF(AND(MouserListTable12[[#This Row],[Tag]]&lt;&gt;FilterSpecs!$F$12, MouserListTable12[[#This Row],[Tag]]&lt;&gt;FilterSpecs!$F$9), MouserListTable12[[#This Row],['#/Unit]]*FilterSpecs!$B$3+MouserListTable12[[#This Row],[Extra Initial]],0)</f>
        <v>25</v>
      </c>
      <c r="G456" s="103" t="s">
        <v>820</v>
      </c>
      <c r="H456" s="103" t="s">
        <v>821</v>
      </c>
      <c r="I456" s="103" t="s">
        <v>822</v>
      </c>
      <c r="J456" s="103">
        <v>1</v>
      </c>
      <c r="K456" s="157">
        <v>0.95</v>
      </c>
      <c r="L456" s="103" t="s">
        <v>1910</v>
      </c>
      <c r="M456" s="103"/>
      <c r="N456" s="157">
        <f>MouserListTable12[[#This Row],['# Initial]]*MouserListTable12[[#This Row],[Price (USD)]]</f>
        <v>23.75</v>
      </c>
      <c r="O456" s="106" t="s">
        <v>819</v>
      </c>
      <c r="P456" s="103">
        <f t="shared" si="10"/>
        <v>437</v>
      </c>
      <c r="Q456" s="103" t="s">
        <v>8</v>
      </c>
      <c r="R45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474-COM-14085</v>
      </c>
      <c r="S456" s="195" t="str">
        <f>HYPERLINK("https://www.mouser.com/ProductDetail/" &amp;MouserListTable12[[#This Row],[Mouser SKU]])</f>
        <v>https://www.mouser.com/ProductDetail/474-COM-14085</v>
      </c>
      <c r="T456" s="121">
        <v>5</v>
      </c>
      <c r="U456" s="121">
        <v>0</v>
      </c>
      <c r="V456" s="121">
        <v>0</v>
      </c>
      <c r="W456" s="121">
        <f>MouserListTable12[[#This Row],['#/Unit]]*FilterSpecs!$C$3+MouserListTable12[[#This Row],[Extra]]</f>
        <v>25</v>
      </c>
      <c r="X456" s="121">
        <f>IF(MouserListTable12[[#This Row],[Tag]]=FilterSpecs!$F$7,MouserListTable12[[#This Row],['#/Unit]]*MouserListTable12[[#This Row],[Price (USD)]],0)</f>
        <v>0</v>
      </c>
      <c r="Y456" s="121">
        <f>MouserListTable12[[#This Row],[Tot '#]]*MouserListTable12[[#This Row],[Price (USD)]]</f>
        <v>23.75</v>
      </c>
      <c r="Z456"/>
    </row>
    <row r="457" spans="1:26" s="144" customFormat="1" x14ac:dyDescent="0.3">
      <c r="A457" s="106" t="s">
        <v>897</v>
      </c>
      <c r="B457" s="106" t="s">
        <v>2025</v>
      </c>
      <c r="C457" s="103" t="s">
        <v>1906</v>
      </c>
      <c r="D457" s="106" t="str">
        <f>IF(MouserListTable12[[#This Row],[Vendor]]=FilterSpecs!$A$8,MouserListTable12[[#This Row],[Mouser SKU]], MouserListTable12[[#This Row],[Supplier SKU]])</f>
        <v>485-3145</v>
      </c>
      <c r="E457" s="121">
        <f>MouserListTable12[[#This Row],[Tot '#]]-MouserListTable12[[#This Row],['# Initial]]</f>
        <v>0</v>
      </c>
      <c r="F457" s="121">
        <f>IF(AND(MouserListTable12[[#This Row],[Tag]]&lt;&gt;FilterSpecs!$F$12, MouserListTable12[[#This Row],[Tag]]&lt;&gt;FilterSpecs!$F$9), MouserListTable12[[#This Row],['#/Unit]]*FilterSpecs!$B$3+MouserListTable12[[#This Row],[Extra Initial]],0)</f>
        <v>3</v>
      </c>
      <c r="G457" s="103"/>
      <c r="H457" s="103"/>
      <c r="I457" s="106" t="s">
        <v>2206</v>
      </c>
      <c r="J457" s="146"/>
      <c r="K457" s="157">
        <v>1.95</v>
      </c>
      <c r="L457" s="106" t="s">
        <v>1910</v>
      </c>
      <c r="M457" s="106"/>
      <c r="N457" s="157">
        <f>MouserListTable12[[#This Row],['# Initial]]*MouserListTable12[[#This Row],[Price (USD)]]</f>
        <v>5.85</v>
      </c>
      <c r="O457" s="106" t="s">
        <v>2205</v>
      </c>
      <c r="P457" s="103">
        <f t="shared" si="10"/>
        <v>438</v>
      </c>
      <c r="Q457" s="103" t="s">
        <v>1898</v>
      </c>
      <c r="R45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485-3145</v>
      </c>
      <c r="S457" s="195" t="str">
        <f>HYPERLINK("https://www.mouser.com/ProductDetail/" &amp;MouserListTable12[[#This Row],[Mouser SKU]])</f>
        <v>https://www.mouser.com/ProductDetail/485-3145</v>
      </c>
      <c r="T457" s="121">
        <v>0</v>
      </c>
      <c r="U457" s="121">
        <v>3</v>
      </c>
      <c r="V457" s="121">
        <v>3</v>
      </c>
      <c r="W457" s="121">
        <f>MouserListTable12[[#This Row],['#/Unit]]*FilterSpecs!$C$3+MouserListTable12[[#This Row],[Extra]]</f>
        <v>3</v>
      </c>
      <c r="X457" s="121">
        <f>IF(MouserListTable12[[#This Row],[Tag]]=FilterSpecs!$F$7,MouserListTable12[[#This Row],['#/Unit]]*MouserListTable12[[#This Row],[Price (USD)]],0)</f>
        <v>0</v>
      </c>
      <c r="Y457" s="121">
        <f>MouserListTable12[[#This Row],[Tot '#]]*MouserListTable12[[#This Row],[Price (USD)]]</f>
        <v>5.85</v>
      </c>
      <c r="Z457"/>
    </row>
    <row r="458" spans="1:26" s="144" customFormat="1" x14ac:dyDescent="0.3">
      <c r="A458" s="106" t="s">
        <v>897</v>
      </c>
      <c r="B458" s="106" t="s">
        <v>2025</v>
      </c>
      <c r="C458" s="103" t="s">
        <v>1906</v>
      </c>
      <c r="D458" s="106" t="str">
        <f>IF(MouserListTable12[[#This Row],[Vendor]]=FilterSpecs!$A$8,MouserListTable12[[#This Row],[Mouser SKU]], MouserListTable12[[#This Row],[Supplier SKU]])</f>
        <v>485-3144</v>
      </c>
      <c r="E458" s="121">
        <f>MouserListTable12[[#This Row],[Tot '#]]-MouserListTable12[[#This Row],['# Initial]]</f>
        <v>0</v>
      </c>
      <c r="F458" s="121">
        <f>IF(AND(MouserListTable12[[#This Row],[Tag]]&lt;&gt;FilterSpecs!$F$12, MouserListTable12[[#This Row],[Tag]]&lt;&gt;FilterSpecs!$F$9), MouserListTable12[[#This Row],['#/Unit]]*FilterSpecs!$B$3+MouserListTable12[[#This Row],[Extra Initial]],0)</f>
        <v>1</v>
      </c>
      <c r="G458" s="103"/>
      <c r="H458" s="103"/>
      <c r="I458" s="106" t="s">
        <v>2196</v>
      </c>
      <c r="J458" s="146"/>
      <c r="K458" s="157">
        <v>3.95</v>
      </c>
      <c r="L458" s="106" t="s">
        <v>1910</v>
      </c>
      <c r="M458" s="106"/>
      <c r="N458" s="157">
        <f>MouserListTable12[[#This Row],['# Initial]]*MouserListTable12[[#This Row],[Price (USD)]]</f>
        <v>3.95</v>
      </c>
      <c r="O458" s="106" t="s">
        <v>2195</v>
      </c>
      <c r="P458" s="103">
        <f t="shared" si="10"/>
        <v>439</v>
      </c>
      <c r="Q458" s="103" t="s">
        <v>1898</v>
      </c>
      <c r="R45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485-3144</v>
      </c>
      <c r="S458" s="195" t="str">
        <f>HYPERLINK("https://www.mouser.com/ProductDetail/" &amp;MouserListTable12[[#This Row],[Mouser SKU]])</f>
        <v>https://www.mouser.com/ProductDetail/485-3144</v>
      </c>
      <c r="T458" s="121">
        <v>0</v>
      </c>
      <c r="U458" s="121">
        <v>1</v>
      </c>
      <c r="V458" s="121">
        <v>1</v>
      </c>
      <c r="W458" s="121">
        <f>MouserListTable12[[#This Row],['#/Unit]]*FilterSpecs!$C$3+MouserListTable12[[#This Row],[Extra]]</f>
        <v>1</v>
      </c>
      <c r="X458" s="121">
        <f>IF(MouserListTable12[[#This Row],[Tag]]=FilterSpecs!$F$7,MouserListTable12[[#This Row],['#/Unit]]*MouserListTable12[[#This Row],[Price (USD)]],0)</f>
        <v>0</v>
      </c>
      <c r="Y458" s="121">
        <f>MouserListTable12[[#This Row],[Tot '#]]*MouserListTable12[[#This Row],[Price (USD)]]</f>
        <v>3.95</v>
      </c>
      <c r="Z458"/>
    </row>
    <row r="459" spans="1:26" s="144" customFormat="1" x14ac:dyDescent="0.3">
      <c r="A459" s="106" t="s">
        <v>897</v>
      </c>
      <c r="B459" s="106" t="s">
        <v>2025</v>
      </c>
      <c r="C459" s="103" t="s">
        <v>1906</v>
      </c>
      <c r="D459" s="106" t="str">
        <f>IF(MouserListTable12[[#This Row],[Vendor]]=FilterSpecs!$A$8,MouserListTable12[[#This Row],[Mouser SKU]], MouserListTable12[[#This Row],[Supplier SKU]])</f>
        <v>485-3143</v>
      </c>
      <c r="E459" s="121">
        <f>MouserListTable12[[#This Row],[Tot '#]]-MouserListTable12[[#This Row],['# Initial]]</f>
        <v>0</v>
      </c>
      <c r="F459" s="121">
        <f>IF(AND(MouserListTable12[[#This Row],[Tag]]&lt;&gt;FilterSpecs!$F$12, MouserListTable12[[#This Row],[Tag]]&lt;&gt;FilterSpecs!$F$9), MouserListTable12[[#This Row],['#/Unit]]*FilterSpecs!$B$3+MouserListTable12[[#This Row],[Extra Initial]],0)</f>
        <v>2</v>
      </c>
      <c r="G459" s="103"/>
      <c r="H459" s="103"/>
      <c r="I459" s="106" t="s">
        <v>2204</v>
      </c>
      <c r="J459" s="146"/>
      <c r="K459" s="157">
        <v>1.95</v>
      </c>
      <c r="L459" s="106" t="s">
        <v>1910</v>
      </c>
      <c r="M459" s="106"/>
      <c r="N459" s="157">
        <f>MouserListTable12[[#This Row],['# Initial]]*MouserListTable12[[#This Row],[Price (USD)]]</f>
        <v>3.9</v>
      </c>
      <c r="O459" s="106" t="s">
        <v>2203</v>
      </c>
      <c r="P459" s="103">
        <f t="shared" si="10"/>
        <v>440</v>
      </c>
      <c r="Q459" s="103" t="s">
        <v>1898</v>
      </c>
      <c r="R45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485-3143</v>
      </c>
      <c r="S459" s="195" t="str">
        <f>HYPERLINK("https://www.mouser.com/ProductDetail/" &amp;MouserListTable12[[#This Row],[Mouser SKU]])</f>
        <v>https://www.mouser.com/ProductDetail/485-3143</v>
      </c>
      <c r="T459" s="121">
        <v>0</v>
      </c>
      <c r="U459" s="121">
        <v>2</v>
      </c>
      <c r="V459" s="121">
        <v>2</v>
      </c>
      <c r="W459" s="121">
        <f>MouserListTable12[[#This Row],['#/Unit]]*FilterSpecs!$C$3+MouserListTable12[[#This Row],[Extra]]</f>
        <v>2</v>
      </c>
      <c r="X459" s="121">
        <f>IF(MouserListTable12[[#This Row],[Tag]]=FilterSpecs!$F$7,MouserListTable12[[#This Row],['#/Unit]]*MouserListTable12[[#This Row],[Price (USD)]],0)</f>
        <v>0</v>
      </c>
      <c r="Y459" s="121">
        <f>MouserListTable12[[#This Row],[Tot '#]]*MouserListTable12[[#This Row],[Price (USD)]]</f>
        <v>3.9</v>
      </c>
      <c r="Z459"/>
    </row>
    <row r="460" spans="1:26" s="144" customFormat="1" x14ac:dyDescent="0.3">
      <c r="A460" s="106" t="s">
        <v>897</v>
      </c>
      <c r="B460" s="106" t="s">
        <v>2025</v>
      </c>
      <c r="C460" s="103" t="s">
        <v>1906</v>
      </c>
      <c r="D460" s="106" t="str">
        <f>IF(MouserListTable12[[#This Row],[Vendor]]=FilterSpecs!$A$8,MouserListTable12[[#This Row],[Mouser SKU]], MouserListTable12[[#This Row],[Supplier SKU]])</f>
        <v>485-3146</v>
      </c>
      <c r="E460" s="121">
        <f>MouserListTable12[[#This Row],[Tot '#]]-MouserListTable12[[#This Row],['# Initial]]</f>
        <v>0</v>
      </c>
      <c r="F460" s="121">
        <f>IF(AND(MouserListTable12[[#This Row],[Tag]]&lt;&gt;FilterSpecs!$F$12, MouserListTable12[[#This Row],[Tag]]&lt;&gt;FilterSpecs!$F$9), MouserListTable12[[#This Row],['#/Unit]]*FilterSpecs!$B$3+MouserListTable12[[#This Row],[Extra Initial]],0)</f>
        <v>1</v>
      </c>
      <c r="G460" s="103"/>
      <c r="H460" s="103"/>
      <c r="I460" s="106" t="s">
        <v>2198</v>
      </c>
      <c r="J460" s="146"/>
      <c r="K460" s="157">
        <v>2.95</v>
      </c>
      <c r="L460" s="106" t="s">
        <v>1910</v>
      </c>
      <c r="M460" s="106"/>
      <c r="N460" s="157">
        <f>MouserListTable12[[#This Row],['# Initial]]*MouserListTable12[[#This Row],[Price (USD)]]</f>
        <v>2.95</v>
      </c>
      <c r="O460" s="106" t="s">
        <v>2197</v>
      </c>
      <c r="P460" s="103">
        <f t="shared" si="10"/>
        <v>441</v>
      </c>
      <c r="Q460" s="103" t="s">
        <v>1898</v>
      </c>
      <c r="R46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485-3146</v>
      </c>
      <c r="S460" s="195" t="str">
        <f>HYPERLINK("https://www.mouser.com/ProductDetail/" &amp;MouserListTable12[[#This Row],[Mouser SKU]])</f>
        <v>https://www.mouser.com/ProductDetail/485-3146</v>
      </c>
      <c r="T460" s="121">
        <v>0</v>
      </c>
      <c r="U460" s="121">
        <v>1</v>
      </c>
      <c r="V460" s="121">
        <v>1</v>
      </c>
      <c r="W460" s="121">
        <f>MouserListTable12[[#This Row],['#/Unit]]*FilterSpecs!$C$3+MouserListTable12[[#This Row],[Extra]]</f>
        <v>1</v>
      </c>
      <c r="X460" s="121">
        <f>IF(MouserListTable12[[#This Row],[Tag]]=FilterSpecs!$F$7,MouserListTable12[[#This Row],['#/Unit]]*MouserListTable12[[#This Row],[Price (USD)]],0)</f>
        <v>0</v>
      </c>
      <c r="Y460" s="121">
        <f>MouserListTable12[[#This Row],[Tot '#]]*MouserListTable12[[#This Row],[Price (USD)]]</f>
        <v>2.95</v>
      </c>
      <c r="Z460"/>
    </row>
    <row r="461" spans="1:26" s="144" customFormat="1" x14ac:dyDescent="0.3">
      <c r="A461" s="106" t="s">
        <v>897</v>
      </c>
      <c r="B461" s="106" t="s">
        <v>2025</v>
      </c>
      <c r="C461" s="103" t="s">
        <v>1906</v>
      </c>
      <c r="D461" s="106" t="str">
        <f>IF(MouserListTable12[[#This Row],[Vendor]]=FilterSpecs!$A$8,MouserListTable12[[#This Row],[Mouser SKU]], MouserListTable12[[#This Row],[Supplier SKU]])</f>
        <v>485-3141</v>
      </c>
      <c r="E461" s="121">
        <f>MouserListTable12[[#This Row],[Tot '#]]-MouserListTable12[[#This Row],['# Initial]]</f>
        <v>5</v>
      </c>
      <c r="F461" s="121">
        <f>IF(AND(MouserListTable12[[#This Row],[Tag]]&lt;&gt;FilterSpecs!$F$12, MouserListTable12[[#This Row],[Tag]]&lt;&gt;FilterSpecs!$F$9), MouserListTable12[[#This Row],['#/Unit]]*FilterSpecs!$B$3+MouserListTable12[[#This Row],[Extra Initial]],0)</f>
        <v>5</v>
      </c>
      <c r="G461" s="103"/>
      <c r="H461" s="103"/>
      <c r="I461" s="106" t="s">
        <v>2200</v>
      </c>
      <c r="J461" s="146"/>
      <c r="K461" s="157">
        <v>2.95</v>
      </c>
      <c r="L461" s="106" t="s">
        <v>1911</v>
      </c>
      <c r="M461" s="106"/>
      <c r="N461" s="157">
        <f>MouserListTable12[[#This Row],['# Initial]]*MouserListTable12[[#This Row],[Price (USD)]]</f>
        <v>14.75</v>
      </c>
      <c r="O461" s="106" t="s">
        <v>2199</v>
      </c>
      <c r="P461" s="103">
        <f t="shared" si="10"/>
        <v>442</v>
      </c>
      <c r="Q461" s="103" t="s">
        <v>1898</v>
      </c>
      <c r="R46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485-3141</v>
      </c>
      <c r="S461" s="195" t="str">
        <f>HYPERLINK("https://www.mouser.com/ProductDetail/" &amp;MouserListTable12[[#This Row],[Mouser SKU]])</f>
        <v>https://www.mouser.com/ProductDetail/485-3141</v>
      </c>
      <c r="T461" s="121">
        <v>1</v>
      </c>
      <c r="U461" s="121">
        <v>5</v>
      </c>
      <c r="V461" s="121">
        <v>0</v>
      </c>
      <c r="W461" s="121">
        <f>MouserListTable12[[#This Row],['#/Unit]]*FilterSpecs!$C$3+MouserListTable12[[#This Row],[Extra]]</f>
        <v>10</v>
      </c>
      <c r="X461" s="121">
        <f>IF(MouserListTable12[[#This Row],[Tag]]=FilterSpecs!$F$7,MouserListTable12[[#This Row],['#/Unit]]*MouserListTable12[[#This Row],[Price (USD)]],0)</f>
        <v>2.95</v>
      </c>
      <c r="Y461" s="121">
        <f>MouserListTable12[[#This Row],[Tot '#]]*MouserListTable12[[#This Row],[Price (USD)]]</f>
        <v>29.5</v>
      </c>
      <c r="Z461"/>
    </row>
    <row r="462" spans="1:26" s="144" customFormat="1" x14ac:dyDescent="0.3">
      <c r="A462" s="106" t="s">
        <v>897</v>
      </c>
      <c r="B462" s="106" t="s">
        <v>2025</v>
      </c>
      <c r="C462" s="103" t="s">
        <v>1906</v>
      </c>
      <c r="D462" s="106" t="str">
        <f>IF(MouserListTable12[[#This Row],[Vendor]]=FilterSpecs!$A$8,MouserListTable12[[#This Row],[Mouser SKU]], MouserListTable12[[#This Row],[Supplier SKU]])</f>
        <v>485-3142</v>
      </c>
      <c r="E462" s="121">
        <f>MouserListTable12[[#This Row],[Tot '#]]-MouserListTable12[[#This Row],['# Initial]]</f>
        <v>5</v>
      </c>
      <c r="F462" s="121">
        <f>IF(AND(MouserListTable12[[#This Row],[Tag]]&lt;&gt;FilterSpecs!$F$12, MouserListTable12[[#This Row],[Tag]]&lt;&gt;FilterSpecs!$F$9), MouserListTable12[[#This Row],['#/Unit]]*FilterSpecs!$B$3+MouserListTable12[[#This Row],[Extra Initial]],0)</f>
        <v>5</v>
      </c>
      <c r="G462" s="103"/>
      <c r="H462" s="103"/>
      <c r="I462" s="106" t="s">
        <v>2202</v>
      </c>
      <c r="J462" s="146"/>
      <c r="K462" s="157">
        <v>3.95</v>
      </c>
      <c r="L462" s="106" t="s">
        <v>1911</v>
      </c>
      <c r="M462" s="106"/>
      <c r="N462" s="157">
        <f>MouserListTable12[[#This Row],['# Initial]]*MouserListTable12[[#This Row],[Price (USD)]]</f>
        <v>19.75</v>
      </c>
      <c r="O462" s="106" t="s">
        <v>2201</v>
      </c>
      <c r="P462" s="103">
        <f t="shared" si="10"/>
        <v>443</v>
      </c>
      <c r="Q462" s="103" t="s">
        <v>1898</v>
      </c>
      <c r="R46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485-3142</v>
      </c>
      <c r="S462" s="195" t="str">
        <f>HYPERLINK("https://www.mouser.com/ProductDetail/" &amp;MouserListTable12[[#This Row],[Mouser SKU]])</f>
        <v>https://www.mouser.com/ProductDetail/485-3142</v>
      </c>
      <c r="T462" s="121">
        <v>1</v>
      </c>
      <c r="U462" s="121">
        <v>5</v>
      </c>
      <c r="V462" s="121">
        <v>0</v>
      </c>
      <c r="W462" s="121">
        <f>MouserListTable12[[#This Row],['#/Unit]]*FilterSpecs!$C$3+MouserListTable12[[#This Row],[Extra]]</f>
        <v>10</v>
      </c>
      <c r="X462" s="121">
        <f>IF(MouserListTable12[[#This Row],[Tag]]=FilterSpecs!$F$7,MouserListTable12[[#This Row],['#/Unit]]*MouserListTable12[[#This Row],[Price (USD)]],0)</f>
        <v>3.95</v>
      </c>
      <c r="Y462" s="121">
        <f>MouserListTable12[[#This Row],[Tot '#]]*MouserListTable12[[#This Row],[Price (USD)]]</f>
        <v>39.5</v>
      </c>
      <c r="Z462"/>
    </row>
    <row r="463" spans="1:26" s="144" customFormat="1" hidden="1" x14ac:dyDescent="0.3">
      <c r="A463" s="146" t="s">
        <v>897</v>
      </c>
      <c r="B463" s="146" t="s">
        <v>2434</v>
      </c>
      <c r="C463" s="103" t="s">
        <v>1906</v>
      </c>
      <c r="D463" s="106" t="str">
        <f>IF(MouserListTable12[[#This Row],[Vendor]]=FilterSpecs!$A$8,MouserListTable12[[#This Row],[Mouser SKU]], MouserListTable12[[#This Row],[Supplier SKU]])</f>
        <v>474-PRT-08671</v>
      </c>
      <c r="E463" s="121">
        <f>MouserListTable12[[#This Row],[Tot '#]]-MouserListTable12[[#This Row],['# Initial]]</f>
        <v>0</v>
      </c>
      <c r="F463" s="121">
        <f>IF(AND(MouserListTable12[[#This Row],[Tag]]&lt;&gt;FilterSpecs!$F$12, MouserListTable12[[#This Row],[Tag]]&lt;&gt;FilterSpecs!$F$9), MouserListTable12[[#This Row],['#/Unit]]*FilterSpecs!$B$3+MouserListTable12[[#This Row],[Extra Initial]],0)</f>
        <v>0</v>
      </c>
      <c r="G463" s="103" t="s">
        <v>596</v>
      </c>
      <c r="H463" s="103" t="s">
        <v>597</v>
      </c>
      <c r="I463" s="106" t="s">
        <v>598</v>
      </c>
      <c r="J463" s="103">
        <v>1</v>
      </c>
      <c r="K463" s="157">
        <v>0.95</v>
      </c>
      <c r="L463" s="106" t="s">
        <v>1910</v>
      </c>
      <c r="M463" s="103" t="s">
        <v>2399</v>
      </c>
      <c r="N463" s="157">
        <f>MouserListTable12[[#This Row],['# Initial]]*MouserListTable12[[#This Row],[Price (USD)]]</f>
        <v>0</v>
      </c>
      <c r="O463" s="106" t="s">
        <v>595</v>
      </c>
      <c r="P463" s="103">
        <f t="shared" si="10"/>
        <v>444</v>
      </c>
      <c r="Q463" s="103" t="s">
        <v>8</v>
      </c>
      <c r="R46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474-PRT-08671</v>
      </c>
      <c r="S463" s="195" t="str">
        <f>HYPERLINK("https://www.mouser.com/ProductDetail/" &amp;MouserListTable12[[#This Row],[Mouser SKU]])</f>
        <v>https://www.mouser.com/ProductDetail/474-PRT-08671</v>
      </c>
      <c r="T463" s="121">
        <v>0</v>
      </c>
      <c r="U463" s="121">
        <v>0</v>
      </c>
      <c r="V463" s="121">
        <v>0</v>
      </c>
      <c r="W463" s="121">
        <f>MouserListTable12[[#This Row],['#/Unit]]*FilterSpecs!$C$3+MouserListTable12[[#This Row],[Extra]]</f>
        <v>0</v>
      </c>
      <c r="X463" s="121">
        <f>IF(MouserListTable12[[#This Row],[Tag]]=FilterSpecs!$F$7,MouserListTable12[[#This Row],['#/Unit]]*MouserListTable12[[#This Row],[Price (USD)]],0)</f>
        <v>0</v>
      </c>
      <c r="Y463" s="121">
        <f>MouserListTable12[[#This Row],[Tot '#]]*MouserListTable12[[#This Row],[Price (USD)]]</f>
        <v>0</v>
      </c>
      <c r="Z463"/>
    </row>
    <row r="464" spans="1:26" s="144" customFormat="1" hidden="1" x14ac:dyDescent="0.3">
      <c r="A464" s="146" t="s">
        <v>897</v>
      </c>
      <c r="B464" s="146" t="s">
        <v>2434</v>
      </c>
      <c r="C464" s="103" t="s">
        <v>1906</v>
      </c>
      <c r="D464" s="106" t="str">
        <f>IF(MouserListTable12[[#This Row],[Vendor]]=FilterSpecs!$A$8,MouserListTable12[[#This Row],[Mouser SKU]], MouserListTable12[[#This Row],[Supplier SKU]])</f>
        <v>474-PRT-08670</v>
      </c>
      <c r="E464" s="121">
        <f>MouserListTable12[[#This Row],[Tot '#]]-MouserListTable12[[#This Row],['# Initial]]</f>
        <v>0</v>
      </c>
      <c r="F464" s="121">
        <f>IF(AND(MouserListTable12[[#This Row],[Tag]]&lt;&gt;FilterSpecs!$F$12, MouserListTable12[[#This Row],[Tag]]&lt;&gt;FilterSpecs!$F$9), MouserListTable12[[#This Row],['#/Unit]]*FilterSpecs!$B$3+MouserListTable12[[#This Row],[Extra Initial]],0)</f>
        <v>0</v>
      </c>
      <c r="G464" s="103" t="s">
        <v>592</v>
      </c>
      <c r="H464" s="103" t="s">
        <v>593</v>
      </c>
      <c r="I464" s="106" t="s">
        <v>594</v>
      </c>
      <c r="J464" s="103">
        <v>1</v>
      </c>
      <c r="K464" s="157">
        <v>0.95</v>
      </c>
      <c r="L464" s="106" t="s">
        <v>1910</v>
      </c>
      <c r="M464" s="103" t="s">
        <v>2399</v>
      </c>
      <c r="N464" s="157">
        <f>MouserListTable12[[#This Row],['# Initial]]*MouserListTable12[[#This Row],[Price (USD)]]</f>
        <v>0</v>
      </c>
      <c r="O464" s="106" t="s">
        <v>591</v>
      </c>
      <c r="P464" s="103">
        <f t="shared" si="10"/>
        <v>445</v>
      </c>
      <c r="Q464" s="103" t="s">
        <v>8</v>
      </c>
      <c r="R46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474-PRT-08670</v>
      </c>
      <c r="S464" s="195" t="str">
        <f>HYPERLINK("https://www.mouser.com/ProductDetail/" &amp;MouserListTable12[[#This Row],[Mouser SKU]])</f>
        <v>https://www.mouser.com/ProductDetail/474-PRT-08670</v>
      </c>
      <c r="T464" s="121">
        <v>0</v>
      </c>
      <c r="U464" s="121">
        <v>0</v>
      </c>
      <c r="V464" s="121">
        <v>0</v>
      </c>
      <c r="W464" s="121">
        <f>MouserListTable12[[#This Row],['#/Unit]]*FilterSpecs!$C$3+MouserListTable12[[#This Row],[Extra]]</f>
        <v>0</v>
      </c>
      <c r="X464" s="121">
        <f>IF(MouserListTable12[[#This Row],[Tag]]=FilterSpecs!$F$7,MouserListTable12[[#This Row],['#/Unit]]*MouserListTable12[[#This Row],[Price (USD)]],0)</f>
        <v>0</v>
      </c>
      <c r="Y464" s="121">
        <f>MouserListTable12[[#This Row],[Tot '#]]*MouserListTable12[[#This Row],[Price (USD)]]</f>
        <v>0</v>
      </c>
      <c r="Z464"/>
    </row>
    <row r="465" spans="1:26" s="144" customFormat="1" x14ac:dyDescent="0.3">
      <c r="A465" s="106" t="s">
        <v>897</v>
      </c>
      <c r="B465" s="106" t="s">
        <v>2434</v>
      </c>
      <c r="C465" s="103" t="s">
        <v>1906</v>
      </c>
      <c r="D465" s="106" t="str">
        <f>IF(MouserListTable12[[#This Row],[Vendor]]=FilterSpecs!$A$8,MouserListTable12[[#This Row],[Mouser SKU]], MouserListTable12[[#This Row],[Supplier SKU]])</f>
        <v>474-PRT-09914</v>
      </c>
      <c r="E465" s="121">
        <f>MouserListTable12[[#This Row],[Tot '#]]-MouserListTable12[[#This Row],['# Initial]]</f>
        <v>0</v>
      </c>
      <c r="F465" s="121">
        <f>IF(AND(MouserListTable12[[#This Row],[Tag]]&lt;&gt;FilterSpecs!$F$12, MouserListTable12[[#This Row],[Tag]]&lt;&gt;FilterSpecs!$F$9), MouserListTable12[[#This Row],['#/Unit]]*FilterSpecs!$B$3+MouserListTable12[[#This Row],[Extra Initial]],0)</f>
        <v>10</v>
      </c>
      <c r="G465" s="103" t="s">
        <v>512</v>
      </c>
      <c r="H465" s="103" t="s">
        <v>513</v>
      </c>
      <c r="I465" s="106" t="s">
        <v>514</v>
      </c>
      <c r="J465" s="103">
        <v>1</v>
      </c>
      <c r="K465" s="157">
        <v>0.95</v>
      </c>
      <c r="L465" s="106" t="s">
        <v>1911</v>
      </c>
      <c r="M465" s="103" t="s">
        <v>2399</v>
      </c>
      <c r="N465" s="157">
        <f>MouserListTable12[[#This Row],['# Initial]]*MouserListTable12[[#This Row],[Price (USD)]]</f>
        <v>9.5</v>
      </c>
      <c r="O465" s="106" t="s">
        <v>511</v>
      </c>
      <c r="P465" s="103">
        <f t="shared" si="10"/>
        <v>446</v>
      </c>
      <c r="Q465" s="103" t="s">
        <v>8</v>
      </c>
      <c r="R46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474-PRT-09914</v>
      </c>
      <c r="S465" s="195" t="str">
        <f>HYPERLINK("https://www.mouser.com/ProductDetail/" &amp;MouserListTable12[[#This Row],[Mouser SKU]])</f>
        <v>https://www.mouser.com/ProductDetail/474-PRT-09914</v>
      </c>
      <c r="T465" s="121">
        <v>2</v>
      </c>
      <c r="U465" s="121">
        <v>0</v>
      </c>
      <c r="V465" s="121">
        <v>0</v>
      </c>
      <c r="W465" s="121">
        <f>MouserListTable12[[#This Row],['#/Unit]]*FilterSpecs!$C$3+MouserListTable12[[#This Row],[Extra]]</f>
        <v>10</v>
      </c>
      <c r="X465" s="121">
        <f>IF(MouserListTable12[[#This Row],[Tag]]=FilterSpecs!$F$7,MouserListTable12[[#This Row],['#/Unit]]*MouserListTable12[[#This Row],[Price (USD)]],0)</f>
        <v>1.9</v>
      </c>
      <c r="Y465" s="121">
        <f>MouserListTable12[[#This Row],[Tot '#]]*MouserListTable12[[#This Row],[Price (USD)]]</f>
        <v>9.5</v>
      </c>
      <c r="Z465"/>
    </row>
    <row r="466" spans="1:26" s="144" customFormat="1" x14ac:dyDescent="0.3">
      <c r="A466" s="106" t="s">
        <v>897</v>
      </c>
      <c r="B466" s="106" t="s">
        <v>2434</v>
      </c>
      <c r="C466" s="103" t="s">
        <v>1906</v>
      </c>
      <c r="D466" s="106" t="str">
        <f>IF(MouserListTable12[[#This Row],[Vendor]]=FilterSpecs!$A$8,MouserListTable12[[#This Row],[Mouser SKU]], MouserListTable12[[#This Row],[Supplier SKU]])</f>
        <v>474-PRT-09915</v>
      </c>
      <c r="E466" s="121">
        <f>MouserListTable12[[#This Row],[Tot '#]]-MouserListTable12[[#This Row],['# Initial]]</f>
        <v>0</v>
      </c>
      <c r="F466" s="121">
        <f>IF(AND(MouserListTable12[[#This Row],[Tag]]&lt;&gt;FilterSpecs!$F$12, MouserListTable12[[#This Row],[Tag]]&lt;&gt;FilterSpecs!$F$9), MouserListTable12[[#This Row],['#/Unit]]*FilterSpecs!$B$3+MouserListTable12[[#This Row],[Extra Initial]],0)</f>
        <v>5</v>
      </c>
      <c r="G466" s="103" t="s">
        <v>1354</v>
      </c>
      <c r="H466" s="103" t="s">
        <v>1355</v>
      </c>
      <c r="I466" s="106" t="s">
        <v>1356</v>
      </c>
      <c r="J466" s="103">
        <v>1</v>
      </c>
      <c r="K466" s="157">
        <v>1.5</v>
      </c>
      <c r="L466" s="106" t="s">
        <v>1911</v>
      </c>
      <c r="M466" s="103" t="s">
        <v>2399</v>
      </c>
      <c r="N466" s="157">
        <f>MouserListTable12[[#This Row],['# Initial]]*MouserListTable12[[#This Row],[Price (USD)]]</f>
        <v>7.5</v>
      </c>
      <c r="O466" s="106" t="s">
        <v>1353</v>
      </c>
      <c r="P466" s="103">
        <f t="shared" si="10"/>
        <v>447</v>
      </c>
      <c r="Q466" s="103" t="s">
        <v>8</v>
      </c>
      <c r="R46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474-PRT-09915</v>
      </c>
      <c r="S466" s="195" t="str">
        <f>HYPERLINK("https://www.mouser.com/ProductDetail/" &amp;MouserListTable12[[#This Row],[Mouser SKU]])</f>
        <v>https://www.mouser.com/ProductDetail/474-PRT-09915</v>
      </c>
      <c r="T466" s="121">
        <v>1</v>
      </c>
      <c r="U466" s="121">
        <v>0</v>
      </c>
      <c r="V466" s="121">
        <v>0</v>
      </c>
      <c r="W466" s="121">
        <f>MouserListTable12[[#This Row],['#/Unit]]*FilterSpecs!$C$3+MouserListTable12[[#This Row],[Extra]]</f>
        <v>5</v>
      </c>
      <c r="X466" s="121">
        <f>IF(MouserListTable12[[#This Row],[Tag]]=FilterSpecs!$F$7,MouserListTable12[[#This Row],['#/Unit]]*MouserListTable12[[#This Row],[Price (USD)]],0)</f>
        <v>1.5</v>
      </c>
      <c r="Y466" s="121">
        <f>MouserListTable12[[#This Row],[Tot '#]]*MouserListTable12[[#This Row],[Price (USD)]]</f>
        <v>7.5</v>
      </c>
      <c r="Z466"/>
    </row>
    <row r="467" spans="1:26" s="144" customFormat="1" x14ac:dyDescent="0.3">
      <c r="A467" s="106" t="s">
        <v>897</v>
      </c>
      <c r="B467" s="106" t="s">
        <v>2434</v>
      </c>
      <c r="C467" s="103" t="s">
        <v>1906</v>
      </c>
      <c r="D467" s="106" t="str">
        <f>IF(MouserListTable12[[#This Row],[Vendor]]=FilterSpecs!$A$8,MouserListTable12[[#This Row],[Mouser SKU]], MouserListTable12[[#This Row],[Supplier SKU]])</f>
        <v>474-PRT-09916</v>
      </c>
      <c r="E467" s="121">
        <f>MouserListTable12[[#This Row],[Tot '#]]-MouserListTable12[[#This Row],['# Initial]]</f>
        <v>0</v>
      </c>
      <c r="F467" s="121">
        <f>IF(AND(MouserListTable12[[#This Row],[Tag]]&lt;&gt;FilterSpecs!$F$12, MouserListTable12[[#This Row],[Tag]]&lt;&gt;FilterSpecs!$F$9), MouserListTable12[[#This Row],['#/Unit]]*FilterSpecs!$B$3+MouserListTable12[[#This Row],[Extra Initial]],0)</f>
        <v>10</v>
      </c>
      <c r="G467" s="103" t="s">
        <v>486</v>
      </c>
      <c r="H467" s="103" t="s">
        <v>487</v>
      </c>
      <c r="I467" s="106" t="s">
        <v>488</v>
      </c>
      <c r="J467" s="103"/>
      <c r="K467" s="157">
        <v>1.5</v>
      </c>
      <c r="L467" s="106" t="s">
        <v>1911</v>
      </c>
      <c r="M467" s="103" t="s">
        <v>2399</v>
      </c>
      <c r="N467" s="157">
        <f>MouserListTable12[[#This Row],['# Initial]]*MouserListTable12[[#This Row],[Price (USD)]]</f>
        <v>15</v>
      </c>
      <c r="O467" s="106" t="s">
        <v>485</v>
      </c>
      <c r="P467" s="103">
        <f t="shared" ref="P467:P530" si="11">IF($P466="List #",1,$P466+1)</f>
        <v>448</v>
      </c>
      <c r="Q467" s="103" t="s">
        <v>8</v>
      </c>
      <c r="R46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474-PRT-09916</v>
      </c>
      <c r="S467" s="195" t="str">
        <f>HYPERLINK("https://www.mouser.com/ProductDetail/" &amp;MouserListTable12[[#This Row],[Mouser SKU]])</f>
        <v>https://www.mouser.com/ProductDetail/474-PRT-09916</v>
      </c>
      <c r="T467" s="121">
        <v>2</v>
      </c>
      <c r="U467" s="121">
        <v>0</v>
      </c>
      <c r="V467" s="121">
        <v>0</v>
      </c>
      <c r="W467" s="121">
        <f>MouserListTable12[[#This Row],['#/Unit]]*FilterSpecs!$C$3+MouserListTable12[[#This Row],[Extra]]</f>
        <v>10</v>
      </c>
      <c r="X467" s="121">
        <f>IF(MouserListTable12[[#This Row],[Tag]]=FilterSpecs!$F$7,MouserListTable12[[#This Row],['#/Unit]]*MouserListTable12[[#This Row],[Price (USD)]],0)</f>
        <v>3</v>
      </c>
      <c r="Y467" s="121">
        <f>MouserListTable12[[#This Row],[Tot '#]]*MouserListTable12[[#This Row],[Price (USD)]]</f>
        <v>15</v>
      </c>
      <c r="Z467"/>
    </row>
    <row r="468" spans="1:26" s="144" customFormat="1" x14ac:dyDescent="0.3">
      <c r="A468" s="106" t="s">
        <v>897</v>
      </c>
      <c r="B468" s="106" t="s">
        <v>2434</v>
      </c>
      <c r="C468" s="103" t="s">
        <v>1906</v>
      </c>
      <c r="D468" s="106" t="str">
        <f>IF(MouserListTable12[[#This Row],[Vendor]]=FilterSpecs!$A$8,MouserListTable12[[#This Row],[Mouser SKU]], MouserListTable12[[#This Row],[Supplier SKU]])</f>
        <v>485-3064</v>
      </c>
      <c r="E468" s="121">
        <f>MouserListTable12[[#This Row],[Tot '#]]-MouserListTable12[[#This Row],['# Initial]]</f>
        <v>0</v>
      </c>
      <c r="F468" s="121">
        <f>IF(AND(MouserListTable12[[#This Row],[Tag]]&lt;&gt;FilterSpecs!$F$12, MouserListTable12[[#This Row],[Tag]]&lt;&gt;FilterSpecs!$F$9), MouserListTable12[[#This Row],['#/Unit]]*FilterSpecs!$B$3+MouserListTable12[[#This Row],[Extra Initial]],0)</f>
        <v>5</v>
      </c>
      <c r="G468" s="103"/>
      <c r="H468" s="103"/>
      <c r="I468" s="106" t="s">
        <v>2210</v>
      </c>
      <c r="J468" s="146"/>
      <c r="K468" s="157">
        <v>2.95</v>
      </c>
      <c r="L468" s="106" t="s">
        <v>1911</v>
      </c>
      <c r="M468" s="106" t="s">
        <v>2399</v>
      </c>
      <c r="N468" s="157">
        <f>MouserListTable12[[#This Row],['# Initial]]*MouserListTable12[[#This Row],[Price (USD)]]</f>
        <v>14.75</v>
      </c>
      <c r="O468" s="106" t="s">
        <v>2209</v>
      </c>
      <c r="P468" s="103">
        <f t="shared" si="11"/>
        <v>449</v>
      </c>
      <c r="Q468" s="103" t="s">
        <v>1898</v>
      </c>
      <c r="R46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485-3064</v>
      </c>
      <c r="S468" s="195" t="str">
        <f>HYPERLINK("https://www.mouser.com/ProductDetail/" &amp;MouserListTable12[[#This Row],[Mouser SKU]])</f>
        <v>https://www.mouser.com/ProductDetail/485-3064</v>
      </c>
      <c r="T468" s="121">
        <v>1</v>
      </c>
      <c r="U468" s="121">
        <v>0</v>
      </c>
      <c r="V468" s="121">
        <v>0</v>
      </c>
      <c r="W468" s="121">
        <f>MouserListTable12[[#This Row],['#/Unit]]*FilterSpecs!$C$3+MouserListTable12[[#This Row],[Extra]]</f>
        <v>5</v>
      </c>
      <c r="X468" s="121">
        <f>IF(MouserListTable12[[#This Row],[Tag]]=FilterSpecs!$F$7,MouserListTable12[[#This Row],['#/Unit]]*MouserListTable12[[#This Row],[Price (USD)]],0)</f>
        <v>2.95</v>
      </c>
      <c r="Y468" s="121">
        <f>MouserListTable12[[#This Row],[Tot '#]]*MouserListTable12[[#This Row],[Price (USD)]]</f>
        <v>14.75</v>
      </c>
      <c r="Z468"/>
    </row>
    <row r="469" spans="1:26" s="144" customFormat="1" hidden="1" x14ac:dyDescent="0.3">
      <c r="A469" s="106" t="s">
        <v>897</v>
      </c>
      <c r="B469" s="106" t="s">
        <v>2434</v>
      </c>
      <c r="C469" s="103" t="s">
        <v>1906</v>
      </c>
      <c r="D469" s="106" t="str">
        <f>IF(MouserListTable12[[#This Row],[Vendor]]=FilterSpecs!$A$8,MouserListTable12[[#This Row],[Mouser SKU]], MouserListTable12[[#This Row],[Supplier SKU]])</f>
        <v>485-3568</v>
      </c>
      <c r="E469" s="121">
        <f>MouserListTable12[[#This Row],[Tot '#]]-MouserListTable12[[#This Row],['# Initial]]</f>
        <v>0</v>
      </c>
      <c r="F469" s="121">
        <f>IF(AND(MouserListTable12[[#This Row],[Tag]]&lt;&gt;FilterSpecs!$F$12, MouserListTable12[[#This Row],[Tag]]&lt;&gt;FilterSpecs!$F$9), MouserListTable12[[#This Row],['#/Unit]]*FilterSpecs!$B$3+MouserListTable12[[#This Row],[Extra Initial]],0)</f>
        <v>0</v>
      </c>
      <c r="G469" s="103"/>
      <c r="H469" s="103"/>
      <c r="I469" s="146" t="s">
        <v>2212</v>
      </c>
      <c r="J469" s="146"/>
      <c r="K469" s="158">
        <v>0.75</v>
      </c>
      <c r="L469" s="146" t="s">
        <v>1910</v>
      </c>
      <c r="M469" s="146" t="s">
        <v>2399</v>
      </c>
      <c r="N469" s="157">
        <f>MouserListTable12[[#This Row],['# Initial]]*MouserListTable12[[#This Row],[Price (USD)]]</f>
        <v>0</v>
      </c>
      <c r="O469" s="106" t="s">
        <v>2211</v>
      </c>
      <c r="P469" s="103">
        <f t="shared" si="11"/>
        <v>450</v>
      </c>
      <c r="Q469" s="103" t="s">
        <v>1898</v>
      </c>
      <c r="R46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485-3568</v>
      </c>
      <c r="S469" s="195" t="str">
        <f>HYPERLINK("https://www.mouser.com/ProductDetail/" &amp;MouserListTable12[[#This Row],[Mouser SKU]])</f>
        <v>https://www.mouser.com/ProductDetail/485-3568</v>
      </c>
      <c r="T469" s="121">
        <v>0</v>
      </c>
      <c r="U469" s="121">
        <v>0</v>
      </c>
      <c r="V469" s="121">
        <v>0</v>
      </c>
      <c r="W469" s="121">
        <f>MouserListTable12[[#This Row],['#/Unit]]*FilterSpecs!$C$3+MouserListTable12[[#This Row],[Extra]]</f>
        <v>0</v>
      </c>
      <c r="X469" s="121">
        <f>IF(MouserListTable12[[#This Row],[Tag]]=FilterSpecs!$F$7,MouserListTable12[[#This Row],['#/Unit]]*MouserListTable12[[#This Row],[Price (USD)]],0)</f>
        <v>0</v>
      </c>
      <c r="Y469" s="121">
        <f>MouserListTable12[[#This Row],[Tot '#]]*MouserListTable12[[#This Row],[Price (USD)]]</f>
        <v>0</v>
      </c>
      <c r="Z469"/>
    </row>
    <row r="470" spans="1:26" s="144" customFormat="1" x14ac:dyDescent="0.3">
      <c r="A470" s="106" t="s">
        <v>897</v>
      </c>
      <c r="B470" s="106" t="s">
        <v>2435</v>
      </c>
      <c r="C470" s="103" t="s">
        <v>1906</v>
      </c>
      <c r="D470" s="106" t="str">
        <f>IF(MouserListTable12[[#This Row],[Vendor]]=FilterSpecs!$A$8,MouserListTable12[[#This Row],[Mouser SKU]], MouserListTable12[[#This Row],[Supplier SKU]])</f>
        <v>474-PRT-10359</v>
      </c>
      <c r="E470" s="121">
        <f>MouserListTable12[[#This Row],[Tot '#]]-MouserListTable12[[#This Row],['# Initial]]</f>
        <v>0</v>
      </c>
      <c r="F470" s="121">
        <f>IF(AND(MouserListTable12[[#This Row],[Tag]]&lt;&gt;FilterSpecs!$F$12, MouserListTable12[[#This Row],[Tag]]&lt;&gt;FilterSpecs!$F$9), MouserListTable12[[#This Row],['#/Unit]]*FilterSpecs!$B$3+MouserListTable12[[#This Row],[Extra Initial]],0)</f>
        <v>5</v>
      </c>
      <c r="G470" s="103" t="s">
        <v>1820</v>
      </c>
      <c r="H470" s="103" t="s">
        <v>1821</v>
      </c>
      <c r="I470" s="106" t="s">
        <v>1822</v>
      </c>
      <c r="J470" s="103"/>
      <c r="K470" s="157">
        <v>1.5</v>
      </c>
      <c r="L470" s="106" t="s">
        <v>1911</v>
      </c>
      <c r="M470" s="103" t="s">
        <v>2398</v>
      </c>
      <c r="N470" s="157">
        <f>MouserListTable12[[#This Row],['# Initial]]*MouserListTable12[[#This Row],[Price (USD)]]</f>
        <v>7.5</v>
      </c>
      <c r="O470" s="106" t="s">
        <v>1819</v>
      </c>
      <c r="P470" s="103">
        <f t="shared" si="11"/>
        <v>451</v>
      </c>
      <c r="Q470" s="103" t="s">
        <v>8</v>
      </c>
      <c r="R47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474-PRT-10359</v>
      </c>
      <c r="S470" s="195" t="str">
        <f>HYPERLINK("https://www.mouser.com/ProductDetail/" &amp;MouserListTable12[[#This Row],[Mouser SKU]])</f>
        <v>https://www.mouser.com/ProductDetail/474-PRT-10359</v>
      </c>
      <c r="T470" s="121">
        <v>1</v>
      </c>
      <c r="U470" s="121">
        <v>0</v>
      </c>
      <c r="V470" s="121">
        <v>0</v>
      </c>
      <c r="W470" s="121">
        <f>MouserListTable12[[#This Row],['#/Unit]]*FilterSpecs!$C$3+MouserListTable12[[#This Row],[Extra]]</f>
        <v>5</v>
      </c>
      <c r="X470" s="121">
        <f>IF(MouserListTable12[[#This Row],[Tag]]=FilterSpecs!$F$7,MouserListTable12[[#This Row],['#/Unit]]*MouserListTable12[[#This Row],[Price (USD)]],0)</f>
        <v>1.5</v>
      </c>
      <c r="Y470" s="121">
        <f>MouserListTable12[[#This Row],[Tot '#]]*MouserListTable12[[#This Row],[Price (USD)]]</f>
        <v>7.5</v>
      </c>
      <c r="Z470"/>
    </row>
    <row r="471" spans="1:26" s="144" customFormat="1" hidden="1" x14ac:dyDescent="0.3">
      <c r="A471" s="146" t="s">
        <v>897</v>
      </c>
      <c r="B471" s="146" t="s">
        <v>2435</v>
      </c>
      <c r="C471" s="103" t="s">
        <v>1906</v>
      </c>
      <c r="D471" s="106" t="str">
        <f>IF(MouserListTable12[[#This Row],[Vendor]]=FilterSpecs!$A$8,MouserListTable12[[#This Row],[Mouser SKU]], MouserListTable12[[#This Row],[Supplier SKU]])</f>
        <v>474-GPS-00574</v>
      </c>
      <c r="E471" s="121">
        <f>MouserListTable12[[#This Row],[Tot '#]]-MouserListTable12[[#This Row],['# Initial]]</f>
        <v>0</v>
      </c>
      <c r="F471" s="121">
        <f>IF(AND(MouserListTable12[[#This Row],[Tag]]&lt;&gt;FilterSpecs!$F$12, MouserListTable12[[#This Row],[Tag]]&lt;&gt;FilterSpecs!$F$9), MouserListTable12[[#This Row],['#/Unit]]*FilterSpecs!$B$3+MouserListTable12[[#This Row],[Extra Initial]],0)</f>
        <v>0</v>
      </c>
      <c r="G471" s="103" t="s">
        <v>1812</v>
      </c>
      <c r="H471" s="103" t="s">
        <v>1813</v>
      </c>
      <c r="I471" s="106" t="s">
        <v>1814</v>
      </c>
      <c r="J471" s="103"/>
      <c r="K471" s="157">
        <v>2.95</v>
      </c>
      <c r="L471" s="106" t="s">
        <v>1910</v>
      </c>
      <c r="M471" s="103" t="s">
        <v>2398</v>
      </c>
      <c r="N471" s="157">
        <f>MouserListTable12[[#This Row],['# Initial]]*MouserListTable12[[#This Row],[Price (USD)]]</f>
        <v>0</v>
      </c>
      <c r="O471" s="106" t="s">
        <v>1811</v>
      </c>
      <c r="P471" s="103">
        <f t="shared" si="11"/>
        <v>452</v>
      </c>
      <c r="Q471" s="103" t="s">
        <v>8</v>
      </c>
      <c r="R47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474-GPS-00574</v>
      </c>
      <c r="S471" s="195" t="str">
        <f>HYPERLINK("https://www.mouser.com/ProductDetail/" &amp;MouserListTable12[[#This Row],[Mouser SKU]])</f>
        <v>https://www.mouser.com/ProductDetail/474-GPS-00574</v>
      </c>
      <c r="T471" s="121">
        <v>0</v>
      </c>
      <c r="U471" s="121">
        <v>0</v>
      </c>
      <c r="V471" s="121">
        <v>0</v>
      </c>
      <c r="W471" s="121">
        <f>MouserListTable12[[#This Row],['#/Unit]]*FilterSpecs!$C$3+MouserListTable12[[#This Row],[Extra]]</f>
        <v>0</v>
      </c>
      <c r="X471" s="121">
        <f>IF(MouserListTable12[[#This Row],[Tag]]=FilterSpecs!$F$7,MouserListTable12[[#This Row],['#/Unit]]*MouserListTable12[[#This Row],[Price (USD)]],0)</f>
        <v>0</v>
      </c>
      <c r="Y471" s="121">
        <f>MouserListTable12[[#This Row],[Tot '#]]*MouserListTable12[[#This Row],[Price (USD)]]</f>
        <v>0</v>
      </c>
      <c r="Z471"/>
    </row>
    <row r="472" spans="1:26" s="144" customFormat="1" hidden="1" x14ac:dyDescent="0.3">
      <c r="A472" s="146" t="s">
        <v>897</v>
      </c>
      <c r="B472" s="146" t="s">
        <v>2435</v>
      </c>
      <c r="C472" s="103" t="s">
        <v>1906</v>
      </c>
      <c r="D472" s="106" t="str">
        <f>IF(MouserListTable12[[#This Row],[Vendor]]=FilterSpecs!$A$8,MouserListTable12[[#This Row],[Mouser SKU]], MouserListTable12[[#This Row],[Supplier SKU]])</f>
        <v>474-PRT-10361</v>
      </c>
      <c r="E472" s="121">
        <f>MouserListTable12[[#This Row],[Tot '#]]-MouserListTable12[[#This Row],['# Initial]]</f>
        <v>0</v>
      </c>
      <c r="F472" s="121">
        <f>IF(AND(MouserListTable12[[#This Row],[Tag]]&lt;&gt;FilterSpecs!$F$12, MouserListTable12[[#This Row],[Tag]]&lt;&gt;FilterSpecs!$F$9), MouserListTable12[[#This Row],['#/Unit]]*FilterSpecs!$B$3+MouserListTable12[[#This Row],[Extra Initial]],0)</f>
        <v>0</v>
      </c>
      <c r="G472" s="103" t="s">
        <v>1804</v>
      </c>
      <c r="H472" s="103" t="s">
        <v>1805</v>
      </c>
      <c r="I472" s="106" t="s">
        <v>1806</v>
      </c>
      <c r="J472" s="103"/>
      <c r="K472" s="157">
        <v>1.5</v>
      </c>
      <c r="L472" s="106" t="s">
        <v>1910</v>
      </c>
      <c r="M472" s="103" t="s">
        <v>2398</v>
      </c>
      <c r="N472" s="157">
        <f>MouserListTable12[[#This Row],['# Initial]]*MouserListTable12[[#This Row],[Price (USD)]]</f>
        <v>0</v>
      </c>
      <c r="O472" s="106" t="s">
        <v>1803</v>
      </c>
      <c r="P472" s="103">
        <f t="shared" si="11"/>
        <v>453</v>
      </c>
      <c r="Q472" s="103" t="s">
        <v>8</v>
      </c>
      <c r="R47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474-PRT-10361</v>
      </c>
      <c r="S472" s="195" t="str">
        <f>HYPERLINK("https://www.mouser.com/ProductDetail/" &amp;MouserListTable12[[#This Row],[Mouser SKU]])</f>
        <v>https://www.mouser.com/ProductDetail/474-PRT-10361</v>
      </c>
      <c r="T472" s="121">
        <v>0</v>
      </c>
      <c r="U472" s="121">
        <v>0</v>
      </c>
      <c r="V472" s="121">
        <v>0</v>
      </c>
      <c r="W472" s="121">
        <f>MouserListTable12[[#This Row],['#/Unit]]*FilterSpecs!$C$3+MouserListTable12[[#This Row],[Extra]]</f>
        <v>0</v>
      </c>
      <c r="X472" s="121">
        <f>IF(MouserListTable12[[#This Row],[Tag]]=FilterSpecs!$F$7,MouserListTable12[[#This Row],['#/Unit]]*MouserListTable12[[#This Row],[Price (USD)]],0)</f>
        <v>0</v>
      </c>
      <c r="Y472" s="121">
        <f>MouserListTable12[[#This Row],[Tot '#]]*MouserListTable12[[#This Row],[Price (USD)]]</f>
        <v>0</v>
      </c>
      <c r="Z472"/>
    </row>
    <row r="473" spans="1:26" s="144" customFormat="1" hidden="1" x14ac:dyDescent="0.3">
      <c r="A473" s="146" t="s">
        <v>897</v>
      </c>
      <c r="B473" s="146" t="s">
        <v>2435</v>
      </c>
      <c r="C473" s="103" t="s">
        <v>1906</v>
      </c>
      <c r="D473" s="106" t="str">
        <f>IF(MouserListTable12[[#This Row],[Vendor]]=FilterSpecs!$A$8,MouserListTable12[[#This Row],[Mouser SKU]], MouserListTable12[[#This Row],[Supplier SKU]])</f>
        <v>474-GPS-09123</v>
      </c>
      <c r="E473" s="121">
        <f>MouserListTable12[[#This Row],[Tot '#]]-MouserListTable12[[#This Row],['# Initial]]</f>
        <v>0</v>
      </c>
      <c r="F473" s="121">
        <f>IF(AND(MouserListTable12[[#This Row],[Tag]]&lt;&gt;FilterSpecs!$F$12, MouserListTable12[[#This Row],[Tag]]&lt;&gt;FilterSpecs!$F$9), MouserListTable12[[#This Row],['#/Unit]]*FilterSpecs!$B$3+MouserListTable12[[#This Row],[Extra Initial]],0)</f>
        <v>0</v>
      </c>
      <c r="G473" s="103" t="s">
        <v>1816</v>
      </c>
      <c r="H473" s="103" t="s">
        <v>1817</v>
      </c>
      <c r="I473" s="106" t="s">
        <v>1818</v>
      </c>
      <c r="J473" s="103">
        <v>1</v>
      </c>
      <c r="K473" s="157">
        <v>2.95</v>
      </c>
      <c r="L473" s="106" t="s">
        <v>1910</v>
      </c>
      <c r="M473" s="103" t="s">
        <v>2398</v>
      </c>
      <c r="N473" s="157">
        <f>MouserListTable12[[#This Row],['# Initial]]*MouserListTable12[[#This Row],[Price (USD)]]</f>
        <v>0</v>
      </c>
      <c r="O473" s="106" t="s">
        <v>1815</v>
      </c>
      <c r="P473" s="103">
        <f t="shared" si="11"/>
        <v>454</v>
      </c>
      <c r="Q473" s="103" t="s">
        <v>8</v>
      </c>
      <c r="R47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474-GPS-09123</v>
      </c>
      <c r="S473" s="195" t="str">
        <f>HYPERLINK("https://www.mouser.com/ProductDetail/" &amp;MouserListTable12[[#This Row],[Mouser SKU]])</f>
        <v>https://www.mouser.com/ProductDetail/474-GPS-09123</v>
      </c>
      <c r="T473" s="121">
        <v>0</v>
      </c>
      <c r="U473" s="121">
        <v>0</v>
      </c>
      <c r="V473" s="121">
        <v>0</v>
      </c>
      <c r="W473" s="121">
        <f>MouserListTable12[[#This Row],['#/Unit]]*FilterSpecs!$C$3+MouserListTable12[[#This Row],[Extra]]</f>
        <v>0</v>
      </c>
      <c r="X473" s="121">
        <f>IF(MouserListTable12[[#This Row],[Tag]]=FilterSpecs!$F$7,MouserListTable12[[#This Row],['#/Unit]]*MouserListTable12[[#This Row],[Price (USD)]],0)</f>
        <v>0</v>
      </c>
      <c r="Y473" s="121">
        <f>MouserListTable12[[#This Row],[Tot '#]]*MouserListTable12[[#This Row],[Price (USD)]]</f>
        <v>0</v>
      </c>
      <c r="Z473"/>
    </row>
    <row r="474" spans="1:26" s="144" customFormat="1" hidden="1" x14ac:dyDescent="0.3">
      <c r="A474" s="146" t="s">
        <v>897</v>
      </c>
      <c r="B474" s="146" t="s">
        <v>2435</v>
      </c>
      <c r="C474" s="103" t="s">
        <v>1906</v>
      </c>
      <c r="D474" s="106" t="str">
        <f>IF(MouserListTable12[[#This Row],[Vendor]]=FilterSpecs!$A$8,MouserListTable12[[#This Row],[Mouser SKU]], MouserListTable12[[#This Row],[Supplier SKU]])</f>
        <v>474-PRT-10853</v>
      </c>
      <c r="E474" s="121">
        <f>MouserListTable12[[#This Row],[Tot '#]]-MouserListTable12[[#This Row],['# Initial]]</f>
        <v>0</v>
      </c>
      <c r="F474" s="121">
        <f>IF(AND(MouserListTable12[[#This Row],[Tag]]&lt;&gt;FilterSpecs!$F$12, MouserListTable12[[#This Row],[Tag]]&lt;&gt;FilterSpecs!$F$9), MouserListTable12[[#This Row],['#/Unit]]*FilterSpecs!$B$3+MouserListTable12[[#This Row],[Extra Initial]],0)</f>
        <v>0</v>
      </c>
      <c r="G474" s="103" t="s">
        <v>2431</v>
      </c>
      <c r="H474" s="103" t="s">
        <v>2432</v>
      </c>
      <c r="I474" s="106" t="s">
        <v>2433</v>
      </c>
      <c r="J474" s="103">
        <v>1</v>
      </c>
      <c r="K474" s="157">
        <v>0.95</v>
      </c>
      <c r="L474" s="146" t="s">
        <v>1910</v>
      </c>
      <c r="M474" s="146" t="s">
        <v>2398</v>
      </c>
      <c r="N474" s="157">
        <f>MouserListTable12[[#This Row],['# Initial]]*MouserListTable12[[#This Row],[Price (USD)]]</f>
        <v>0</v>
      </c>
      <c r="O474" s="106" t="s">
        <v>2430</v>
      </c>
      <c r="P474" s="103">
        <f t="shared" si="11"/>
        <v>455</v>
      </c>
      <c r="Q474" s="103" t="s">
        <v>8</v>
      </c>
      <c r="R47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474-PRT-10853</v>
      </c>
      <c r="S474" s="195" t="str">
        <f>HYPERLINK("https://www.mouser.com/ProductDetail/" &amp;MouserListTable12[[#This Row],[Mouser SKU]])</f>
        <v>https://www.mouser.com/ProductDetail/474-PRT-10853</v>
      </c>
      <c r="T474" s="121">
        <v>0</v>
      </c>
      <c r="U474" s="121">
        <v>0</v>
      </c>
      <c r="V474" s="121">
        <v>0</v>
      </c>
      <c r="W474" s="121">
        <f>MouserListTable12[[#This Row],['#/Unit]]*FilterSpecs!$C$3+MouserListTable12[[#This Row],[Extra]]</f>
        <v>0</v>
      </c>
      <c r="X474" s="121">
        <f>IF(MouserListTable12[[#This Row],[Tag]]=FilterSpecs!$F$7,MouserListTable12[[#This Row],['#/Unit]]*MouserListTable12[[#This Row],[Price (USD)]],0)</f>
        <v>0</v>
      </c>
      <c r="Y474" s="121">
        <f>MouserListTable12[[#This Row],[Tot '#]]*MouserListTable12[[#This Row],[Price (USD)]]</f>
        <v>0</v>
      </c>
      <c r="Z474"/>
    </row>
    <row r="475" spans="1:26" s="144" customFormat="1" hidden="1" x14ac:dyDescent="0.3">
      <c r="A475" s="106" t="s">
        <v>897</v>
      </c>
      <c r="B475" s="106" t="s">
        <v>2436</v>
      </c>
      <c r="C475" s="103" t="s">
        <v>1906</v>
      </c>
      <c r="D475" s="106" t="str">
        <f>IF(MouserListTable12[[#This Row],[Vendor]]=FilterSpecs!$A$8,MouserListTable12[[#This Row],[Mouser SKU]], MouserListTable12[[#This Row],[Supplier SKU]])</f>
        <v>485-578</v>
      </c>
      <c r="E475" s="121">
        <f>MouserListTable12[[#This Row],[Tot '#]]-MouserListTable12[[#This Row],['# Initial]]</f>
        <v>0</v>
      </c>
      <c r="F475" s="121">
        <f>IF(AND(MouserListTable12[[#This Row],[Tag]]&lt;&gt;FilterSpecs!$F$12, MouserListTable12[[#This Row],[Tag]]&lt;&gt;FilterSpecs!$F$9), MouserListTable12[[#This Row],['#/Unit]]*FilterSpecs!$B$3+MouserListTable12[[#This Row],[Extra Initial]],0)</f>
        <v>0</v>
      </c>
      <c r="G475" s="103"/>
      <c r="H475" s="103"/>
      <c r="I475" s="146" t="s">
        <v>2208</v>
      </c>
      <c r="J475" s="146"/>
      <c r="K475" s="158">
        <v>1.5</v>
      </c>
      <c r="L475" s="146" t="s">
        <v>1913</v>
      </c>
      <c r="M475" s="146" t="s">
        <v>2399</v>
      </c>
      <c r="N475" s="157">
        <f>MouserListTable12[[#This Row],['# Initial]]*MouserListTable12[[#This Row],[Price (USD)]]</f>
        <v>0</v>
      </c>
      <c r="O475" s="106" t="s">
        <v>2207</v>
      </c>
      <c r="P475" s="103">
        <f t="shared" si="11"/>
        <v>456</v>
      </c>
      <c r="Q475" s="103" t="s">
        <v>1898</v>
      </c>
      <c r="R47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485-578</v>
      </c>
      <c r="S475" s="195" t="str">
        <f>HYPERLINK("https://www.mouser.com/ProductDetail/" &amp;MouserListTable12[[#This Row],[Mouser SKU]])</f>
        <v>https://www.mouser.com/ProductDetail/485-578</v>
      </c>
      <c r="T475" s="121">
        <v>0</v>
      </c>
      <c r="U475" s="121">
        <v>0</v>
      </c>
      <c r="V475" s="121">
        <v>0</v>
      </c>
      <c r="W475" s="121">
        <f>MouserListTable12[[#This Row],['#/Unit]]*FilterSpecs!$C$3+MouserListTable12[[#This Row],[Extra]]</f>
        <v>0</v>
      </c>
      <c r="X475" s="121">
        <f>IF(MouserListTable12[[#This Row],[Tag]]=FilterSpecs!$F$7,MouserListTable12[[#This Row],['#/Unit]]*MouserListTable12[[#This Row],[Price (USD)]],0)</f>
        <v>0</v>
      </c>
      <c r="Y475" s="121">
        <f>MouserListTable12[[#This Row],[Tot '#]]*MouserListTable12[[#This Row],[Price (USD)]]</f>
        <v>0</v>
      </c>
      <c r="Z475"/>
    </row>
    <row r="476" spans="1:26" s="144" customFormat="1" x14ac:dyDescent="0.3">
      <c r="A476" s="106" t="s">
        <v>897</v>
      </c>
      <c r="B476" s="106" t="s">
        <v>1611</v>
      </c>
      <c r="C476" s="103" t="s">
        <v>1906</v>
      </c>
      <c r="D476" s="106" t="str">
        <f>IF(MouserListTable12[[#This Row],[Vendor]]=FilterSpecs!$A$8,MouserListTable12[[#This Row],[Mouser SKU]], MouserListTable12[[#This Row],[Supplier SKU]])</f>
        <v>474-CAB-13685</v>
      </c>
      <c r="E476" s="121">
        <f>MouserListTable12[[#This Row],[Tot '#]]-MouserListTable12[[#This Row],['# Initial]]</f>
        <v>1</v>
      </c>
      <c r="F476" s="121">
        <f>IF(AND(MouserListTable12[[#This Row],[Tag]]&lt;&gt;FilterSpecs!$F$12, MouserListTable12[[#This Row],[Tag]]&lt;&gt;FilterSpecs!$F$9), MouserListTable12[[#This Row],['#/Unit]]*FilterSpecs!$B$3+MouserListTable12[[#This Row],[Extra Initial]],0)</f>
        <v>5</v>
      </c>
      <c r="G476" s="103" t="s">
        <v>520</v>
      </c>
      <c r="H476" s="103" t="s">
        <v>521</v>
      </c>
      <c r="I476" s="106" t="s">
        <v>522</v>
      </c>
      <c r="J476" s="103">
        <v>1</v>
      </c>
      <c r="K476" s="157">
        <v>1.5</v>
      </c>
      <c r="L476" s="106" t="s">
        <v>1911</v>
      </c>
      <c r="M476" s="103" t="s">
        <v>2399</v>
      </c>
      <c r="N476" s="157">
        <f>MouserListTable12[[#This Row],['# Initial]]*MouserListTable12[[#This Row],[Price (USD)]]</f>
        <v>7.5</v>
      </c>
      <c r="O476" s="106" t="s">
        <v>519</v>
      </c>
      <c r="P476" s="103">
        <f t="shared" si="11"/>
        <v>457</v>
      </c>
      <c r="Q476" s="103" t="s">
        <v>8</v>
      </c>
      <c r="R47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474-CAB-13685</v>
      </c>
      <c r="S476" s="195" t="str">
        <f>HYPERLINK("https://www.mouser.com/ProductDetail/" &amp;MouserListTable12[[#This Row],[Mouser SKU]])</f>
        <v>https://www.mouser.com/ProductDetail/474-CAB-13685</v>
      </c>
      <c r="T476" s="121">
        <v>1</v>
      </c>
      <c r="U476" s="121">
        <v>1</v>
      </c>
      <c r="V476" s="121">
        <v>0</v>
      </c>
      <c r="W476" s="121">
        <f>MouserListTable12[[#This Row],['#/Unit]]*FilterSpecs!$C$3+MouserListTable12[[#This Row],[Extra]]</f>
        <v>6</v>
      </c>
      <c r="X476" s="121">
        <f>IF(MouserListTable12[[#This Row],[Tag]]=FilterSpecs!$F$7,MouserListTable12[[#This Row],['#/Unit]]*MouserListTable12[[#This Row],[Price (USD)]],0)</f>
        <v>1.5</v>
      </c>
      <c r="Y476" s="121">
        <f>MouserListTable12[[#This Row],[Tot '#]]*MouserListTable12[[#This Row],[Price (USD)]]</f>
        <v>9</v>
      </c>
      <c r="Z476"/>
    </row>
    <row r="477" spans="1:26" s="144" customFormat="1" hidden="1" x14ac:dyDescent="0.3">
      <c r="A477" s="146" t="s">
        <v>897</v>
      </c>
      <c r="B477" s="146" t="s">
        <v>1611</v>
      </c>
      <c r="C477" s="103" t="s">
        <v>1906</v>
      </c>
      <c r="D477" s="106" t="str">
        <f>IF(MouserListTable12[[#This Row],[Vendor]]=FilterSpecs!$A$8,MouserListTable12[[#This Row],[Mouser SKU]], MouserListTable12[[#This Row],[Supplier SKU]])</f>
        <v>474-PRT-08599</v>
      </c>
      <c r="E477" s="121">
        <f>MouserListTable12[[#This Row],[Tot '#]]-MouserListTable12[[#This Row],['# Initial]]</f>
        <v>0</v>
      </c>
      <c r="F477" s="121">
        <f>IF(AND(MouserListTable12[[#This Row],[Tag]]&lt;&gt;FilterSpecs!$F$12, MouserListTable12[[#This Row],[Tag]]&lt;&gt;FilterSpecs!$F$9), MouserListTable12[[#This Row],['#/Unit]]*FilterSpecs!$B$3+MouserListTable12[[#This Row],[Extra Initial]],0)</f>
        <v>0</v>
      </c>
      <c r="G477" s="103" t="s">
        <v>584</v>
      </c>
      <c r="H477" s="103" t="s">
        <v>585</v>
      </c>
      <c r="I477" s="106" t="s">
        <v>586</v>
      </c>
      <c r="J477" s="103">
        <v>1</v>
      </c>
      <c r="K477" s="157">
        <v>1.5</v>
      </c>
      <c r="L477" s="106" t="s">
        <v>1910</v>
      </c>
      <c r="M477" s="103" t="s">
        <v>2399</v>
      </c>
      <c r="N477" s="157">
        <f>MouserListTable12[[#This Row],['# Initial]]*MouserListTable12[[#This Row],[Price (USD)]]</f>
        <v>0</v>
      </c>
      <c r="O477" s="106" t="s">
        <v>583</v>
      </c>
      <c r="P477" s="103">
        <f t="shared" si="11"/>
        <v>458</v>
      </c>
      <c r="Q477" s="103" t="s">
        <v>8</v>
      </c>
      <c r="R47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474-PRT-08599</v>
      </c>
      <c r="S477" s="195" t="str">
        <f>HYPERLINK("https://www.mouser.com/ProductDetail/" &amp;MouserListTable12[[#This Row],[Mouser SKU]])</f>
        <v>https://www.mouser.com/ProductDetail/474-PRT-08599</v>
      </c>
      <c r="T477" s="121">
        <v>0</v>
      </c>
      <c r="U477" s="121">
        <v>0</v>
      </c>
      <c r="V477" s="121">
        <v>0</v>
      </c>
      <c r="W477" s="121">
        <f>MouserListTable12[[#This Row],['#/Unit]]*FilterSpecs!$C$3+MouserListTable12[[#This Row],[Extra]]</f>
        <v>0</v>
      </c>
      <c r="X477" s="121">
        <f>IF(MouserListTable12[[#This Row],[Tag]]=FilterSpecs!$F$7,MouserListTable12[[#This Row],['#/Unit]]*MouserListTable12[[#This Row],[Price (USD)]],0)</f>
        <v>0</v>
      </c>
      <c r="Y477" s="121">
        <f>MouserListTable12[[#This Row],[Tot '#]]*MouserListTable12[[#This Row],[Price (USD)]]</f>
        <v>0</v>
      </c>
      <c r="Z477"/>
    </row>
    <row r="478" spans="1:26" s="144" customFormat="1" hidden="1" x14ac:dyDescent="0.3">
      <c r="A478" s="146" t="s">
        <v>897</v>
      </c>
      <c r="B478" s="146" t="s">
        <v>1611</v>
      </c>
      <c r="C478" s="103" t="s">
        <v>1906</v>
      </c>
      <c r="D478" s="106" t="str">
        <f>IF(MouserListTable12[[#This Row],[Vendor]]=FilterSpecs!$A$8,MouserListTable12[[#This Row],[Mouser SKU]], MouserListTable12[[#This Row],[Supplier SKU]])</f>
        <v>474-PRT-08598</v>
      </c>
      <c r="E478" s="121">
        <f>MouserListTable12[[#This Row],[Tot '#]]-MouserListTable12[[#This Row],['# Initial]]</f>
        <v>0</v>
      </c>
      <c r="F478" s="121">
        <f>IF(AND(MouserListTable12[[#This Row],[Tag]]&lt;&gt;FilterSpecs!$F$12, MouserListTable12[[#This Row],[Tag]]&lt;&gt;FilterSpecs!$F$9), MouserListTable12[[#This Row],['#/Unit]]*FilterSpecs!$B$3+MouserListTable12[[#This Row],[Extra Initial]],0)</f>
        <v>0</v>
      </c>
      <c r="G478" s="103" t="s">
        <v>1752</v>
      </c>
      <c r="H478" s="103" t="s">
        <v>1753</v>
      </c>
      <c r="I478" s="106" t="s">
        <v>1754</v>
      </c>
      <c r="J478" s="103">
        <v>1</v>
      </c>
      <c r="K478" s="157">
        <v>1.5</v>
      </c>
      <c r="L478" s="106" t="s">
        <v>1913</v>
      </c>
      <c r="M478" s="103" t="s">
        <v>2399</v>
      </c>
      <c r="N478" s="157">
        <f>MouserListTable12[[#This Row],['# Initial]]*MouserListTable12[[#This Row],[Price (USD)]]</f>
        <v>0</v>
      </c>
      <c r="O478" s="106" t="s">
        <v>1751</v>
      </c>
      <c r="P478" s="103">
        <f t="shared" si="11"/>
        <v>459</v>
      </c>
      <c r="Q478" s="103" t="s">
        <v>8</v>
      </c>
      <c r="R47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474-PRT-08598</v>
      </c>
      <c r="S478" s="195" t="str">
        <f>HYPERLINK("https://www.mouser.com/ProductDetail/" &amp;MouserListTable12[[#This Row],[Mouser SKU]])</f>
        <v>https://www.mouser.com/ProductDetail/474-PRT-08598</v>
      </c>
      <c r="T478" s="121">
        <v>0</v>
      </c>
      <c r="U478" s="121">
        <v>0</v>
      </c>
      <c r="V478" s="121">
        <v>0</v>
      </c>
      <c r="W478" s="121">
        <f>MouserListTable12[[#This Row],['#/Unit]]*FilterSpecs!$C$3+MouserListTable12[[#This Row],[Extra]]</f>
        <v>0</v>
      </c>
      <c r="X478" s="121">
        <f>IF(MouserListTable12[[#This Row],[Tag]]=FilterSpecs!$F$7,MouserListTable12[[#This Row],['#/Unit]]*MouserListTable12[[#This Row],[Price (USD)]],0)</f>
        <v>0</v>
      </c>
      <c r="Y478" s="121">
        <f>MouserListTable12[[#This Row],[Tot '#]]*MouserListTable12[[#This Row],[Price (USD)]]</f>
        <v>0</v>
      </c>
      <c r="Z478"/>
    </row>
    <row r="479" spans="1:26" s="144" customFormat="1" hidden="1" x14ac:dyDescent="0.3">
      <c r="A479" s="128" t="s">
        <v>897</v>
      </c>
      <c r="B479" s="128" t="s">
        <v>1611</v>
      </c>
      <c r="C479" s="103" t="s">
        <v>1906</v>
      </c>
      <c r="D479" s="106" t="str">
        <f>IF(MouserListTable12[[#This Row],[Vendor]]=FilterSpecs!$A$8,MouserListTable12[[#This Row],[Mouser SKU]], MouserListTable12[[#This Row],[Supplier SKU]])</f>
        <v>485-425</v>
      </c>
      <c r="E479" s="121">
        <f>MouserListTable12[[#This Row],[Tot '#]]-MouserListTable12[[#This Row],['# Initial]]</f>
        <v>0</v>
      </c>
      <c r="F479" s="121">
        <f>IF(AND(MouserListTable12[[#This Row],[Tag]]&lt;&gt;FilterSpecs!$F$12, MouserListTable12[[#This Row],[Tag]]&lt;&gt;FilterSpecs!$F$9), MouserListTable12[[#This Row],['#/Unit]]*FilterSpecs!$B$3+MouserListTable12[[#This Row],[Extra Initial]],0)</f>
        <v>0</v>
      </c>
      <c r="G479" s="146"/>
      <c r="H479" s="146"/>
      <c r="I479" s="128" t="s">
        <v>2462</v>
      </c>
      <c r="J479" s="153">
        <v>107</v>
      </c>
      <c r="K479" s="159">
        <v>1.95</v>
      </c>
      <c r="L479" s="126" t="s">
        <v>1910</v>
      </c>
      <c r="M479" s="146"/>
      <c r="N479" s="157">
        <f>MouserListTable12[[#This Row],['# Initial]]*MouserListTable12[[#This Row],[Price (USD)]]</f>
        <v>0</v>
      </c>
      <c r="O479" s="153" t="s">
        <v>2463</v>
      </c>
      <c r="P479" s="103">
        <f t="shared" si="11"/>
        <v>460</v>
      </c>
      <c r="Q479" s="103" t="s">
        <v>1898</v>
      </c>
      <c r="R47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485-425</v>
      </c>
      <c r="S479" s="195" t="str">
        <f>HYPERLINK("https://www.mouser.com/ProductDetail/" &amp;MouserListTable12[[#This Row],[Mouser SKU]])</f>
        <v>https://www.mouser.com/ProductDetail/485-425</v>
      </c>
      <c r="T479" s="121">
        <v>0</v>
      </c>
      <c r="U479" s="121">
        <v>0</v>
      </c>
      <c r="V479" s="121">
        <v>0</v>
      </c>
      <c r="W479" s="121">
        <f>MouserListTable12[[#This Row],['#/Unit]]*FilterSpecs!$C$3+MouserListTable12[[#This Row],[Extra]]</f>
        <v>0</v>
      </c>
      <c r="X479" s="121">
        <f>IF(MouserListTable12[[#This Row],[Tag]]=FilterSpecs!$F$7,MouserListTable12[[#This Row],['#/Unit]]*MouserListTable12[[#This Row],[Price (USD)]],0)</f>
        <v>0</v>
      </c>
      <c r="Y479" s="121">
        <f>MouserListTable12[[#This Row],[Tot '#]]*MouserListTable12[[#This Row],[Price (USD)]]</f>
        <v>0</v>
      </c>
      <c r="Z479"/>
    </row>
    <row r="480" spans="1:26" s="144" customFormat="1" hidden="1" x14ac:dyDescent="0.3">
      <c r="A480" s="128" t="s">
        <v>897</v>
      </c>
      <c r="B480" s="128" t="s">
        <v>2436</v>
      </c>
      <c r="C480" s="103" t="s">
        <v>1906</v>
      </c>
      <c r="D480" s="106" t="str">
        <f>IF(MouserListTable12[[#This Row],[Vendor]]=FilterSpecs!$A$8,MouserListTable12[[#This Row],[Mouser SKU]], MouserListTable12[[#This Row],[Supplier SKU]])</f>
        <v>485-2880</v>
      </c>
      <c r="E480" s="121">
        <f>MouserListTable12[[#This Row],[Tot '#]]-MouserListTable12[[#This Row],['# Initial]]</f>
        <v>0</v>
      </c>
      <c r="F480" s="121">
        <f>IF(AND(MouserListTable12[[#This Row],[Tag]]&lt;&gt;FilterSpecs!$F$12, MouserListTable12[[#This Row],[Tag]]&lt;&gt;FilterSpecs!$F$9), MouserListTable12[[#This Row],['#/Unit]]*FilterSpecs!$B$3+MouserListTable12[[#This Row],[Extra Initial]],0)</f>
        <v>0</v>
      </c>
      <c r="G480" s="146"/>
      <c r="H480" s="146"/>
      <c r="I480" s="128" t="s">
        <v>2449</v>
      </c>
      <c r="J480" s="153">
        <v>100</v>
      </c>
      <c r="K480" s="159">
        <v>0.75</v>
      </c>
      <c r="L480" s="126" t="s">
        <v>1910</v>
      </c>
      <c r="M480" s="146"/>
      <c r="N480" s="157">
        <f>MouserListTable12[[#This Row],['# Initial]]*MouserListTable12[[#This Row],[Price (USD)]]</f>
        <v>0</v>
      </c>
      <c r="O480" s="153" t="s">
        <v>2450</v>
      </c>
      <c r="P480" s="103">
        <f t="shared" si="11"/>
        <v>461</v>
      </c>
      <c r="Q480" s="103" t="s">
        <v>1898</v>
      </c>
      <c r="R48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485-2880</v>
      </c>
      <c r="S480" s="195" t="str">
        <f>HYPERLINK("https://www.mouser.com/ProductDetail/" &amp;MouserListTable12[[#This Row],[Mouser SKU]])</f>
        <v>https://www.mouser.com/ProductDetail/485-2880</v>
      </c>
      <c r="T480" s="121">
        <v>0</v>
      </c>
      <c r="U480" s="121">
        <v>0</v>
      </c>
      <c r="V480" s="121">
        <v>0</v>
      </c>
      <c r="W480" s="121">
        <f>MouserListTable12[[#This Row],['#/Unit]]*FilterSpecs!$C$3+MouserListTable12[[#This Row],[Extra]]</f>
        <v>0</v>
      </c>
      <c r="X480" s="121">
        <f>IF(MouserListTable12[[#This Row],[Tag]]=FilterSpecs!$F$7,MouserListTable12[[#This Row],['#/Unit]]*MouserListTable12[[#This Row],[Price (USD)]],0)</f>
        <v>0</v>
      </c>
      <c r="Y480" s="121">
        <f>MouserListTable12[[#This Row],[Tot '#]]*MouserListTable12[[#This Row],[Price (USD)]]</f>
        <v>0</v>
      </c>
      <c r="Z480"/>
    </row>
    <row r="481" spans="1:26" s="144" customFormat="1" hidden="1" x14ac:dyDescent="0.3">
      <c r="A481" s="128" t="s">
        <v>897</v>
      </c>
      <c r="B481" s="128" t="s">
        <v>2434</v>
      </c>
      <c r="C481" s="103" t="s">
        <v>1906</v>
      </c>
      <c r="D481" s="106" t="str">
        <f>IF(MouserListTable12[[#This Row],[Vendor]]=FilterSpecs!$A$8,MouserListTable12[[#This Row],[Mouser SKU]], MouserListTable12[[#This Row],[Supplier SKU]])</f>
        <v>485-261</v>
      </c>
      <c r="E481" s="121">
        <f>MouserListTable12[[#This Row],[Tot '#]]-MouserListTable12[[#This Row],['# Initial]]</f>
        <v>0</v>
      </c>
      <c r="F481" s="121">
        <f>IF(AND(MouserListTable12[[#This Row],[Tag]]&lt;&gt;FilterSpecs!$F$12, MouserListTable12[[#This Row],[Tag]]&lt;&gt;FilterSpecs!$F$9), MouserListTable12[[#This Row],['#/Unit]]*FilterSpecs!$B$3+MouserListTable12[[#This Row],[Extra Initial]],0)</f>
        <v>0</v>
      </c>
      <c r="G481" s="146"/>
      <c r="H481" s="146"/>
      <c r="I481" s="128" t="s">
        <v>2451</v>
      </c>
      <c r="J481" s="153">
        <v>101</v>
      </c>
      <c r="K481" s="159">
        <v>0.75</v>
      </c>
      <c r="L481" s="126" t="s">
        <v>1910</v>
      </c>
      <c r="M481" s="146"/>
      <c r="N481" s="157">
        <f>MouserListTable12[[#This Row],['# Initial]]*MouserListTable12[[#This Row],[Price (USD)]]</f>
        <v>0</v>
      </c>
      <c r="O481" s="153" t="s">
        <v>2452</v>
      </c>
      <c r="P481" s="103">
        <f t="shared" si="11"/>
        <v>462</v>
      </c>
      <c r="Q481" s="103" t="s">
        <v>1898</v>
      </c>
      <c r="R48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485-261</v>
      </c>
      <c r="S481" s="195" t="str">
        <f>HYPERLINK("https://www.mouser.com/ProductDetail/" &amp;MouserListTable12[[#This Row],[Mouser SKU]])</f>
        <v>https://www.mouser.com/ProductDetail/485-261</v>
      </c>
      <c r="T481" s="121">
        <v>0</v>
      </c>
      <c r="U481" s="121">
        <v>0</v>
      </c>
      <c r="V481" s="121">
        <v>0</v>
      </c>
      <c r="W481" s="121">
        <f>MouserListTable12[[#This Row],['#/Unit]]*FilterSpecs!$C$3+MouserListTable12[[#This Row],[Extra]]</f>
        <v>0</v>
      </c>
      <c r="X481" s="121">
        <f>IF(MouserListTable12[[#This Row],[Tag]]=FilterSpecs!$F$7,MouserListTable12[[#This Row],['#/Unit]]*MouserListTable12[[#This Row],[Price (USD)]],0)</f>
        <v>0</v>
      </c>
      <c r="Y481" s="121">
        <f>MouserListTable12[[#This Row],[Tot '#]]*MouserListTable12[[#This Row],[Price (USD)]]</f>
        <v>0</v>
      </c>
      <c r="Z481"/>
    </row>
    <row r="482" spans="1:26" s="144" customFormat="1" hidden="1" x14ac:dyDescent="0.3">
      <c r="A482" s="128" t="s">
        <v>897</v>
      </c>
      <c r="B482" s="128" t="s">
        <v>2434</v>
      </c>
      <c r="C482" s="103" t="s">
        <v>1906</v>
      </c>
      <c r="D482" s="106" t="str">
        <f>IF(MouserListTable12[[#This Row],[Vendor]]=FilterSpecs!$A$8,MouserListTable12[[#This Row],[Mouser SKU]], MouserListTable12[[#This Row],[Supplier SKU]])</f>
        <v>485-1769</v>
      </c>
      <c r="E482" s="121">
        <f>MouserListTable12[[#This Row],[Tot '#]]-MouserListTable12[[#This Row],['# Initial]]</f>
        <v>0</v>
      </c>
      <c r="F482" s="121">
        <f>IF(AND(MouserListTable12[[#This Row],[Tag]]&lt;&gt;FilterSpecs!$F$12, MouserListTable12[[#This Row],[Tag]]&lt;&gt;FilterSpecs!$F$9), MouserListTable12[[#This Row],['#/Unit]]*FilterSpecs!$B$3+MouserListTable12[[#This Row],[Extra Initial]],0)</f>
        <v>0</v>
      </c>
      <c r="G482" s="146"/>
      <c r="H482" s="146"/>
      <c r="I482" s="128" t="s">
        <v>2453</v>
      </c>
      <c r="J482" s="153">
        <v>102</v>
      </c>
      <c r="K482" s="159">
        <v>0.75</v>
      </c>
      <c r="L482" s="126" t="s">
        <v>1910</v>
      </c>
      <c r="M482" s="146"/>
      <c r="N482" s="157">
        <f>MouserListTable12[[#This Row],['# Initial]]*MouserListTable12[[#This Row],[Price (USD)]]</f>
        <v>0</v>
      </c>
      <c r="O482" s="153" t="s">
        <v>2146</v>
      </c>
      <c r="P482" s="103">
        <f t="shared" si="11"/>
        <v>463</v>
      </c>
      <c r="Q482" s="103" t="s">
        <v>1898</v>
      </c>
      <c r="R48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485-1769</v>
      </c>
      <c r="S482" s="195" t="str">
        <f>HYPERLINK("https://www.mouser.com/ProductDetail/" &amp;MouserListTable12[[#This Row],[Mouser SKU]])</f>
        <v>https://www.mouser.com/ProductDetail/485-1769</v>
      </c>
      <c r="T482" s="121">
        <v>0</v>
      </c>
      <c r="U482" s="121">
        <v>0</v>
      </c>
      <c r="V482" s="121">
        <v>0</v>
      </c>
      <c r="W482" s="121">
        <f>MouserListTable12[[#This Row],['#/Unit]]*FilterSpecs!$C$3+MouserListTable12[[#This Row],[Extra]]</f>
        <v>0</v>
      </c>
      <c r="X482" s="121">
        <f>IF(MouserListTable12[[#This Row],[Tag]]=FilterSpecs!$F$7,MouserListTable12[[#This Row],['#/Unit]]*MouserListTable12[[#This Row],[Price (USD)]],0)</f>
        <v>0</v>
      </c>
      <c r="Y482" s="121">
        <f>MouserListTable12[[#This Row],[Tot '#]]*MouserListTable12[[#This Row],[Price (USD)]]</f>
        <v>0</v>
      </c>
      <c r="Z482"/>
    </row>
    <row r="483" spans="1:26" s="144" customFormat="1" x14ac:dyDescent="0.3">
      <c r="A483" s="106" t="s">
        <v>897</v>
      </c>
      <c r="B483" s="106" t="s">
        <v>1883</v>
      </c>
      <c r="C483" s="103" t="s">
        <v>1906</v>
      </c>
      <c r="D483" s="106" t="str">
        <f>IF(MouserListTable12[[#This Row],[Vendor]]=FilterSpecs!$A$8,MouserListTable12[[#This Row],[Mouser SKU]], MouserListTable12[[#This Row],[Supplier SKU]])</f>
        <v>474-PRT-09918</v>
      </c>
      <c r="E483" s="121">
        <f>MouserListTable12[[#This Row],[Tot '#]]-MouserListTable12[[#This Row],['# Initial]]</f>
        <v>0</v>
      </c>
      <c r="F483" s="121">
        <f>IF(AND(MouserListTable12[[#This Row],[Tag]]&lt;&gt;FilterSpecs!$F$12, MouserListTable12[[#This Row],[Tag]]&lt;&gt;FilterSpecs!$F$9), MouserListTable12[[#This Row],['#/Unit]]*FilterSpecs!$B$3+MouserListTable12[[#This Row],[Extra Initial]],0)</f>
        <v>10</v>
      </c>
      <c r="G483" s="103" t="s">
        <v>1756</v>
      </c>
      <c r="H483" s="103" t="s">
        <v>1757</v>
      </c>
      <c r="I483" s="106" t="s">
        <v>1758</v>
      </c>
      <c r="J483" s="103"/>
      <c r="K483" s="157">
        <v>0.95</v>
      </c>
      <c r="L483" s="106" t="s">
        <v>1911</v>
      </c>
      <c r="M483" s="103"/>
      <c r="N483" s="157">
        <f>MouserListTable12[[#This Row],['# Initial]]*MouserListTable12[[#This Row],[Price (USD)]]</f>
        <v>9.5</v>
      </c>
      <c r="O483" s="106" t="s">
        <v>1755</v>
      </c>
      <c r="P483" s="103">
        <f t="shared" si="11"/>
        <v>464</v>
      </c>
      <c r="Q483" s="103" t="s">
        <v>8</v>
      </c>
      <c r="R48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474-PRT-09918</v>
      </c>
      <c r="S483" s="195" t="str">
        <f>HYPERLINK("https://www.mouser.com/ProductDetail/" &amp;MouserListTable12[[#This Row],[Mouser SKU]])</f>
        <v>https://www.mouser.com/ProductDetail/474-PRT-09918</v>
      </c>
      <c r="T483" s="121">
        <v>2</v>
      </c>
      <c r="U483" s="121">
        <v>0</v>
      </c>
      <c r="V483" s="121">
        <v>0</v>
      </c>
      <c r="W483" s="121">
        <f>MouserListTable12[[#This Row],['#/Unit]]*FilterSpecs!$C$3+MouserListTable12[[#This Row],[Extra]]</f>
        <v>10</v>
      </c>
      <c r="X483" s="121">
        <f>IF(MouserListTable12[[#This Row],[Tag]]=FilterSpecs!$F$7,MouserListTable12[[#This Row],['#/Unit]]*MouserListTable12[[#This Row],[Price (USD)]],0)</f>
        <v>1.9</v>
      </c>
      <c r="Y483" s="121">
        <f>MouserListTable12[[#This Row],[Tot '#]]*MouserListTable12[[#This Row],[Price (USD)]]</f>
        <v>9.5</v>
      </c>
      <c r="Z483"/>
    </row>
    <row r="484" spans="1:26" s="144" customFormat="1" x14ac:dyDescent="0.3">
      <c r="A484" s="106" t="s">
        <v>897</v>
      </c>
      <c r="B484" s="106" t="s">
        <v>1883</v>
      </c>
      <c r="C484" s="103" t="s">
        <v>1906</v>
      </c>
      <c r="D484" s="106" t="str">
        <f>IF(MouserListTable12[[#This Row],[Vendor]]=FilterSpecs!$A$8,MouserListTable12[[#This Row],[Mouser SKU]], MouserListTable12[[#This Row],[Supplier SKU]])</f>
        <v>474-PRT-09922</v>
      </c>
      <c r="E484" s="121">
        <f>MouserListTable12[[#This Row],[Tot '#]]-MouserListTable12[[#This Row],['# Initial]]</f>
        <v>0</v>
      </c>
      <c r="F484" s="121">
        <f>IF(AND(MouserListTable12[[#This Row],[Tag]]&lt;&gt;FilterSpecs!$F$12, MouserListTable12[[#This Row],[Tag]]&lt;&gt;FilterSpecs!$F$9), MouserListTable12[[#This Row],['#/Unit]]*FilterSpecs!$B$3+MouserListTable12[[#This Row],[Extra Initial]],0)</f>
        <v>10</v>
      </c>
      <c r="G484" s="103" t="s">
        <v>1768</v>
      </c>
      <c r="H484" s="103" t="s">
        <v>1769</v>
      </c>
      <c r="I484" s="106" t="s">
        <v>1770</v>
      </c>
      <c r="J484" s="103">
        <v>1</v>
      </c>
      <c r="K484" s="157">
        <v>1.95</v>
      </c>
      <c r="L484" s="106" t="s">
        <v>1911</v>
      </c>
      <c r="M484" s="103"/>
      <c r="N484" s="157">
        <f>MouserListTable12[[#This Row],['# Initial]]*MouserListTable12[[#This Row],[Price (USD)]]</f>
        <v>19.5</v>
      </c>
      <c r="O484" s="106" t="s">
        <v>1767</v>
      </c>
      <c r="P484" s="103">
        <f t="shared" si="11"/>
        <v>465</v>
      </c>
      <c r="Q484" s="103" t="s">
        <v>8</v>
      </c>
      <c r="R48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474-PRT-09922</v>
      </c>
      <c r="S484" s="195" t="str">
        <f>HYPERLINK("https://www.mouser.com/ProductDetail/" &amp;MouserListTable12[[#This Row],[Mouser SKU]])</f>
        <v>https://www.mouser.com/ProductDetail/474-PRT-09922</v>
      </c>
      <c r="T484" s="121">
        <v>2</v>
      </c>
      <c r="U484" s="121">
        <v>0</v>
      </c>
      <c r="V484" s="121">
        <v>0</v>
      </c>
      <c r="W484" s="121">
        <f>MouserListTable12[[#This Row],['#/Unit]]*FilterSpecs!$C$3+MouserListTable12[[#This Row],[Extra]]</f>
        <v>10</v>
      </c>
      <c r="X484" s="121">
        <f>IF(MouserListTable12[[#This Row],[Tag]]=FilterSpecs!$F$7,MouserListTable12[[#This Row],['#/Unit]]*MouserListTable12[[#This Row],[Price (USD)]],0)</f>
        <v>3.9</v>
      </c>
      <c r="Y484" s="121">
        <f>MouserListTable12[[#This Row],[Tot '#]]*MouserListTable12[[#This Row],[Price (USD)]]</f>
        <v>19.5</v>
      </c>
      <c r="Z484"/>
    </row>
    <row r="485" spans="1:26" s="144" customFormat="1" hidden="1" x14ac:dyDescent="0.3">
      <c r="A485" s="146" t="s">
        <v>897</v>
      </c>
      <c r="B485" s="146" t="s">
        <v>1608</v>
      </c>
      <c r="C485" s="103" t="s">
        <v>1906</v>
      </c>
      <c r="D485" s="106" t="str">
        <f>IF(MouserListTable12[[#This Row],[Vendor]]=FilterSpecs!$A$8,MouserListTable12[[#This Row],[Mouser SKU]], MouserListTable12[[#This Row],[Supplier SKU]])</f>
        <v>474-PRT-08614</v>
      </c>
      <c r="E485" s="121">
        <f>MouserListTable12[[#This Row],[Tot '#]]-MouserListTable12[[#This Row],['# Initial]]</f>
        <v>0</v>
      </c>
      <c r="F485" s="121">
        <f>IF(AND(MouserListTable12[[#This Row],[Tag]]&lt;&gt;FilterSpecs!$F$12, MouserListTable12[[#This Row],[Tag]]&lt;&gt;FilterSpecs!$F$9), MouserListTable12[[#This Row],['#/Unit]]*FilterSpecs!$B$3+MouserListTable12[[#This Row],[Extra Initial]],0)</f>
        <v>0</v>
      </c>
      <c r="G485" s="103" t="s">
        <v>470</v>
      </c>
      <c r="H485" s="103" t="s">
        <v>471</v>
      </c>
      <c r="I485" s="106" t="s">
        <v>472</v>
      </c>
      <c r="J485" s="103">
        <v>1</v>
      </c>
      <c r="K485" s="157">
        <v>1.5</v>
      </c>
      <c r="L485" s="106" t="s">
        <v>1910</v>
      </c>
      <c r="M485" s="103"/>
      <c r="N485" s="157">
        <f>MouserListTable12[[#This Row],['# Initial]]*MouserListTable12[[#This Row],[Price (USD)]]</f>
        <v>0</v>
      </c>
      <c r="O485" s="106" t="s">
        <v>469</v>
      </c>
      <c r="P485" s="103">
        <f t="shared" si="11"/>
        <v>466</v>
      </c>
      <c r="Q485" s="103" t="s">
        <v>8</v>
      </c>
      <c r="R48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474-PRT-08614</v>
      </c>
      <c r="S485" s="195" t="str">
        <f>HYPERLINK("https://www.mouser.com/ProductDetail/" &amp;MouserListTable12[[#This Row],[Mouser SKU]])</f>
        <v>https://www.mouser.com/ProductDetail/474-PRT-08614</v>
      </c>
      <c r="T485" s="121">
        <v>0</v>
      </c>
      <c r="U485" s="121">
        <v>0</v>
      </c>
      <c r="V485" s="121">
        <v>0</v>
      </c>
      <c r="W485" s="121">
        <f>MouserListTable12[[#This Row],['#/Unit]]*FilterSpecs!$C$3+MouserListTable12[[#This Row],[Extra]]</f>
        <v>0</v>
      </c>
      <c r="X485" s="121">
        <f>IF(MouserListTable12[[#This Row],[Tag]]=FilterSpecs!$F$7,MouserListTable12[[#This Row],['#/Unit]]*MouserListTable12[[#This Row],[Price (USD)]],0)</f>
        <v>0</v>
      </c>
      <c r="Y485" s="121">
        <f>MouserListTable12[[#This Row],[Tot '#]]*MouserListTable12[[#This Row],[Price (USD)]]</f>
        <v>0</v>
      </c>
      <c r="Z485"/>
    </row>
    <row r="486" spans="1:26" s="144" customFormat="1" hidden="1" x14ac:dyDescent="0.3">
      <c r="A486" s="146" t="s">
        <v>897</v>
      </c>
      <c r="B486" s="146" t="s">
        <v>1608</v>
      </c>
      <c r="C486" s="103" t="s">
        <v>1906</v>
      </c>
      <c r="D486" s="106" t="str">
        <f>IF(MouserListTable12[[#This Row],[Vendor]]=FilterSpecs!$A$8,MouserListTable12[[#This Row],[Mouser SKU]], MouserListTable12[[#This Row],[Supplier SKU]])</f>
        <v>474-PRT-08672</v>
      </c>
      <c r="E486" s="121">
        <f>MouserListTable12[[#This Row],[Tot '#]]-MouserListTable12[[#This Row],['# Initial]]</f>
        <v>0</v>
      </c>
      <c r="F486" s="121">
        <f>IF(AND(MouserListTable12[[#This Row],[Tag]]&lt;&gt;FilterSpecs!$F$12, MouserListTable12[[#This Row],[Tag]]&lt;&gt;FilterSpecs!$F$9), MouserListTable12[[#This Row],['#/Unit]]*FilterSpecs!$B$3+MouserListTable12[[#This Row],[Extra Initial]],0)</f>
        <v>0</v>
      </c>
      <c r="G486" s="103" t="s">
        <v>466</v>
      </c>
      <c r="H486" s="103" t="s">
        <v>467</v>
      </c>
      <c r="I486" s="106" t="s">
        <v>468</v>
      </c>
      <c r="J486" s="103">
        <v>1</v>
      </c>
      <c r="K486" s="157">
        <v>0.95</v>
      </c>
      <c r="L486" s="106" t="s">
        <v>1910</v>
      </c>
      <c r="M486" s="103"/>
      <c r="N486" s="157">
        <f>MouserListTable12[[#This Row],['# Initial]]*MouserListTable12[[#This Row],[Price (USD)]]</f>
        <v>0</v>
      </c>
      <c r="O486" s="106" t="s">
        <v>465</v>
      </c>
      <c r="P486" s="103">
        <f t="shared" si="11"/>
        <v>467</v>
      </c>
      <c r="Q486" s="103" t="s">
        <v>8</v>
      </c>
      <c r="R48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474-PRT-08672</v>
      </c>
      <c r="S486" s="195" t="str">
        <f>HYPERLINK("https://www.mouser.com/ProductDetail/" &amp;MouserListTable12[[#This Row],[Mouser SKU]])</f>
        <v>https://www.mouser.com/ProductDetail/474-PRT-08672</v>
      </c>
      <c r="T486" s="121">
        <v>0</v>
      </c>
      <c r="U486" s="121">
        <v>0</v>
      </c>
      <c r="V486" s="121">
        <v>0</v>
      </c>
      <c r="W486" s="121">
        <f>MouserListTable12[[#This Row],['#/Unit]]*FilterSpecs!$C$3+MouserListTable12[[#This Row],[Extra]]</f>
        <v>0</v>
      </c>
      <c r="X486" s="121">
        <f>IF(MouserListTable12[[#This Row],[Tag]]=FilterSpecs!$F$7,MouserListTable12[[#This Row],['#/Unit]]*MouserListTable12[[#This Row],[Price (USD)]],0)</f>
        <v>0</v>
      </c>
      <c r="Y486" s="121">
        <f>MouserListTable12[[#This Row],[Tot '#]]*MouserListTable12[[#This Row],[Price (USD)]]</f>
        <v>0</v>
      </c>
      <c r="Z486"/>
    </row>
    <row r="487" spans="1:26" s="144" customFormat="1" hidden="1" x14ac:dyDescent="0.3">
      <c r="A487" s="146" t="s">
        <v>897</v>
      </c>
      <c r="B487" s="146" t="s">
        <v>1608</v>
      </c>
      <c r="C487" s="103" t="s">
        <v>1906</v>
      </c>
      <c r="D487" s="106" t="str">
        <f>IF(MouserListTable12[[#This Row],[Vendor]]=FilterSpecs!$A$8,MouserListTable12[[#This Row],[Mouser SKU]], MouserListTable12[[#This Row],[Supplier SKU]])</f>
        <v>474-PRT-10367</v>
      </c>
      <c r="E487" s="121">
        <f>MouserListTable12[[#This Row],[Tot '#]]-MouserListTable12[[#This Row],['# Initial]]</f>
        <v>0</v>
      </c>
      <c r="F487" s="121">
        <f>IF(AND(MouserListTable12[[#This Row],[Tag]]&lt;&gt;FilterSpecs!$F$12, MouserListTable12[[#This Row],[Tag]]&lt;&gt;FilterSpecs!$F$9), MouserListTable12[[#This Row],['#/Unit]]*FilterSpecs!$B$3+MouserListTable12[[#This Row],[Extra Initial]],0)</f>
        <v>0</v>
      </c>
      <c r="G487" s="103" t="s">
        <v>588</v>
      </c>
      <c r="H487" s="103" t="s">
        <v>589</v>
      </c>
      <c r="I487" s="106" t="s">
        <v>590</v>
      </c>
      <c r="J487" s="103"/>
      <c r="K487" s="157">
        <v>1.5</v>
      </c>
      <c r="L487" s="106" t="s">
        <v>1910</v>
      </c>
      <c r="M487" s="103"/>
      <c r="N487" s="157">
        <f>MouserListTable12[[#This Row],['# Initial]]*MouserListTable12[[#This Row],[Price (USD)]]</f>
        <v>0</v>
      </c>
      <c r="O487" s="106" t="s">
        <v>587</v>
      </c>
      <c r="P487" s="103">
        <f t="shared" si="11"/>
        <v>468</v>
      </c>
      <c r="Q487" s="103" t="s">
        <v>8</v>
      </c>
      <c r="R48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474-PRT-10367</v>
      </c>
      <c r="S487" s="195" t="str">
        <f>HYPERLINK("https://www.mouser.com/ProductDetail/" &amp;MouserListTable12[[#This Row],[Mouser SKU]])</f>
        <v>https://www.mouser.com/ProductDetail/474-PRT-10367</v>
      </c>
      <c r="T487" s="121">
        <v>0</v>
      </c>
      <c r="U487" s="121">
        <v>0</v>
      </c>
      <c r="V487" s="121">
        <v>0</v>
      </c>
      <c r="W487" s="121">
        <f>MouserListTable12[[#This Row],['#/Unit]]*FilterSpecs!$C$3+MouserListTable12[[#This Row],[Extra]]</f>
        <v>0</v>
      </c>
      <c r="X487" s="121">
        <f>IF(MouserListTable12[[#This Row],[Tag]]=FilterSpecs!$F$7,MouserListTable12[[#This Row],['#/Unit]]*MouserListTable12[[#This Row],[Price (USD)]],0)</f>
        <v>0</v>
      </c>
      <c r="Y487" s="121">
        <f>MouserListTable12[[#This Row],[Tot '#]]*MouserListTable12[[#This Row],[Price (USD)]]</f>
        <v>0</v>
      </c>
      <c r="Z487"/>
    </row>
    <row r="488" spans="1:26" s="144" customFormat="1" hidden="1" x14ac:dyDescent="0.3">
      <c r="A488" s="146" t="s">
        <v>897</v>
      </c>
      <c r="B488" s="146" t="s">
        <v>1608</v>
      </c>
      <c r="C488" s="103" t="s">
        <v>1906</v>
      </c>
      <c r="D488" s="106" t="str">
        <f>IF(MouserListTable12[[#This Row],[Vendor]]=FilterSpecs!$A$8,MouserListTable12[[#This Row],[Mouser SKU]], MouserListTable12[[#This Row],[Supplier SKU]])</f>
        <v>474-PRT-10373</v>
      </c>
      <c r="E488" s="121">
        <f>MouserListTable12[[#This Row],[Tot '#]]-MouserListTable12[[#This Row],['# Initial]]</f>
        <v>0</v>
      </c>
      <c r="F488" s="121">
        <f>IF(AND(MouserListTable12[[#This Row],[Tag]]&lt;&gt;FilterSpecs!$F$12, MouserListTable12[[#This Row],[Tag]]&lt;&gt;FilterSpecs!$F$9), MouserListTable12[[#This Row],['#/Unit]]*FilterSpecs!$B$3+MouserListTable12[[#This Row],[Extra Initial]],0)</f>
        <v>0</v>
      </c>
      <c r="G488" s="103" t="s">
        <v>576</v>
      </c>
      <c r="H488" s="103" t="s">
        <v>577</v>
      </c>
      <c r="I488" s="106" t="s">
        <v>578</v>
      </c>
      <c r="J488" s="103"/>
      <c r="K488" s="157">
        <v>1.95</v>
      </c>
      <c r="L488" s="106" t="s">
        <v>1910</v>
      </c>
      <c r="M488" s="103"/>
      <c r="N488" s="157">
        <f>MouserListTable12[[#This Row],['# Initial]]*MouserListTable12[[#This Row],[Price (USD)]]</f>
        <v>0</v>
      </c>
      <c r="O488" s="106" t="s">
        <v>575</v>
      </c>
      <c r="P488" s="103">
        <f t="shared" si="11"/>
        <v>469</v>
      </c>
      <c r="Q488" s="103" t="s">
        <v>8</v>
      </c>
      <c r="R48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474-PRT-10373</v>
      </c>
      <c r="S488" s="195" t="str">
        <f>HYPERLINK("https://www.mouser.com/ProductDetail/" &amp;MouserListTable12[[#This Row],[Mouser SKU]])</f>
        <v>https://www.mouser.com/ProductDetail/474-PRT-10373</v>
      </c>
      <c r="T488" s="121">
        <v>0</v>
      </c>
      <c r="U488" s="121">
        <v>0</v>
      </c>
      <c r="V488" s="121">
        <v>0</v>
      </c>
      <c r="W488" s="121">
        <f>MouserListTable12[[#This Row],['#/Unit]]*FilterSpecs!$C$3+MouserListTable12[[#This Row],[Extra]]</f>
        <v>0</v>
      </c>
      <c r="X488" s="121">
        <f>IF(MouserListTable12[[#This Row],[Tag]]=FilterSpecs!$F$7,MouserListTable12[[#This Row],['#/Unit]]*MouserListTable12[[#This Row],[Price (USD)]],0)</f>
        <v>0</v>
      </c>
      <c r="Y488" s="121">
        <f>MouserListTable12[[#This Row],[Tot '#]]*MouserListTable12[[#This Row],[Price (USD)]]</f>
        <v>0</v>
      </c>
      <c r="Z488"/>
    </row>
    <row r="489" spans="1:26" s="144" customFormat="1" hidden="1" x14ac:dyDescent="0.3">
      <c r="A489" s="146" t="s">
        <v>897</v>
      </c>
      <c r="B489" s="146" t="s">
        <v>1608</v>
      </c>
      <c r="C489" s="103" t="s">
        <v>1906</v>
      </c>
      <c r="D489" s="106" t="str">
        <f>IF(MouserListTable12[[#This Row],[Vendor]]=FilterSpecs!$A$8,MouserListTable12[[#This Row],[Mouser SKU]], MouserListTable12[[#This Row],[Supplier SKU]])</f>
        <v>474-PRT-13164</v>
      </c>
      <c r="E489" s="121">
        <f>MouserListTable12[[#This Row],[Tot '#]]-MouserListTable12[[#This Row],['# Initial]]</f>
        <v>0</v>
      </c>
      <c r="F489" s="121">
        <f>IF(AND(MouserListTable12[[#This Row],[Tag]]&lt;&gt;FilterSpecs!$F$12, MouserListTable12[[#This Row],[Tag]]&lt;&gt;FilterSpecs!$F$9), MouserListTable12[[#This Row],['#/Unit]]*FilterSpecs!$B$3+MouserListTable12[[#This Row],[Extra Initial]],0)</f>
        <v>0</v>
      </c>
      <c r="G489" s="103" t="s">
        <v>540</v>
      </c>
      <c r="H489" s="103" t="s">
        <v>541</v>
      </c>
      <c r="I489" s="106" t="s">
        <v>542</v>
      </c>
      <c r="J489" s="103">
        <v>1</v>
      </c>
      <c r="K489" s="157">
        <v>1.5</v>
      </c>
      <c r="L489" s="106" t="s">
        <v>1910</v>
      </c>
      <c r="M489" s="103"/>
      <c r="N489" s="157">
        <f>MouserListTable12[[#This Row],['# Initial]]*MouserListTable12[[#This Row],[Price (USD)]]</f>
        <v>0</v>
      </c>
      <c r="O489" s="106" t="s">
        <v>539</v>
      </c>
      <c r="P489" s="103">
        <f t="shared" si="11"/>
        <v>470</v>
      </c>
      <c r="Q489" s="103" t="s">
        <v>8</v>
      </c>
      <c r="R48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474-PRT-13164</v>
      </c>
      <c r="S489" s="195" t="str">
        <f>HYPERLINK("https://www.mouser.com/ProductDetail/" &amp;MouserListTable12[[#This Row],[Mouser SKU]])</f>
        <v>https://www.mouser.com/ProductDetail/474-PRT-13164</v>
      </c>
      <c r="T489" s="121">
        <v>0</v>
      </c>
      <c r="U489" s="121">
        <v>0</v>
      </c>
      <c r="V489" s="121">
        <v>0</v>
      </c>
      <c r="W489" s="121">
        <f>MouserListTable12[[#This Row],['#/Unit]]*FilterSpecs!$C$3+MouserListTable12[[#This Row],[Extra]]</f>
        <v>0</v>
      </c>
      <c r="X489" s="121">
        <f>IF(MouserListTable12[[#This Row],[Tag]]=FilterSpecs!$F$7,MouserListTable12[[#This Row],['#/Unit]]*MouserListTable12[[#This Row],[Price (USD)]],0)</f>
        <v>0</v>
      </c>
      <c r="Y489" s="121">
        <f>MouserListTable12[[#This Row],[Tot '#]]*MouserListTable12[[#This Row],[Price (USD)]]</f>
        <v>0</v>
      </c>
      <c r="Z489"/>
    </row>
    <row r="490" spans="1:26" s="144" customFormat="1" hidden="1" x14ac:dyDescent="0.3">
      <c r="A490" s="146" t="s">
        <v>897</v>
      </c>
      <c r="B490" s="146" t="s">
        <v>1608</v>
      </c>
      <c r="C490" s="103" t="s">
        <v>1906</v>
      </c>
      <c r="D490" s="106" t="str">
        <f>IF(MouserListTable12[[#This Row],[Vendor]]=FilterSpecs!$A$8,MouserListTable12[[#This Row],[Mouser SKU]], MouserListTable12[[#This Row],[Supplier SKU]])</f>
        <v>474-PRT-10369</v>
      </c>
      <c r="E490" s="121">
        <f>MouserListTable12[[#This Row],[Tot '#]]-MouserListTable12[[#This Row],['# Initial]]</f>
        <v>0</v>
      </c>
      <c r="F490" s="121">
        <f>IF(AND(MouserListTable12[[#This Row],[Tag]]&lt;&gt;FilterSpecs!$F$12, MouserListTable12[[#This Row],[Tag]]&lt;&gt;FilterSpecs!$F$9), MouserListTable12[[#This Row],['#/Unit]]*FilterSpecs!$B$3+MouserListTable12[[#This Row],[Extra Initial]],0)</f>
        <v>0</v>
      </c>
      <c r="G490" s="103" t="s">
        <v>500</v>
      </c>
      <c r="H490" s="103" t="s">
        <v>501</v>
      </c>
      <c r="I490" s="106" t="s">
        <v>502</v>
      </c>
      <c r="J490" s="103"/>
      <c r="K490" s="157">
        <v>1.5</v>
      </c>
      <c r="L490" s="106" t="s">
        <v>1910</v>
      </c>
      <c r="M490" s="103"/>
      <c r="N490" s="157">
        <f>MouserListTable12[[#This Row],['# Initial]]*MouserListTable12[[#This Row],[Price (USD)]]</f>
        <v>0</v>
      </c>
      <c r="O490" s="106" t="s">
        <v>499</v>
      </c>
      <c r="P490" s="103">
        <f t="shared" si="11"/>
        <v>471</v>
      </c>
      <c r="Q490" s="103" t="s">
        <v>8</v>
      </c>
      <c r="R49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474-PRT-10369</v>
      </c>
      <c r="S490" s="195" t="str">
        <f>HYPERLINK("https://www.mouser.com/ProductDetail/" &amp;MouserListTable12[[#This Row],[Mouser SKU]])</f>
        <v>https://www.mouser.com/ProductDetail/474-PRT-10369</v>
      </c>
      <c r="T490" s="121">
        <v>0</v>
      </c>
      <c r="U490" s="121">
        <v>0</v>
      </c>
      <c r="V490" s="121">
        <v>0</v>
      </c>
      <c r="W490" s="121">
        <f>MouserListTable12[[#This Row],['#/Unit]]*FilterSpecs!$C$3+MouserListTable12[[#This Row],[Extra]]</f>
        <v>0</v>
      </c>
      <c r="X490" s="121">
        <f>IF(MouserListTable12[[#This Row],[Tag]]=FilterSpecs!$F$7,MouserListTable12[[#This Row],['#/Unit]]*MouserListTable12[[#This Row],[Price (USD)]],0)</f>
        <v>0</v>
      </c>
      <c r="Y490" s="121">
        <f>MouserListTable12[[#This Row],[Tot '#]]*MouserListTable12[[#This Row],[Price (USD)]]</f>
        <v>0</v>
      </c>
      <c r="Z490"/>
    </row>
    <row r="491" spans="1:26" s="144" customFormat="1" hidden="1" x14ac:dyDescent="0.3">
      <c r="A491" s="146" t="s">
        <v>897</v>
      </c>
      <c r="B491" s="146" t="s">
        <v>1608</v>
      </c>
      <c r="C491" s="103" t="s">
        <v>1906</v>
      </c>
      <c r="D491" s="106" t="str">
        <f>IF(MouserListTable12[[#This Row],[Vendor]]=FilterSpecs!$A$8,MouserListTable12[[#This Row],[Mouser SKU]], MouserListTable12[[#This Row],[Supplier SKU]])</f>
        <v>474-PRT-10370</v>
      </c>
      <c r="E491" s="121">
        <f>MouserListTable12[[#This Row],[Tot '#]]-MouserListTable12[[#This Row],['# Initial]]</f>
        <v>0</v>
      </c>
      <c r="F491" s="121">
        <f>IF(AND(MouserListTable12[[#This Row],[Tag]]&lt;&gt;FilterSpecs!$F$12, MouserListTable12[[#This Row],[Tag]]&lt;&gt;FilterSpecs!$F$9), MouserListTable12[[#This Row],['#/Unit]]*FilterSpecs!$B$3+MouserListTable12[[#This Row],[Extra Initial]],0)</f>
        <v>0</v>
      </c>
      <c r="G491" s="103" t="s">
        <v>536</v>
      </c>
      <c r="H491" s="103" t="s">
        <v>537</v>
      </c>
      <c r="I491" s="106" t="s">
        <v>538</v>
      </c>
      <c r="J491" s="103"/>
      <c r="K491" s="157">
        <v>1.5</v>
      </c>
      <c r="L491" s="106" t="s">
        <v>1910</v>
      </c>
      <c r="M491" s="103"/>
      <c r="N491" s="157">
        <f>MouserListTable12[[#This Row],['# Initial]]*MouserListTable12[[#This Row],[Price (USD)]]</f>
        <v>0</v>
      </c>
      <c r="O491" s="106" t="s">
        <v>535</v>
      </c>
      <c r="P491" s="103">
        <f t="shared" si="11"/>
        <v>472</v>
      </c>
      <c r="Q491" s="103" t="s">
        <v>8</v>
      </c>
      <c r="R49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474-PRT-10370</v>
      </c>
      <c r="S491" s="195" t="str">
        <f>HYPERLINK("https://www.mouser.com/ProductDetail/" &amp;MouserListTable12[[#This Row],[Mouser SKU]])</f>
        <v>https://www.mouser.com/ProductDetail/474-PRT-10370</v>
      </c>
      <c r="T491" s="121">
        <v>0</v>
      </c>
      <c r="U491" s="121">
        <v>0</v>
      </c>
      <c r="V491" s="121">
        <v>0</v>
      </c>
      <c r="W491" s="121">
        <f>MouserListTable12[[#This Row],['#/Unit]]*FilterSpecs!$C$3+MouserListTable12[[#This Row],[Extra]]</f>
        <v>0</v>
      </c>
      <c r="X491" s="121">
        <f>IF(MouserListTable12[[#This Row],[Tag]]=FilterSpecs!$F$7,MouserListTable12[[#This Row],['#/Unit]]*MouserListTable12[[#This Row],[Price (USD)]],0)</f>
        <v>0</v>
      </c>
      <c r="Y491" s="121">
        <f>MouserListTable12[[#This Row],[Tot '#]]*MouserListTable12[[#This Row],[Price (USD)]]</f>
        <v>0</v>
      </c>
      <c r="Z491"/>
    </row>
    <row r="492" spans="1:26" s="144" customFormat="1" hidden="1" x14ac:dyDescent="0.3">
      <c r="A492" s="146" t="s">
        <v>897</v>
      </c>
      <c r="B492" s="146" t="s">
        <v>1608</v>
      </c>
      <c r="C492" s="103" t="s">
        <v>1906</v>
      </c>
      <c r="D492" s="106" t="str">
        <f>IF(MouserListTable12[[#This Row],[Vendor]]=FilterSpecs!$A$8,MouserListTable12[[#This Row],[Mouser SKU]], MouserListTable12[[#This Row],[Supplier SKU]])</f>
        <v>474-PRT-10376</v>
      </c>
      <c r="E492" s="121">
        <f>MouserListTable12[[#This Row],[Tot '#]]-MouserListTable12[[#This Row],['# Initial]]</f>
        <v>0</v>
      </c>
      <c r="F492" s="121">
        <f>IF(AND(MouserListTable12[[#This Row],[Tag]]&lt;&gt;FilterSpecs!$F$12, MouserListTable12[[#This Row],[Tag]]&lt;&gt;FilterSpecs!$F$9), MouserListTable12[[#This Row],['#/Unit]]*FilterSpecs!$B$3+MouserListTable12[[#This Row],[Extra Initial]],0)</f>
        <v>0</v>
      </c>
      <c r="G492" s="103" t="s">
        <v>504</v>
      </c>
      <c r="H492" s="103" t="s">
        <v>505</v>
      </c>
      <c r="I492" s="106" t="s">
        <v>506</v>
      </c>
      <c r="J492" s="103"/>
      <c r="K492" s="157">
        <v>1.95</v>
      </c>
      <c r="L492" s="106" t="s">
        <v>1910</v>
      </c>
      <c r="M492" s="103"/>
      <c r="N492" s="157">
        <f>MouserListTable12[[#This Row],['# Initial]]*MouserListTable12[[#This Row],[Price (USD)]]</f>
        <v>0</v>
      </c>
      <c r="O492" s="106" t="s">
        <v>503</v>
      </c>
      <c r="P492" s="103">
        <f t="shared" si="11"/>
        <v>473</v>
      </c>
      <c r="Q492" s="103" t="s">
        <v>8</v>
      </c>
      <c r="R49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474-PRT-10376</v>
      </c>
      <c r="S492" s="195" t="str">
        <f>HYPERLINK("https://www.mouser.com/ProductDetail/" &amp;MouserListTable12[[#This Row],[Mouser SKU]])</f>
        <v>https://www.mouser.com/ProductDetail/474-PRT-10376</v>
      </c>
      <c r="T492" s="121">
        <v>0</v>
      </c>
      <c r="U492" s="121">
        <v>0</v>
      </c>
      <c r="V492" s="121">
        <v>0</v>
      </c>
      <c r="W492" s="121">
        <f>MouserListTable12[[#This Row],['#/Unit]]*FilterSpecs!$C$3+MouserListTable12[[#This Row],[Extra]]</f>
        <v>0</v>
      </c>
      <c r="X492" s="121">
        <f>IF(MouserListTable12[[#This Row],[Tag]]=FilterSpecs!$F$7,MouserListTable12[[#This Row],['#/Unit]]*MouserListTable12[[#This Row],[Price (USD)]],0)</f>
        <v>0</v>
      </c>
      <c r="Y492" s="121">
        <f>MouserListTable12[[#This Row],[Tot '#]]*MouserListTable12[[#This Row],[Price (USD)]]</f>
        <v>0</v>
      </c>
      <c r="Z492"/>
    </row>
    <row r="493" spans="1:26" s="144" customFormat="1" hidden="1" x14ac:dyDescent="0.3">
      <c r="A493" s="146" t="s">
        <v>897</v>
      </c>
      <c r="B493" s="146" t="s">
        <v>1608</v>
      </c>
      <c r="C493" s="103" t="s">
        <v>1906</v>
      </c>
      <c r="D493" s="106" t="str">
        <f>IF(MouserListTable12[[#This Row],[Vendor]]=FilterSpecs!$A$8,MouserListTable12[[#This Row],[Mouser SKU]], MouserListTable12[[#This Row],[Supplier SKU]])</f>
        <v>474-PRT-10371</v>
      </c>
      <c r="E493" s="121">
        <f>MouserListTable12[[#This Row],[Tot '#]]-MouserListTable12[[#This Row],['# Initial]]</f>
        <v>0</v>
      </c>
      <c r="F493" s="121">
        <f>IF(AND(MouserListTable12[[#This Row],[Tag]]&lt;&gt;FilterSpecs!$F$12, MouserListTable12[[#This Row],[Tag]]&lt;&gt;FilterSpecs!$F$9), MouserListTable12[[#This Row],['#/Unit]]*FilterSpecs!$B$3+MouserListTable12[[#This Row],[Extra Initial]],0)</f>
        <v>0</v>
      </c>
      <c r="G493" s="103" t="s">
        <v>508</v>
      </c>
      <c r="H493" s="103" t="s">
        <v>509</v>
      </c>
      <c r="I493" s="106" t="s">
        <v>510</v>
      </c>
      <c r="J493" s="103"/>
      <c r="K493" s="157">
        <v>1.5</v>
      </c>
      <c r="L493" s="106" t="s">
        <v>1910</v>
      </c>
      <c r="M493" s="103"/>
      <c r="N493" s="157">
        <f>MouserListTable12[[#This Row],['# Initial]]*MouserListTable12[[#This Row],[Price (USD)]]</f>
        <v>0</v>
      </c>
      <c r="O493" s="106" t="s">
        <v>507</v>
      </c>
      <c r="P493" s="103">
        <f t="shared" si="11"/>
        <v>474</v>
      </c>
      <c r="Q493" s="103" t="s">
        <v>8</v>
      </c>
      <c r="R49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474-PRT-10371</v>
      </c>
      <c r="S493" s="195" t="str">
        <f>HYPERLINK("https://www.mouser.com/ProductDetail/" &amp;MouserListTable12[[#This Row],[Mouser SKU]])</f>
        <v>https://www.mouser.com/ProductDetail/474-PRT-10371</v>
      </c>
      <c r="T493" s="121">
        <v>0</v>
      </c>
      <c r="U493" s="121">
        <v>0</v>
      </c>
      <c r="V493" s="121">
        <v>0</v>
      </c>
      <c r="W493" s="121">
        <f>MouserListTable12[[#This Row],['#/Unit]]*FilterSpecs!$C$3+MouserListTable12[[#This Row],[Extra]]</f>
        <v>0</v>
      </c>
      <c r="X493" s="121">
        <f>IF(MouserListTable12[[#This Row],[Tag]]=FilterSpecs!$F$7,MouserListTable12[[#This Row],['#/Unit]]*MouserListTable12[[#This Row],[Price (USD)]],0)</f>
        <v>0</v>
      </c>
      <c r="Y493" s="121">
        <f>MouserListTable12[[#This Row],[Tot '#]]*MouserListTable12[[#This Row],[Price (USD)]]</f>
        <v>0</v>
      </c>
      <c r="Z493"/>
    </row>
    <row r="494" spans="1:26" s="144" customFormat="1" hidden="1" x14ac:dyDescent="0.3">
      <c r="A494" s="146" t="s">
        <v>897</v>
      </c>
      <c r="B494" s="146" t="s">
        <v>1608</v>
      </c>
      <c r="C494" s="103" t="s">
        <v>1906</v>
      </c>
      <c r="D494" s="106" t="str">
        <f>IF(MouserListTable12[[#This Row],[Vendor]]=FilterSpecs!$A$8,MouserListTable12[[#This Row],[Mouser SKU]], MouserListTable12[[#This Row],[Supplier SKU]])</f>
        <v>474-PRT-12796</v>
      </c>
      <c r="E494" s="121">
        <f>MouserListTable12[[#This Row],[Tot '#]]-MouserListTable12[[#This Row],['# Initial]]</f>
        <v>0</v>
      </c>
      <c r="F494" s="121">
        <f>IF(AND(MouserListTable12[[#This Row],[Tag]]&lt;&gt;FilterSpecs!$F$12, MouserListTable12[[#This Row],[Tag]]&lt;&gt;FilterSpecs!$F$9), MouserListTable12[[#This Row],['#/Unit]]*FilterSpecs!$B$3+MouserListTable12[[#This Row],[Extra Initial]],0)</f>
        <v>0</v>
      </c>
      <c r="G494" s="103" t="s">
        <v>548</v>
      </c>
      <c r="H494" s="103" t="s">
        <v>549</v>
      </c>
      <c r="I494" s="106" t="s">
        <v>550</v>
      </c>
      <c r="J494" s="103">
        <v>1</v>
      </c>
      <c r="K494" s="157">
        <v>1.95</v>
      </c>
      <c r="L494" s="106" t="s">
        <v>1910</v>
      </c>
      <c r="M494" s="103"/>
      <c r="N494" s="157">
        <f>MouserListTable12[[#This Row],['# Initial]]*MouserListTable12[[#This Row],[Price (USD)]]</f>
        <v>0</v>
      </c>
      <c r="O494" s="106" t="s">
        <v>547</v>
      </c>
      <c r="P494" s="103">
        <f t="shared" si="11"/>
        <v>475</v>
      </c>
      <c r="Q494" s="103" t="s">
        <v>8</v>
      </c>
      <c r="R49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474-PRT-12796</v>
      </c>
      <c r="S494" s="195" t="str">
        <f>HYPERLINK("https://www.mouser.com/ProductDetail/" &amp;MouserListTable12[[#This Row],[Mouser SKU]])</f>
        <v>https://www.mouser.com/ProductDetail/474-PRT-12796</v>
      </c>
      <c r="T494" s="121">
        <v>0</v>
      </c>
      <c r="U494" s="121">
        <v>0</v>
      </c>
      <c r="V494" s="121">
        <v>0</v>
      </c>
      <c r="W494" s="121">
        <f>MouserListTable12[[#This Row],['#/Unit]]*FilterSpecs!$C$3+MouserListTable12[[#This Row],[Extra]]</f>
        <v>0</v>
      </c>
      <c r="X494" s="121">
        <f>IF(MouserListTable12[[#This Row],[Tag]]=FilterSpecs!$F$7,MouserListTable12[[#This Row],['#/Unit]]*MouserListTable12[[#This Row],[Price (USD)]],0)</f>
        <v>0</v>
      </c>
      <c r="Y494" s="121">
        <f>MouserListTable12[[#This Row],[Tot '#]]*MouserListTable12[[#This Row],[Price (USD)]]</f>
        <v>0</v>
      </c>
      <c r="Z494"/>
    </row>
    <row r="495" spans="1:26" s="144" customFormat="1" hidden="1" x14ac:dyDescent="0.3">
      <c r="A495" s="146" t="s">
        <v>897</v>
      </c>
      <c r="B495" s="146" t="s">
        <v>1608</v>
      </c>
      <c r="C495" s="103" t="s">
        <v>1906</v>
      </c>
      <c r="D495" s="106" t="str">
        <f>IF(MouserListTable12[[#This Row],[Vendor]]=FilterSpecs!$A$8,MouserListTable12[[#This Row],[Mouser SKU]], MouserListTable12[[#This Row],[Supplier SKU]])</f>
        <v>474-PRT-11710</v>
      </c>
      <c r="E495" s="121">
        <f>MouserListTable12[[#This Row],[Tot '#]]-MouserListTable12[[#This Row],['# Initial]]</f>
        <v>0</v>
      </c>
      <c r="F495" s="121">
        <f>IF(AND(MouserListTable12[[#This Row],[Tag]]&lt;&gt;FilterSpecs!$F$12, MouserListTable12[[#This Row],[Tag]]&lt;&gt;FilterSpecs!$F$9), MouserListTable12[[#This Row],['#/Unit]]*FilterSpecs!$B$3+MouserListTable12[[#This Row],[Extra Initial]],0)</f>
        <v>0</v>
      </c>
      <c r="G495" s="103" t="s">
        <v>552</v>
      </c>
      <c r="H495" s="103" t="s">
        <v>553</v>
      </c>
      <c r="I495" s="106" t="s">
        <v>554</v>
      </c>
      <c r="J495" s="103">
        <v>1</v>
      </c>
      <c r="K495" s="157">
        <v>4.95</v>
      </c>
      <c r="L495" s="106" t="s">
        <v>1910</v>
      </c>
      <c r="M495" s="103"/>
      <c r="N495" s="157">
        <f>MouserListTable12[[#This Row],['# Initial]]*MouserListTable12[[#This Row],[Price (USD)]]</f>
        <v>0</v>
      </c>
      <c r="O495" s="106" t="s">
        <v>551</v>
      </c>
      <c r="P495" s="103">
        <f t="shared" si="11"/>
        <v>476</v>
      </c>
      <c r="Q495" s="103" t="s">
        <v>8</v>
      </c>
      <c r="R49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474-PRT-11710</v>
      </c>
      <c r="S495" s="195" t="str">
        <f>HYPERLINK("https://www.mouser.com/ProductDetail/" &amp;MouserListTable12[[#This Row],[Mouser SKU]])</f>
        <v>https://www.mouser.com/ProductDetail/474-PRT-11710</v>
      </c>
      <c r="T495" s="121">
        <v>0</v>
      </c>
      <c r="U495" s="121">
        <v>0</v>
      </c>
      <c r="V495" s="121">
        <v>0</v>
      </c>
      <c r="W495" s="121">
        <f>MouserListTable12[[#This Row],['#/Unit]]*FilterSpecs!$C$3+MouserListTable12[[#This Row],[Extra]]</f>
        <v>0</v>
      </c>
      <c r="X495" s="121">
        <f>IF(MouserListTable12[[#This Row],[Tag]]=FilterSpecs!$F$7,MouserListTable12[[#This Row],['#/Unit]]*MouserListTable12[[#This Row],[Price (USD)]],0)</f>
        <v>0</v>
      </c>
      <c r="Y495" s="121">
        <f>MouserListTable12[[#This Row],[Tot '#]]*MouserListTable12[[#This Row],[Price (USD)]]</f>
        <v>0</v>
      </c>
      <c r="Z495"/>
    </row>
    <row r="496" spans="1:26" s="144" customFormat="1" hidden="1" x14ac:dyDescent="0.3">
      <c r="A496" s="146" t="s">
        <v>897</v>
      </c>
      <c r="B496" s="146" t="s">
        <v>1608</v>
      </c>
      <c r="C496" s="103" t="s">
        <v>1906</v>
      </c>
      <c r="D496" s="106" t="str">
        <f>IF(MouserListTable12[[#This Row],[Vendor]]=FilterSpecs!$A$8,MouserListTable12[[#This Row],[Mouser SKU]], MouserListTable12[[#This Row],[Supplier SKU]])</f>
        <v>474-PRT-09389</v>
      </c>
      <c r="E496" s="121">
        <f>MouserListTable12[[#This Row],[Tot '#]]-MouserListTable12[[#This Row],['# Initial]]</f>
        <v>0</v>
      </c>
      <c r="F496" s="121">
        <f>IF(AND(MouserListTable12[[#This Row],[Tag]]&lt;&gt;FilterSpecs!$F$12, MouserListTable12[[#This Row],[Tag]]&lt;&gt;FilterSpecs!$F$9), MouserListTable12[[#This Row],['#/Unit]]*FilterSpecs!$B$3+MouserListTable12[[#This Row],[Extra Initial]],0)</f>
        <v>0</v>
      </c>
      <c r="G496" s="103" t="s">
        <v>600</v>
      </c>
      <c r="H496" s="103" t="s">
        <v>601</v>
      </c>
      <c r="I496" s="106" t="s">
        <v>602</v>
      </c>
      <c r="J496" s="103">
        <v>1</v>
      </c>
      <c r="K496" s="157">
        <v>4.5</v>
      </c>
      <c r="L496" s="106" t="s">
        <v>1910</v>
      </c>
      <c r="M496" s="103"/>
      <c r="N496" s="157">
        <f>MouserListTable12[[#This Row],['# Initial]]*MouserListTable12[[#This Row],[Price (USD)]]</f>
        <v>0</v>
      </c>
      <c r="O496" s="106" t="s">
        <v>599</v>
      </c>
      <c r="P496" s="103">
        <f t="shared" si="11"/>
        <v>477</v>
      </c>
      <c r="Q496" s="103" t="s">
        <v>8</v>
      </c>
      <c r="R49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474-PRT-09389</v>
      </c>
      <c r="S496" s="195" t="str">
        <f>HYPERLINK("https://www.mouser.com/ProductDetail/" &amp;MouserListTable12[[#This Row],[Mouser SKU]])</f>
        <v>https://www.mouser.com/ProductDetail/474-PRT-09389</v>
      </c>
      <c r="T496" s="121">
        <v>0</v>
      </c>
      <c r="U496" s="121">
        <v>0</v>
      </c>
      <c r="V496" s="121">
        <v>0</v>
      </c>
      <c r="W496" s="121">
        <f>MouserListTable12[[#This Row],['#/Unit]]*FilterSpecs!$C$3+MouserListTable12[[#This Row],[Extra]]</f>
        <v>0</v>
      </c>
      <c r="X496" s="121">
        <f>IF(MouserListTable12[[#This Row],[Tag]]=FilterSpecs!$F$7,MouserListTable12[[#This Row],['#/Unit]]*MouserListTable12[[#This Row],[Price (USD)]],0)</f>
        <v>0</v>
      </c>
      <c r="Y496" s="121">
        <f>MouserListTable12[[#This Row],[Tot '#]]*MouserListTable12[[#This Row],[Price (USD)]]</f>
        <v>0</v>
      </c>
      <c r="Z496"/>
    </row>
    <row r="497" spans="1:26" s="144" customFormat="1" hidden="1" x14ac:dyDescent="0.3">
      <c r="A497" s="146" t="s">
        <v>897</v>
      </c>
      <c r="B497" s="146" t="s">
        <v>1608</v>
      </c>
      <c r="C497" s="103" t="s">
        <v>1906</v>
      </c>
      <c r="D497" s="106" t="str">
        <f>IF(MouserListTable12[[#This Row],[Vendor]]=FilterSpecs!$A$8,MouserListTable12[[#This Row],[Mouser SKU]], MouserListTable12[[#This Row],[Supplier SKU]])</f>
        <v>474-PRT-09140</v>
      </c>
      <c r="E497" s="121">
        <f>MouserListTable12[[#This Row],[Tot '#]]-MouserListTable12[[#This Row],['# Initial]]</f>
        <v>0</v>
      </c>
      <c r="F497" s="121">
        <f>IF(AND(MouserListTable12[[#This Row],[Tag]]&lt;&gt;FilterSpecs!$F$12, MouserListTable12[[#This Row],[Tag]]&lt;&gt;FilterSpecs!$F$9), MouserListTable12[[#This Row],['#/Unit]]*FilterSpecs!$B$3+MouserListTable12[[#This Row],[Extra Initial]],0)</f>
        <v>0</v>
      </c>
      <c r="G497" s="103" t="s">
        <v>560</v>
      </c>
      <c r="H497" s="103" t="s">
        <v>561</v>
      </c>
      <c r="I497" s="106" t="s">
        <v>562</v>
      </c>
      <c r="J497" s="103">
        <v>1</v>
      </c>
      <c r="K497" s="157">
        <v>3.95</v>
      </c>
      <c r="L497" s="106" t="s">
        <v>1910</v>
      </c>
      <c r="M497" s="103"/>
      <c r="N497" s="157">
        <f>MouserListTable12[[#This Row],['# Initial]]*MouserListTable12[[#This Row],[Price (USD)]]</f>
        <v>0</v>
      </c>
      <c r="O497" s="106" t="s">
        <v>559</v>
      </c>
      <c r="P497" s="103">
        <f t="shared" si="11"/>
        <v>478</v>
      </c>
      <c r="Q497" s="103" t="s">
        <v>8</v>
      </c>
      <c r="R49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474-PRT-09140</v>
      </c>
      <c r="S497" s="195" t="str">
        <f>HYPERLINK("https://www.mouser.com/ProductDetail/" &amp;MouserListTable12[[#This Row],[Mouser SKU]])</f>
        <v>https://www.mouser.com/ProductDetail/474-PRT-09140</v>
      </c>
      <c r="T497" s="121">
        <v>0</v>
      </c>
      <c r="U497" s="121">
        <v>0</v>
      </c>
      <c r="V497" s="121">
        <v>0</v>
      </c>
      <c r="W497" s="121">
        <f>MouserListTable12[[#This Row],['#/Unit]]*FilterSpecs!$C$3+MouserListTable12[[#This Row],[Extra]]</f>
        <v>0</v>
      </c>
      <c r="X497" s="121">
        <f>IF(MouserListTable12[[#This Row],[Tag]]=FilterSpecs!$F$7,MouserListTable12[[#This Row],['#/Unit]]*MouserListTable12[[#This Row],[Price (USD)]],0)</f>
        <v>0</v>
      </c>
      <c r="Y497" s="121">
        <f>MouserListTable12[[#This Row],[Tot '#]]*MouserListTable12[[#This Row],[Price (USD)]]</f>
        <v>0</v>
      </c>
      <c r="Z497"/>
    </row>
    <row r="498" spans="1:26" s="144" customFormat="1" hidden="1" x14ac:dyDescent="0.3">
      <c r="A498" s="146" t="s">
        <v>897</v>
      </c>
      <c r="B498" s="146" t="s">
        <v>1608</v>
      </c>
      <c r="C498" s="103" t="s">
        <v>1906</v>
      </c>
      <c r="D498" s="106" t="str">
        <f>IF(MouserListTable12[[#This Row],[Vendor]]=FilterSpecs!$A$8,MouserListTable12[[#This Row],[Mouser SKU]], MouserListTable12[[#This Row],[Supplier SKU]])</f>
        <v>474-PRT-09385</v>
      </c>
      <c r="E498" s="121">
        <f>MouserListTable12[[#This Row],[Tot '#]]-MouserListTable12[[#This Row],['# Initial]]</f>
        <v>0</v>
      </c>
      <c r="F498" s="121">
        <f>IF(AND(MouserListTable12[[#This Row],[Tag]]&lt;&gt;FilterSpecs!$F$12, MouserListTable12[[#This Row],[Tag]]&lt;&gt;FilterSpecs!$F$9), MouserListTable12[[#This Row],['#/Unit]]*FilterSpecs!$B$3+MouserListTable12[[#This Row],[Extra Initial]],0)</f>
        <v>0</v>
      </c>
      <c r="G498" s="103" t="s">
        <v>568</v>
      </c>
      <c r="H498" s="103" t="s">
        <v>569</v>
      </c>
      <c r="I498" s="106" t="s">
        <v>570</v>
      </c>
      <c r="J498" s="103">
        <v>1</v>
      </c>
      <c r="K498" s="157">
        <v>4.5</v>
      </c>
      <c r="L498" s="106" t="s">
        <v>1910</v>
      </c>
      <c r="M498" s="103"/>
      <c r="N498" s="157">
        <f>MouserListTable12[[#This Row],['# Initial]]*MouserListTable12[[#This Row],[Price (USD)]]</f>
        <v>0</v>
      </c>
      <c r="O498" s="106" t="s">
        <v>567</v>
      </c>
      <c r="P498" s="103">
        <f t="shared" si="11"/>
        <v>479</v>
      </c>
      <c r="Q498" s="103" t="s">
        <v>8</v>
      </c>
      <c r="R49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474-PRT-09385</v>
      </c>
      <c r="S498" s="195" t="str">
        <f>HYPERLINK("https://www.mouser.com/ProductDetail/" &amp;MouserListTable12[[#This Row],[Mouser SKU]])</f>
        <v>https://www.mouser.com/ProductDetail/474-PRT-09385</v>
      </c>
      <c r="T498" s="121">
        <v>0</v>
      </c>
      <c r="U498" s="121">
        <v>0</v>
      </c>
      <c r="V498" s="121">
        <v>0</v>
      </c>
      <c r="W498" s="121">
        <f>MouserListTable12[[#This Row],['#/Unit]]*FilterSpecs!$C$3+MouserListTable12[[#This Row],[Extra]]</f>
        <v>0</v>
      </c>
      <c r="X498" s="121">
        <f>IF(MouserListTable12[[#This Row],[Tag]]=FilterSpecs!$F$7,MouserListTable12[[#This Row],['#/Unit]]*MouserListTable12[[#This Row],[Price (USD)]],0)</f>
        <v>0</v>
      </c>
      <c r="Y498" s="121">
        <f>MouserListTable12[[#This Row],[Tot '#]]*MouserListTable12[[#This Row],[Price (USD)]]</f>
        <v>0</v>
      </c>
      <c r="Z498"/>
    </row>
    <row r="499" spans="1:26" s="144" customFormat="1" hidden="1" x14ac:dyDescent="0.3">
      <c r="A499" s="146" t="s">
        <v>897</v>
      </c>
      <c r="B499" s="146" t="s">
        <v>1608</v>
      </c>
      <c r="C499" s="103" t="s">
        <v>1906</v>
      </c>
      <c r="D499" s="106" t="str">
        <f>IF(MouserListTable12[[#This Row],[Vendor]]=FilterSpecs!$A$8,MouserListTable12[[#This Row],[Mouser SKU]], MouserListTable12[[#This Row],[Supplier SKU]])</f>
        <v>474-PRT-14284</v>
      </c>
      <c r="E499" s="121">
        <f>MouserListTable12[[#This Row],[Tot '#]]-MouserListTable12[[#This Row],['# Initial]]</f>
        <v>0</v>
      </c>
      <c r="F499" s="121">
        <f>IF(AND(MouserListTable12[[#This Row],[Tag]]&lt;&gt;FilterSpecs!$F$12, MouserListTable12[[#This Row],[Tag]]&lt;&gt;FilterSpecs!$F$9), MouserListTable12[[#This Row],['#/Unit]]*FilterSpecs!$B$3+MouserListTable12[[#This Row],[Extra Initial]],0)</f>
        <v>0</v>
      </c>
      <c r="G499" s="103" t="s">
        <v>544</v>
      </c>
      <c r="H499" s="103" t="s">
        <v>545</v>
      </c>
      <c r="I499" s="106" t="s">
        <v>546</v>
      </c>
      <c r="J499" s="103">
        <v>1</v>
      </c>
      <c r="K499" s="157">
        <v>1.95</v>
      </c>
      <c r="L499" s="106" t="s">
        <v>1910</v>
      </c>
      <c r="M499" s="103"/>
      <c r="N499" s="157">
        <f>MouserListTable12[[#This Row],['# Initial]]*MouserListTable12[[#This Row],[Price (USD)]]</f>
        <v>0</v>
      </c>
      <c r="O499" s="106" t="s">
        <v>543</v>
      </c>
      <c r="P499" s="103">
        <f t="shared" si="11"/>
        <v>480</v>
      </c>
      <c r="Q499" s="103" t="s">
        <v>8</v>
      </c>
      <c r="R49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474-PRT-14284</v>
      </c>
      <c r="S499" s="195" t="str">
        <f>HYPERLINK("https://www.mouser.com/ProductDetail/" &amp;MouserListTable12[[#This Row],[Mouser SKU]])</f>
        <v>https://www.mouser.com/ProductDetail/474-PRT-14284</v>
      </c>
      <c r="T499" s="121">
        <v>0</v>
      </c>
      <c r="U499" s="121">
        <v>0</v>
      </c>
      <c r="V499" s="121">
        <v>0</v>
      </c>
      <c r="W499" s="121">
        <f>MouserListTable12[[#This Row],['#/Unit]]*FilterSpecs!$C$3+MouserListTable12[[#This Row],[Extra]]</f>
        <v>0</v>
      </c>
      <c r="X499" s="121">
        <f>IF(MouserListTable12[[#This Row],[Tag]]=FilterSpecs!$F$7,MouserListTable12[[#This Row],['#/Unit]]*MouserListTable12[[#This Row],[Price (USD)]],0)</f>
        <v>0</v>
      </c>
      <c r="Y499" s="121">
        <f>MouserListTable12[[#This Row],[Tot '#]]*MouserListTable12[[#This Row],[Price (USD)]]</f>
        <v>0</v>
      </c>
      <c r="Z499"/>
    </row>
    <row r="500" spans="1:26" s="144" customFormat="1" hidden="1" x14ac:dyDescent="0.3">
      <c r="A500" s="146" t="s">
        <v>897</v>
      </c>
      <c r="B500" s="146" t="s">
        <v>1608</v>
      </c>
      <c r="C500" s="103" t="s">
        <v>1906</v>
      </c>
      <c r="D500" s="106" t="str">
        <f>IF(MouserListTable12[[#This Row],[Vendor]]=FilterSpecs!$A$8,MouserListTable12[[#This Row],[Mouser SKU]], MouserListTable12[[#This Row],[Supplier SKU]])</f>
        <v>474-PRT-11709</v>
      </c>
      <c r="E500" s="121">
        <f>MouserListTable12[[#This Row],[Tot '#]]-MouserListTable12[[#This Row],['# Initial]]</f>
        <v>0</v>
      </c>
      <c r="F500" s="121">
        <f>IF(AND(MouserListTable12[[#This Row],[Tag]]&lt;&gt;FilterSpecs!$F$12, MouserListTable12[[#This Row],[Tag]]&lt;&gt;FilterSpecs!$F$9), MouserListTable12[[#This Row],['#/Unit]]*FilterSpecs!$B$3+MouserListTable12[[#This Row],[Extra Initial]],0)</f>
        <v>0</v>
      </c>
      <c r="G500" s="103" t="s">
        <v>552</v>
      </c>
      <c r="H500" s="103" t="s">
        <v>553</v>
      </c>
      <c r="I500" s="106" t="s">
        <v>1351</v>
      </c>
      <c r="J500" s="103">
        <v>1</v>
      </c>
      <c r="K500" s="157">
        <v>4.95</v>
      </c>
      <c r="L500" s="106" t="s">
        <v>1910</v>
      </c>
      <c r="M500" s="103"/>
      <c r="N500" s="157">
        <f>MouserListTable12[[#This Row],['# Initial]]*MouserListTable12[[#This Row],[Price (USD)]]</f>
        <v>0</v>
      </c>
      <c r="O500" s="106" t="s">
        <v>1352</v>
      </c>
      <c r="P500" s="103">
        <f t="shared" si="11"/>
        <v>481</v>
      </c>
      <c r="Q500" s="103" t="s">
        <v>8</v>
      </c>
      <c r="R50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474-PRT-11709</v>
      </c>
      <c r="S500" s="195" t="str">
        <f>HYPERLINK("https://www.mouser.com/ProductDetail/" &amp;MouserListTable12[[#This Row],[Mouser SKU]])</f>
        <v>https://www.mouser.com/ProductDetail/474-PRT-11709</v>
      </c>
      <c r="T500" s="121">
        <v>0</v>
      </c>
      <c r="U500" s="121">
        <v>0</v>
      </c>
      <c r="V500" s="121">
        <v>0</v>
      </c>
      <c r="W500" s="121">
        <f>MouserListTable12[[#This Row],['#/Unit]]*FilterSpecs!$C$3+MouserListTable12[[#This Row],[Extra]]</f>
        <v>0</v>
      </c>
      <c r="X500" s="121">
        <f>IF(MouserListTable12[[#This Row],[Tag]]=FilterSpecs!$F$7,MouserListTable12[[#This Row],['#/Unit]]*MouserListTable12[[#This Row],[Price (USD)]],0)</f>
        <v>0</v>
      </c>
      <c r="Y500" s="121">
        <f>MouserListTable12[[#This Row],[Tot '#]]*MouserListTable12[[#This Row],[Price (USD)]]</f>
        <v>0</v>
      </c>
      <c r="Z500"/>
    </row>
    <row r="501" spans="1:26" s="144" customFormat="1" hidden="1" x14ac:dyDescent="0.3">
      <c r="A501" s="146" t="s">
        <v>897</v>
      </c>
      <c r="B501" s="146" t="s">
        <v>1608</v>
      </c>
      <c r="C501" s="103" t="s">
        <v>1906</v>
      </c>
      <c r="D501" s="106" t="str">
        <f>IF(MouserListTable12[[#This Row],[Vendor]]=FilterSpecs!$A$8,MouserListTable12[[#This Row],[Mouser SKU]], MouserListTable12[[#This Row],[Supplier SKU]])</f>
        <v>474-PRT-08431</v>
      </c>
      <c r="E501" s="121">
        <f>MouserListTable12[[#This Row],[Tot '#]]-MouserListTable12[[#This Row],['# Initial]]</f>
        <v>0</v>
      </c>
      <c r="F501" s="121">
        <f>IF(AND(MouserListTable12[[#This Row],[Tag]]&lt;&gt;FilterSpecs!$F$12, MouserListTable12[[#This Row],[Tag]]&lt;&gt;FilterSpecs!$F$9), MouserListTable12[[#This Row],['#/Unit]]*FilterSpecs!$B$3+MouserListTable12[[#This Row],[Extra Initial]],0)</f>
        <v>0</v>
      </c>
      <c r="G501" s="103" t="s">
        <v>564</v>
      </c>
      <c r="H501" s="103" t="s">
        <v>565</v>
      </c>
      <c r="I501" s="106" t="s">
        <v>566</v>
      </c>
      <c r="J501" s="103">
        <v>1</v>
      </c>
      <c r="K501" s="157">
        <v>3.95</v>
      </c>
      <c r="L501" s="106" t="s">
        <v>1910</v>
      </c>
      <c r="M501" s="103"/>
      <c r="N501" s="157">
        <f>MouserListTable12[[#This Row],['# Initial]]*MouserListTable12[[#This Row],[Price (USD)]]</f>
        <v>0</v>
      </c>
      <c r="O501" s="106" t="s">
        <v>563</v>
      </c>
      <c r="P501" s="103">
        <f t="shared" si="11"/>
        <v>482</v>
      </c>
      <c r="Q501" s="103" t="s">
        <v>8</v>
      </c>
      <c r="R50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474-PRT-08431</v>
      </c>
      <c r="S501" s="195" t="str">
        <f>HYPERLINK("https://www.mouser.com/ProductDetail/" &amp;MouserListTable12[[#This Row],[Mouser SKU]])</f>
        <v>https://www.mouser.com/ProductDetail/474-PRT-08431</v>
      </c>
      <c r="T501" s="121">
        <v>0</v>
      </c>
      <c r="U501" s="121">
        <v>0</v>
      </c>
      <c r="V501" s="121">
        <v>0</v>
      </c>
      <c r="W501" s="121">
        <f>MouserListTable12[[#This Row],['#/Unit]]*FilterSpecs!$C$3+MouserListTable12[[#This Row],[Extra]]</f>
        <v>0</v>
      </c>
      <c r="X501" s="121">
        <f>IF(MouserListTable12[[#This Row],[Tag]]=FilterSpecs!$F$7,MouserListTable12[[#This Row],['#/Unit]]*MouserListTable12[[#This Row],[Price (USD)]],0)</f>
        <v>0</v>
      </c>
      <c r="Y501" s="121">
        <f>MouserListTable12[[#This Row],[Tot '#]]*MouserListTable12[[#This Row],[Price (USD)]]</f>
        <v>0</v>
      </c>
      <c r="Z501"/>
    </row>
    <row r="502" spans="1:26" s="144" customFormat="1" hidden="1" x14ac:dyDescent="0.3">
      <c r="A502" s="146" t="s">
        <v>897</v>
      </c>
      <c r="B502" s="146" t="s">
        <v>1608</v>
      </c>
      <c r="C502" s="103" t="s">
        <v>1906</v>
      </c>
      <c r="D502" s="106" t="str">
        <f>IF(MouserListTable12[[#This Row],[Vendor]]=FilterSpecs!$A$8,MouserListTable12[[#This Row],[Mouser SKU]], MouserListTable12[[#This Row],[Supplier SKU]])</f>
        <v>474-PRT-11026</v>
      </c>
      <c r="E502" s="121">
        <f>MouserListTable12[[#This Row],[Tot '#]]-MouserListTable12[[#This Row],['# Initial]]</f>
        <v>0</v>
      </c>
      <c r="F502" s="121">
        <f>IF(AND(MouserListTable12[[#This Row],[Tag]]&lt;&gt;FilterSpecs!$F$12, MouserListTable12[[#This Row],[Tag]]&lt;&gt;FilterSpecs!$F$9), MouserListTable12[[#This Row],['#/Unit]]*FilterSpecs!$B$3+MouserListTable12[[#This Row],[Extra Initial]],0)</f>
        <v>0</v>
      </c>
      <c r="G502" s="103" t="s">
        <v>556</v>
      </c>
      <c r="H502" s="103" t="s">
        <v>557</v>
      </c>
      <c r="I502" s="106" t="s">
        <v>558</v>
      </c>
      <c r="J502" s="103">
        <v>1</v>
      </c>
      <c r="K502" s="157">
        <v>1.95</v>
      </c>
      <c r="L502" s="106" t="s">
        <v>1910</v>
      </c>
      <c r="M502" s="103"/>
      <c r="N502" s="157">
        <f>MouserListTable12[[#This Row],['# Initial]]*MouserListTable12[[#This Row],[Price (USD)]]</f>
        <v>0</v>
      </c>
      <c r="O502" s="106" t="s">
        <v>555</v>
      </c>
      <c r="P502" s="103">
        <f t="shared" si="11"/>
        <v>483</v>
      </c>
      <c r="Q502" s="103" t="s">
        <v>8</v>
      </c>
      <c r="R50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474-PRT-11026</v>
      </c>
      <c r="S502" s="195" t="str">
        <f>HYPERLINK("https://www.mouser.com/ProductDetail/" &amp;MouserListTable12[[#This Row],[Mouser SKU]])</f>
        <v>https://www.mouser.com/ProductDetail/474-PRT-11026</v>
      </c>
      <c r="T502" s="121">
        <v>0</v>
      </c>
      <c r="U502" s="121">
        <v>0</v>
      </c>
      <c r="V502" s="121">
        <v>0</v>
      </c>
      <c r="W502" s="121">
        <f>MouserListTable12[[#This Row],['#/Unit]]*FilterSpecs!$C$3+MouserListTable12[[#This Row],[Extra]]</f>
        <v>0</v>
      </c>
      <c r="X502" s="121">
        <f>IF(MouserListTable12[[#This Row],[Tag]]=FilterSpecs!$F$7,MouserListTable12[[#This Row],['#/Unit]]*MouserListTable12[[#This Row],[Price (USD)]],0)</f>
        <v>0</v>
      </c>
      <c r="Y502" s="121">
        <f>MouserListTable12[[#This Row],[Tot '#]]*MouserListTable12[[#This Row],[Price (USD)]]</f>
        <v>0</v>
      </c>
      <c r="Z502"/>
    </row>
    <row r="503" spans="1:26" s="146" customFormat="1" x14ac:dyDescent="0.3">
      <c r="A503" s="103" t="s">
        <v>897</v>
      </c>
      <c r="B503" s="103" t="s">
        <v>1012</v>
      </c>
      <c r="C503" s="103" t="s">
        <v>1906</v>
      </c>
      <c r="D503" s="106" t="str">
        <f>IF(MouserListTable12[[#This Row],[Vendor]]=FilterSpecs!$A$8,MouserListTable12[[#This Row],[Mouser SKU]], MouserListTable12[[#This Row],[Supplier SKU]])</f>
        <v>474-COM-10969</v>
      </c>
      <c r="E503" s="121">
        <f>MouserListTable12[[#This Row],[Tot '#]]-MouserListTable12[[#This Row],['# Initial]]</f>
        <v>0</v>
      </c>
      <c r="F503" s="121">
        <f>IF(AND(MouserListTable12[[#This Row],[Tag]]&lt;&gt;FilterSpecs!$F$12, MouserListTable12[[#This Row],[Tag]]&lt;&gt;FilterSpecs!$F$9), MouserListTable12[[#This Row],['#/Unit]]*FilterSpecs!$B$3+MouserListTable12[[#This Row],[Extra Initial]],0)</f>
        <v>1</v>
      </c>
      <c r="G503" s="103" t="s">
        <v>372</v>
      </c>
      <c r="H503" s="103" t="s">
        <v>373</v>
      </c>
      <c r="I503" s="103" t="s">
        <v>374</v>
      </c>
      <c r="J503" s="103">
        <v>1</v>
      </c>
      <c r="K503" s="157">
        <v>7.95</v>
      </c>
      <c r="L503" s="103" t="s">
        <v>1910</v>
      </c>
      <c r="M503" s="103"/>
      <c r="N503" s="157">
        <f>MouserListTable12[[#This Row],['# Initial]]*MouserListTable12[[#This Row],[Price (USD)]]</f>
        <v>7.95</v>
      </c>
      <c r="O503" s="106" t="s">
        <v>371</v>
      </c>
      <c r="P503" s="103">
        <f t="shared" si="11"/>
        <v>484</v>
      </c>
      <c r="Q503" s="103" t="s">
        <v>8</v>
      </c>
      <c r="R50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474-COM-10969</v>
      </c>
      <c r="S503" s="195" t="str">
        <f>HYPERLINK("https://www.mouser.com/ProductDetail/" &amp;MouserListTable12[[#This Row],[Mouser SKU]])</f>
        <v>https://www.mouser.com/ProductDetail/474-COM-10969</v>
      </c>
      <c r="T503" s="121">
        <v>0</v>
      </c>
      <c r="U503" s="121">
        <v>1</v>
      </c>
      <c r="V503" s="121">
        <v>1</v>
      </c>
      <c r="W503" s="121">
        <f>MouserListTable12[[#This Row],['#/Unit]]*FilterSpecs!$C$3+MouserListTable12[[#This Row],[Extra]]</f>
        <v>1</v>
      </c>
      <c r="X503" s="121">
        <f>IF(MouserListTable12[[#This Row],[Tag]]=FilterSpecs!$F$7,MouserListTable12[[#This Row],['#/Unit]]*MouserListTable12[[#This Row],[Price (USD)]],0)</f>
        <v>0</v>
      </c>
      <c r="Y503" s="121">
        <f>MouserListTable12[[#This Row],[Tot '#]]*MouserListTable12[[#This Row],[Price (USD)]]</f>
        <v>7.95</v>
      </c>
      <c r="Z503"/>
    </row>
    <row r="504" spans="1:26" s="146" customFormat="1" x14ac:dyDescent="0.3">
      <c r="A504" s="103" t="s">
        <v>897</v>
      </c>
      <c r="B504" s="103" t="s">
        <v>1012</v>
      </c>
      <c r="C504" s="103" t="s">
        <v>1906</v>
      </c>
      <c r="D504" s="106" t="str">
        <f>IF(MouserListTable12[[#This Row],[Vendor]]=FilterSpecs!$A$8,MouserListTable12[[#This Row],[Mouser SKU]], MouserListTable12[[#This Row],[Supplier SKU]])</f>
        <v>474-COM-10856</v>
      </c>
      <c r="E504" s="121">
        <f>MouserListTable12[[#This Row],[Tot '#]]-MouserListTable12[[#This Row],['# Initial]]</f>
        <v>0</v>
      </c>
      <c r="F504" s="121">
        <f>IF(AND(MouserListTable12[[#This Row],[Tag]]&lt;&gt;FilterSpecs!$F$12, MouserListTable12[[#This Row],[Tag]]&lt;&gt;FilterSpecs!$F$9), MouserListTable12[[#This Row],['#/Unit]]*FilterSpecs!$B$3+MouserListTable12[[#This Row],[Extra Initial]],0)</f>
        <v>5</v>
      </c>
      <c r="G504" s="103" t="s">
        <v>438</v>
      </c>
      <c r="H504" s="103" t="s">
        <v>439</v>
      </c>
      <c r="I504" s="103" t="s">
        <v>440</v>
      </c>
      <c r="J504" s="103">
        <v>1</v>
      </c>
      <c r="K504" s="157">
        <v>0.5</v>
      </c>
      <c r="L504" s="103" t="s">
        <v>1911</v>
      </c>
      <c r="M504" s="103"/>
      <c r="N504" s="157">
        <f>MouserListTable12[[#This Row],['# Initial]]*MouserListTable12[[#This Row],[Price (USD)]]</f>
        <v>2.5</v>
      </c>
      <c r="O504" s="106" t="s">
        <v>437</v>
      </c>
      <c r="P504" s="103">
        <f t="shared" si="11"/>
        <v>485</v>
      </c>
      <c r="Q504" s="103" t="s">
        <v>8</v>
      </c>
      <c r="R50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474-COM-10856</v>
      </c>
      <c r="S504" s="195" t="str">
        <f>HYPERLINK("https://www.mouser.com/ProductDetail/" &amp;MouserListTable12[[#This Row],[Mouser SKU]])</f>
        <v>https://www.mouser.com/ProductDetail/474-COM-10856</v>
      </c>
      <c r="T504" s="121">
        <v>1</v>
      </c>
      <c r="U504" s="121">
        <v>0</v>
      </c>
      <c r="V504" s="121">
        <v>0</v>
      </c>
      <c r="W504" s="121">
        <f>MouserListTable12[[#This Row],['#/Unit]]*FilterSpecs!$C$3+MouserListTable12[[#This Row],[Extra]]</f>
        <v>5</v>
      </c>
      <c r="X504" s="121">
        <f>IF(MouserListTable12[[#This Row],[Tag]]=FilterSpecs!$F$7,MouserListTable12[[#This Row],['#/Unit]]*MouserListTable12[[#This Row],[Price (USD)]],0)</f>
        <v>0.5</v>
      </c>
      <c r="Y504" s="121">
        <f>MouserListTable12[[#This Row],[Tot '#]]*MouserListTable12[[#This Row],[Price (USD)]]</f>
        <v>2.5</v>
      </c>
      <c r="Z504"/>
    </row>
    <row r="505" spans="1:26" s="146" customFormat="1" x14ac:dyDescent="0.3">
      <c r="A505" s="103" t="s">
        <v>897</v>
      </c>
      <c r="B505" s="103" t="s">
        <v>1012</v>
      </c>
      <c r="C505" s="103" t="s">
        <v>1906</v>
      </c>
      <c r="D505" s="106" t="str">
        <f>IF(MouserListTable12[[#This Row],[Vendor]]=FilterSpecs!$A$8,MouserListTable12[[#This Row],[Mouser SKU]], MouserListTable12[[#This Row],[Supplier SKU]])</f>
        <v>474-COM-10855</v>
      </c>
      <c r="E505" s="121">
        <f>MouserListTable12[[#This Row],[Tot '#]]-MouserListTable12[[#This Row],['# Initial]]</f>
        <v>0</v>
      </c>
      <c r="F505" s="121">
        <f>IF(AND(MouserListTable12[[#This Row],[Tag]]&lt;&gt;FilterSpecs!$F$12, MouserListTable12[[#This Row],[Tag]]&lt;&gt;FilterSpecs!$F$9), MouserListTable12[[#This Row],['#/Unit]]*FilterSpecs!$B$3+MouserListTable12[[#This Row],[Extra Initial]],0)</f>
        <v>5</v>
      </c>
      <c r="G505" s="103" t="s">
        <v>442</v>
      </c>
      <c r="H505" s="103" t="s">
        <v>443</v>
      </c>
      <c r="I505" s="103" t="s">
        <v>444</v>
      </c>
      <c r="J505" s="103">
        <v>1</v>
      </c>
      <c r="K505" s="157">
        <v>0.5</v>
      </c>
      <c r="L505" s="103" t="s">
        <v>1911</v>
      </c>
      <c r="M505" s="103"/>
      <c r="N505" s="157">
        <f>MouserListTable12[[#This Row],['# Initial]]*MouserListTable12[[#This Row],[Price (USD)]]</f>
        <v>2.5</v>
      </c>
      <c r="O505" s="106" t="s">
        <v>441</v>
      </c>
      <c r="P505" s="103">
        <f t="shared" si="11"/>
        <v>486</v>
      </c>
      <c r="Q505" s="103" t="s">
        <v>8</v>
      </c>
      <c r="R50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474-COM-10855</v>
      </c>
      <c r="S505" s="195" t="str">
        <f>HYPERLINK("https://www.mouser.com/ProductDetail/" &amp;MouserListTable12[[#This Row],[Mouser SKU]])</f>
        <v>https://www.mouser.com/ProductDetail/474-COM-10855</v>
      </c>
      <c r="T505" s="121">
        <v>1</v>
      </c>
      <c r="U505" s="121">
        <v>0</v>
      </c>
      <c r="V505" s="121">
        <v>0</v>
      </c>
      <c r="W505" s="121">
        <f>MouserListTable12[[#This Row],['#/Unit]]*FilterSpecs!$C$3+MouserListTable12[[#This Row],[Extra]]</f>
        <v>5</v>
      </c>
      <c r="X505" s="121">
        <f>IF(MouserListTable12[[#This Row],[Tag]]=FilterSpecs!$F$7,MouserListTable12[[#This Row],['#/Unit]]*MouserListTable12[[#This Row],[Price (USD)]],0)</f>
        <v>0.5</v>
      </c>
      <c r="Y505" s="121">
        <f>MouserListTable12[[#This Row],[Tot '#]]*MouserListTable12[[#This Row],[Price (USD)]]</f>
        <v>2.5</v>
      </c>
      <c r="Z505"/>
    </row>
    <row r="506" spans="1:26" s="146" customFormat="1" hidden="1" x14ac:dyDescent="0.3">
      <c r="A506" s="103" t="s">
        <v>897</v>
      </c>
      <c r="B506" s="103" t="s">
        <v>1012</v>
      </c>
      <c r="C506" s="103" t="s">
        <v>1906</v>
      </c>
      <c r="D506" s="106" t="str">
        <f>IF(MouserListTable12[[#This Row],[Vendor]]=FilterSpecs!$A$8,MouserListTable12[[#This Row],[Mouser SKU]], MouserListTable12[[#This Row],[Supplier SKU]])</f>
        <v>474-COM-09120</v>
      </c>
      <c r="E506" s="121">
        <f>MouserListTable12[[#This Row],[Tot '#]]-MouserListTable12[[#This Row],['# Initial]]</f>
        <v>1</v>
      </c>
      <c r="F506" s="121">
        <f>IF(AND(MouserListTable12[[#This Row],[Tag]]&lt;&gt;FilterSpecs!$F$12, MouserListTable12[[#This Row],[Tag]]&lt;&gt;FilterSpecs!$F$9), MouserListTable12[[#This Row],['#/Unit]]*FilterSpecs!$B$3+MouserListTable12[[#This Row],[Extra Initial]],0)</f>
        <v>0</v>
      </c>
      <c r="G506" s="103" t="s">
        <v>1698</v>
      </c>
      <c r="H506" s="103" t="s">
        <v>1699</v>
      </c>
      <c r="I506" s="103" t="s">
        <v>1700</v>
      </c>
      <c r="J506" s="103">
        <v>1</v>
      </c>
      <c r="K506" s="157">
        <v>0.95</v>
      </c>
      <c r="L506" s="106" t="s">
        <v>1911</v>
      </c>
      <c r="M506" s="103"/>
      <c r="N506" s="157">
        <f>MouserListTable12[[#This Row],['# Initial]]*MouserListTable12[[#This Row],[Price (USD)]]</f>
        <v>0</v>
      </c>
      <c r="O506" s="106" t="s">
        <v>1697</v>
      </c>
      <c r="P506" s="103">
        <f t="shared" si="11"/>
        <v>487</v>
      </c>
      <c r="Q506" s="103" t="s">
        <v>8</v>
      </c>
      <c r="R50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474-COM-09120</v>
      </c>
      <c r="S506" s="195" t="str">
        <f>HYPERLINK("https://www.mouser.com/ProductDetail/" &amp;MouserListTable12[[#This Row],[Mouser SKU]])</f>
        <v>https://www.mouser.com/ProductDetail/474-COM-09120</v>
      </c>
      <c r="T506" s="121">
        <v>0</v>
      </c>
      <c r="U506" s="121">
        <v>1</v>
      </c>
      <c r="V506" s="121">
        <v>0</v>
      </c>
      <c r="W506" s="121">
        <f>MouserListTable12[[#This Row],['#/Unit]]*FilterSpecs!$C$3+MouserListTable12[[#This Row],[Extra]]</f>
        <v>1</v>
      </c>
      <c r="X506" s="121">
        <f>IF(MouserListTable12[[#This Row],[Tag]]=FilterSpecs!$F$7,MouserListTable12[[#This Row],['#/Unit]]*MouserListTable12[[#This Row],[Price (USD)]],0)</f>
        <v>0</v>
      </c>
      <c r="Y506" s="121">
        <f>MouserListTable12[[#This Row],[Tot '#]]*MouserListTable12[[#This Row],[Price (USD)]]</f>
        <v>0.95</v>
      </c>
      <c r="Z506"/>
    </row>
    <row r="507" spans="1:26" s="146" customFormat="1" hidden="1" x14ac:dyDescent="0.3">
      <c r="A507" s="103" t="s">
        <v>897</v>
      </c>
      <c r="B507" s="103" t="s">
        <v>1012</v>
      </c>
      <c r="C507" s="103" t="s">
        <v>1906</v>
      </c>
      <c r="D507" s="106" t="str">
        <f>IF(MouserListTable12[[#This Row],[Vendor]]=FilterSpecs!$A$8,MouserListTable12[[#This Row],[Mouser SKU]], MouserListTable12[[#This Row],[Supplier SKU]])</f>
        <v>474-COM-11620</v>
      </c>
      <c r="E507" s="121">
        <f>MouserListTable12[[#This Row],[Tot '#]]-MouserListTable12[[#This Row],['# Initial]]</f>
        <v>1</v>
      </c>
      <c r="F507" s="121">
        <f>IF(AND(MouserListTable12[[#This Row],[Tag]]&lt;&gt;FilterSpecs!$F$12, MouserListTable12[[#This Row],[Tag]]&lt;&gt;FilterSpecs!$F$9), MouserListTable12[[#This Row],['#/Unit]]*FilterSpecs!$B$3+MouserListTable12[[#This Row],[Extra Initial]],0)</f>
        <v>0</v>
      </c>
      <c r="G507" s="103" t="s">
        <v>1702</v>
      </c>
      <c r="H507" s="103" t="s">
        <v>1703</v>
      </c>
      <c r="I507" s="103" t="s">
        <v>1704</v>
      </c>
      <c r="J507" s="103">
        <v>1</v>
      </c>
      <c r="K507" s="157">
        <v>1.95</v>
      </c>
      <c r="L507" s="103" t="s">
        <v>1910</v>
      </c>
      <c r="M507" s="103"/>
      <c r="N507" s="157">
        <f>MouserListTable12[[#This Row],['# Initial]]*MouserListTable12[[#This Row],[Price (USD)]]</f>
        <v>0</v>
      </c>
      <c r="O507" s="106" t="s">
        <v>1701</v>
      </c>
      <c r="P507" s="103">
        <f t="shared" si="11"/>
        <v>488</v>
      </c>
      <c r="Q507" s="103" t="s">
        <v>8</v>
      </c>
      <c r="R50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474-COM-11620</v>
      </c>
      <c r="S507" s="195" t="str">
        <f>HYPERLINK("https://www.mouser.com/ProductDetail/" &amp;MouserListTable12[[#This Row],[Mouser SKU]])</f>
        <v>https://www.mouser.com/ProductDetail/474-COM-11620</v>
      </c>
      <c r="T507" s="121">
        <v>0</v>
      </c>
      <c r="U507" s="121">
        <v>1</v>
      </c>
      <c r="V507" s="121">
        <v>0</v>
      </c>
      <c r="W507" s="121">
        <f>MouserListTable12[[#This Row],['#/Unit]]*FilterSpecs!$C$3+MouserListTable12[[#This Row],[Extra]]</f>
        <v>1</v>
      </c>
      <c r="X507" s="121">
        <f>IF(MouserListTable12[[#This Row],[Tag]]=FilterSpecs!$F$7,MouserListTable12[[#This Row],['#/Unit]]*MouserListTable12[[#This Row],[Price (USD)]],0)</f>
        <v>0</v>
      </c>
      <c r="Y507" s="121">
        <f>MouserListTable12[[#This Row],[Tot '#]]*MouserListTable12[[#This Row],[Price (USD)]]</f>
        <v>1.95</v>
      </c>
      <c r="Z507"/>
    </row>
    <row r="508" spans="1:26" s="146" customFormat="1" hidden="1" x14ac:dyDescent="0.3">
      <c r="A508" s="103" t="s">
        <v>897</v>
      </c>
      <c r="B508" s="103" t="s">
        <v>1012</v>
      </c>
      <c r="C508" s="103" t="s">
        <v>1906</v>
      </c>
      <c r="D508" s="106" t="str">
        <f>IF(MouserListTable12[[#This Row],[Vendor]]=FilterSpecs!$A$8,MouserListTable12[[#This Row],[Mouser SKU]], MouserListTable12[[#This Row],[Supplier SKU]])</f>
        <v>474-COM-11621</v>
      </c>
      <c r="E508" s="121">
        <f>MouserListTable12[[#This Row],[Tot '#]]-MouserListTable12[[#This Row],['# Initial]]</f>
        <v>1</v>
      </c>
      <c r="F508" s="121">
        <f>IF(AND(MouserListTable12[[#This Row],[Tag]]&lt;&gt;FilterSpecs!$F$12, MouserListTable12[[#This Row],[Tag]]&lt;&gt;FilterSpecs!$F$9), MouserListTable12[[#This Row],['#/Unit]]*FilterSpecs!$B$3+MouserListTable12[[#This Row],[Extra Initial]],0)</f>
        <v>0</v>
      </c>
      <c r="G508" s="103" t="s">
        <v>1682</v>
      </c>
      <c r="H508" s="103" t="s">
        <v>1683</v>
      </c>
      <c r="I508" s="103" t="s">
        <v>1684</v>
      </c>
      <c r="J508" s="103">
        <v>1</v>
      </c>
      <c r="K508" s="157">
        <v>2.5</v>
      </c>
      <c r="L508" s="103" t="s">
        <v>1910</v>
      </c>
      <c r="M508" s="103"/>
      <c r="N508" s="157">
        <f>MouserListTable12[[#This Row],['# Initial]]*MouserListTable12[[#This Row],[Price (USD)]]</f>
        <v>0</v>
      </c>
      <c r="O508" s="106" t="s">
        <v>1681</v>
      </c>
      <c r="P508" s="103">
        <f t="shared" si="11"/>
        <v>489</v>
      </c>
      <c r="Q508" s="103" t="s">
        <v>8</v>
      </c>
      <c r="R50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474-COM-11621</v>
      </c>
      <c r="S508" s="195" t="str">
        <f>HYPERLINK("https://www.mouser.com/ProductDetail/" &amp;MouserListTable12[[#This Row],[Mouser SKU]])</f>
        <v>https://www.mouser.com/ProductDetail/474-COM-11621</v>
      </c>
      <c r="T508" s="121">
        <v>0</v>
      </c>
      <c r="U508" s="121">
        <v>1</v>
      </c>
      <c r="V508" s="121">
        <v>0</v>
      </c>
      <c r="W508" s="121">
        <f>MouserListTable12[[#This Row],['#/Unit]]*FilterSpecs!$C$3+MouserListTable12[[#This Row],[Extra]]</f>
        <v>1</v>
      </c>
      <c r="X508" s="121">
        <f>IF(MouserListTable12[[#This Row],[Tag]]=FilterSpecs!$F$7,MouserListTable12[[#This Row],['#/Unit]]*MouserListTable12[[#This Row],[Price (USD)]],0)</f>
        <v>0</v>
      </c>
      <c r="Y508" s="121">
        <f>MouserListTable12[[#This Row],[Tot '#]]*MouserListTable12[[#This Row],[Price (USD)]]</f>
        <v>2.5</v>
      </c>
      <c r="Z508"/>
    </row>
    <row r="509" spans="1:26" s="146" customFormat="1" hidden="1" x14ac:dyDescent="0.3">
      <c r="A509" s="103" t="s">
        <v>897</v>
      </c>
      <c r="B509" s="103" t="s">
        <v>1012</v>
      </c>
      <c r="C509" s="103" t="s">
        <v>1906</v>
      </c>
      <c r="D509" s="106" t="str">
        <f>IF(MouserListTable12[[#This Row],[Vendor]]=FilterSpecs!$A$8,MouserListTable12[[#This Row],[Mouser SKU]], MouserListTable12[[#This Row],[Supplier SKU]])</f>
        <v>474-COM-09119</v>
      </c>
      <c r="E509" s="121">
        <f>MouserListTable12[[#This Row],[Tot '#]]-MouserListTable12[[#This Row],['# Initial]]</f>
        <v>1</v>
      </c>
      <c r="F509" s="121">
        <f>IF(AND(MouserListTable12[[#This Row],[Tag]]&lt;&gt;FilterSpecs!$F$12, MouserListTable12[[#This Row],[Tag]]&lt;&gt;FilterSpecs!$F$9), MouserListTable12[[#This Row],['#/Unit]]*FilterSpecs!$B$3+MouserListTable12[[#This Row],[Extra Initial]],0)</f>
        <v>0</v>
      </c>
      <c r="G509" s="103" t="s">
        <v>1836</v>
      </c>
      <c r="H509" s="103" t="s">
        <v>1837</v>
      </c>
      <c r="I509" s="103" t="s">
        <v>1838</v>
      </c>
      <c r="J509" s="103">
        <v>1</v>
      </c>
      <c r="K509" s="157">
        <v>2.95</v>
      </c>
      <c r="L509" s="103" t="s">
        <v>1910</v>
      </c>
      <c r="M509" s="103"/>
      <c r="N509" s="157">
        <f>MouserListTable12[[#This Row],['# Initial]]*MouserListTable12[[#This Row],[Price (USD)]]</f>
        <v>0</v>
      </c>
      <c r="O509" s="106" t="s">
        <v>1835</v>
      </c>
      <c r="P509" s="103">
        <f t="shared" si="11"/>
        <v>490</v>
      </c>
      <c r="Q509" s="103" t="s">
        <v>8</v>
      </c>
      <c r="R50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474-COM-09119</v>
      </c>
      <c r="S509" s="195" t="str">
        <f>HYPERLINK("https://www.mouser.com/ProductDetail/" &amp;MouserListTable12[[#This Row],[Mouser SKU]])</f>
        <v>https://www.mouser.com/ProductDetail/474-COM-09119</v>
      </c>
      <c r="T509" s="121">
        <v>0</v>
      </c>
      <c r="U509" s="121">
        <v>1</v>
      </c>
      <c r="V509" s="121">
        <v>0</v>
      </c>
      <c r="W509" s="121">
        <f>MouserListTable12[[#This Row],['#/Unit]]*FilterSpecs!$C$3+MouserListTable12[[#This Row],[Extra]]</f>
        <v>1</v>
      </c>
      <c r="X509" s="121">
        <f>IF(MouserListTable12[[#This Row],[Tag]]=FilterSpecs!$F$7,MouserListTable12[[#This Row],['#/Unit]]*MouserListTable12[[#This Row],[Price (USD)]],0)</f>
        <v>0</v>
      </c>
      <c r="Y509" s="121">
        <f>MouserListTable12[[#This Row],[Tot '#]]*MouserListTable12[[#This Row],[Price (USD)]]</f>
        <v>2.95</v>
      </c>
      <c r="Z509"/>
    </row>
    <row r="510" spans="1:26" s="146" customFormat="1" x14ac:dyDescent="0.3">
      <c r="A510" s="103" t="s">
        <v>897</v>
      </c>
      <c r="B510" s="103" t="s">
        <v>1012</v>
      </c>
      <c r="C510" s="103" t="s">
        <v>1906</v>
      </c>
      <c r="D510" s="106" t="str">
        <f>IF(MouserListTable12[[#This Row],[Vendor]]=FilterSpecs!$A$8,MouserListTable12[[#This Row],[Mouser SKU]], MouserListTable12[[#This Row],[Supplier SKU]])</f>
        <v>474-COM-09806</v>
      </c>
      <c r="E510" s="121">
        <f>MouserListTable12[[#This Row],[Tot '#]]-MouserListTable12[[#This Row],['# Initial]]</f>
        <v>0</v>
      </c>
      <c r="F510" s="121">
        <f>IF(AND(MouserListTable12[[#This Row],[Tag]]&lt;&gt;FilterSpecs!$F$12, MouserListTable12[[#This Row],[Tag]]&lt;&gt;FilterSpecs!$F$9), MouserListTable12[[#This Row],['#/Unit]]*FilterSpecs!$B$3+MouserListTable12[[#This Row],[Extra Initial]],0)</f>
        <v>5</v>
      </c>
      <c r="G510" s="103" t="s">
        <v>612</v>
      </c>
      <c r="H510" s="103" t="s">
        <v>613</v>
      </c>
      <c r="I510" s="103" t="s">
        <v>614</v>
      </c>
      <c r="J510" s="103">
        <v>1</v>
      </c>
      <c r="K510" s="157">
        <v>0.95</v>
      </c>
      <c r="L510" s="103" t="s">
        <v>1911</v>
      </c>
      <c r="M510" s="103"/>
      <c r="N510" s="157">
        <f>MouserListTable12[[#This Row],['# Initial]]*MouserListTable12[[#This Row],[Price (USD)]]</f>
        <v>4.75</v>
      </c>
      <c r="O510" s="106" t="s">
        <v>611</v>
      </c>
      <c r="P510" s="103">
        <f t="shared" si="11"/>
        <v>491</v>
      </c>
      <c r="Q510" s="103" t="s">
        <v>8</v>
      </c>
      <c r="R51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474-COM-09806</v>
      </c>
      <c r="S510" s="195" t="str">
        <f>HYPERLINK("https://www.mouser.com/ProductDetail/" &amp;MouserListTable12[[#This Row],[Mouser SKU]])</f>
        <v>https://www.mouser.com/ProductDetail/474-COM-09806</v>
      </c>
      <c r="T510" s="121">
        <v>1</v>
      </c>
      <c r="U510" s="121">
        <v>0</v>
      </c>
      <c r="V510" s="121">
        <v>0</v>
      </c>
      <c r="W510" s="121">
        <f>MouserListTable12[[#This Row],['#/Unit]]*FilterSpecs!$C$3+MouserListTable12[[#This Row],[Extra]]</f>
        <v>5</v>
      </c>
      <c r="X510" s="121">
        <f>IF(MouserListTable12[[#This Row],[Tag]]=FilterSpecs!$F$7,MouserListTable12[[#This Row],['#/Unit]]*MouserListTable12[[#This Row],[Price (USD)]],0)</f>
        <v>0.95</v>
      </c>
      <c r="Y510" s="121">
        <f>MouserListTable12[[#This Row],[Tot '#]]*MouserListTable12[[#This Row],[Price (USD)]]</f>
        <v>4.75</v>
      </c>
      <c r="Z510"/>
    </row>
    <row r="511" spans="1:26" s="146" customFormat="1" x14ac:dyDescent="0.3">
      <c r="A511" s="103" t="s">
        <v>897</v>
      </c>
      <c r="B511" s="103" t="s">
        <v>1012</v>
      </c>
      <c r="C511" s="103" t="s">
        <v>1906</v>
      </c>
      <c r="D511" s="106" t="str">
        <f>IF(MouserListTable12[[#This Row],[Vendor]]=FilterSpecs!$A$8,MouserListTable12[[#This Row],[Mouser SKU]], MouserListTable12[[#This Row],[Supplier SKU]])</f>
        <v>474-KIT-13698</v>
      </c>
      <c r="E511" s="121">
        <f>MouserListTable12[[#This Row],[Tot '#]]-MouserListTable12[[#This Row],['# Initial]]</f>
        <v>0</v>
      </c>
      <c r="F511" s="121">
        <f>IF(AND(MouserListTable12[[#This Row],[Tag]]&lt;&gt;FilterSpecs!$F$12, MouserListTable12[[#This Row],[Tag]]&lt;&gt;FilterSpecs!$F$9), MouserListTable12[[#This Row],['#/Unit]]*FilterSpecs!$B$3+MouserListTable12[[#This Row],[Extra Initial]],0)</f>
        <v>1</v>
      </c>
      <c r="G511" s="103" t="s">
        <v>376</v>
      </c>
      <c r="H511" s="103" t="s">
        <v>377</v>
      </c>
      <c r="I511" s="103" t="s">
        <v>378</v>
      </c>
      <c r="J511" s="103"/>
      <c r="K511" s="157">
        <v>6.95</v>
      </c>
      <c r="L511" s="103" t="s">
        <v>1910</v>
      </c>
      <c r="M511" s="103"/>
      <c r="N511" s="157">
        <f>MouserListTable12[[#This Row],['# Initial]]*MouserListTable12[[#This Row],[Price (USD)]]</f>
        <v>6.95</v>
      </c>
      <c r="O511" s="106" t="s">
        <v>375</v>
      </c>
      <c r="P511" s="103">
        <f t="shared" si="11"/>
        <v>492</v>
      </c>
      <c r="Q511" s="103" t="s">
        <v>8</v>
      </c>
      <c r="R51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474-KIT-13698</v>
      </c>
      <c r="S511" s="195" t="str">
        <f>HYPERLINK("https://www.mouser.com/ProductDetail/" &amp;MouserListTable12[[#This Row],[Mouser SKU]])</f>
        <v>https://www.mouser.com/ProductDetail/474-KIT-13698</v>
      </c>
      <c r="T511" s="121">
        <v>0</v>
      </c>
      <c r="U511" s="121">
        <v>1</v>
      </c>
      <c r="V511" s="121">
        <v>1</v>
      </c>
      <c r="W511" s="121">
        <f>MouserListTable12[[#This Row],['#/Unit]]*FilterSpecs!$C$3+MouserListTable12[[#This Row],[Extra]]</f>
        <v>1</v>
      </c>
      <c r="X511" s="121">
        <f>IF(MouserListTable12[[#This Row],[Tag]]=FilterSpecs!$F$7,MouserListTable12[[#This Row],['#/Unit]]*MouserListTable12[[#This Row],[Price (USD)]],0)</f>
        <v>0</v>
      </c>
      <c r="Y511" s="121">
        <f>MouserListTable12[[#This Row],[Tot '#]]*MouserListTable12[[#This Row],[Price (USD)]]</f>
        <v>6.95</v>
      </c>
      <c r="Z511"/>
    </row>
    <row r="512" spans="1:26" s="146" customFormat="1" x14ac:dyDescent="0.3">
      <c r="A512" s="103" t="s">
        <v>897</v>
      </c>
      <c r="B512" s="103" t="s">
        <v>1012</v>
      </c>
      <c r="C512" s="103" t="s">
        <v>1906</v>
      </c>
      <c r="D512" s="106" t="str">
        <f>IF(MouserListTable12[[#This Row],[Vendor]]=FilterSpecs!$A$8,MouserListTable12[[#This Row],[Mouser SKU]], MouserListTable12[[#This Row],[Supplier SKU]])</f>
        <v>474-COM-00096</v>
      </c>
      <c r="E512" s="121">
        <f>MouserListTable12[[#This Row],[Tot '#]]-MouserListTable12[[#This Row],['# Initial]]</f>
        <v>0</v>
      </c>
      <c r="F512" s="121">
        <f>IF(AND(MouserListTable12[[#This Row],[Tag]]&lt;&gt;FilterSpecs!$F$12, MouserListTable12[[#This Row],[Tag]]&lt;&gt;FilterSpecs!$F$9), MouserListTable12[[#This Row],['#/Unit]]*FilterSpecs!$B$3+MouserListTable12[[#This Row],[Extra Initial]],0)</f>
        <v>5</v>
      </c>
      <c r="G512" s="103" t="s">
        <v>728</v>
      </c>
      <c r="H512" s="103" t="s">
        <v>729</v>
      </c>
      <c r="I512" s="103" t="s">
        <v>730</v>
      </c>
      <c r="J512" s="103">
        <v>1</v>
      </c>
      <c r="K512" s="157">
        <v>0.35</v>
      </c>
      <c r="L512" s="103" t="s">
        <v>1911</v>
      </c>
      <c r="M512" s="103"/>
      <c r="N512" s="157">
        <f>MouserListTable12[[#This Row],['# Initial]]*MouserListTable12[[#This Row],[Price (USD)]]</f>
        <v>1.75</v>
      </c>
      <c r="O512" s="106" t="s">
        <v>727</v>
      </c>
      <c r="P512" s="103">
        <f t="shared" si="11"/>
        <v>493</v>
      </c>
      <c r="Q512" s="103" t="s">
        <v>8</v>
      </c>
      <c r="R51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474-COM-00096</v>
      </c>
      <c r="S512" s="195" t="str">
        <f>HYPERLINK("https://www.mouser.com/ProductDetail/" &amp;MouserListTable12[[#This Row],[Mouser SKU]])</f>
        <v>https://www.mouser.com/ProductDetail/474-COM-00096</v>
      </c>
      <c r="T512" s="121">
        <v>1</v>
      </c>
      <c r="U512" s="121">
        <v>0</v>
      </c>
      <c r="V512" s="121">
        <v>0</v>
      </c>
      <c r="W512" s="121">
        <f>MouserListTable12[[#This Row],['#/Unit]]*FilterSpecs!$C$3+MouserListTable12[[#This Row],[Extra]]</f>
        <v>5</v>
      </c>
      <c r="X512" s="121">
        <f>IF(MouserListTable12[[#This Row],[Tag]]=FilterSpecs!$F$7,MouserListTable12[[#This Row],['#/Unit]]*MouserListTable12[[#This Row],[Price (USD)]],0)</f>
        <v>0.35</v>
      </c>
      <c r="Y512" s="121">
        <f>MouserListTable12[[#This Row],[Tot '#]]*MouserListTable12[[#This Row],[Price (USD)]]</f>
        <v>1.75</v>
      </c>
      <c r="Z512"/>
    </row>
    <row r="513" spans="1:26" s="146" customFormat="1" x14ac:dyDescent="0.3">
      <c r="A513" s="103" t="s">
        <v>897</v>
      </c>
      <c r="B513" s="103" t="s">
        <v>1012</v>
      </c>
      <c r="C513" s="103" t="s">
        <v>1906</v>
      </c>
      <c r="D513" s="106" t="str">
        <f>IF(MouserListTable12[[#This Row],[Vendor]]=FilterSpecs!$A$8,MouserListTable12[[#This Row],[Mouser SKU]], MouserListTable12[[#This Row],[Supplier SKU]])</f>
        <v>474-COM-00523</v>
      </c>
      <c r="E513" s="121">
        <f>MouserListTable12[[#This Row],[Tot '#]]-MouserListTable12[[#This Row],['# Initial]]</f>
        <v>0</v>
      </c>
      <c r="F513" s="121">
        <f>IF(AND(MouserListTable12[[#This Row],[Tag]]&lt;&gt;FilterSpecs!$F$12, MouserListTable12[[#This Row],[Tag]]&lt;&gt;FilterSpecs!$F$9), MouserListTable12[[#This Row],['#/Unit]]*FilterSpecs!$B$3+MouserListTable12[[#This Row],[Extra Initial]],0)</f>
        <v>5</v>
      </c>
      <c r="G513" s="103" t="s">
        <v>724</v>
      </c>
      <c r="H513" s="103" t="s">
        <v>725</v>
      </c>
      <c r="I513" s="103" t="s">
        <v>726</v>
      </c>
      <c r="J513" s="103">
        <v>1</v>
      </c>
      <c r="K513" s="157">
        <v>0.45</v>
      </c>
      <c r="L513" s="103" t="s">
        <v>1911</v>
      </c>
      <c r="M513" s="103"/>
      <c r="N513" s="157">
        <f>MouserListTable12[[#This Row],['# Initial]]*MouserListTable12[[#This Row],[Price (USD)]]</f>
        <v>2.25</v>
      </c>
      <c r="O513" s="106" t="s">
        <v>723</v>
      </c>
      <c r="P513" s="103">
        <f t="shared" si="11"/>
        <v>494</v>
      </c>
      <c r="Q513" s="103" t="s">
        <v>8</v>
      </c>
      <c r="R51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474-COM-00523</v>
      </c>
      <c r="S513" s="195" t="str">
        <f>HYPERLINK("https://www.mouser.com/ProductDetail/" &amp;MouserListTable12[[#This Row],[Mouser SKU]])</f>
        <v>https://www.mouser.com/ProductDetail/474-COM-00523</v>
      </c>
      <c r="T513" s="121">
        <v>1</v>
      </c>
      <c r="U513" s="121">
        <v>0</v>
      </c>
      <c r="V513" s="121">
        <v>0</v>
      </c>
      <c r="W513" s="121">
        <f>MouserListTable12[[#This Row],['#/Unit]]*FilterSpecs!$C$3+MouserListTable12[[#This Row],[Extra]]</f>
        <v>5</v>
      </c>
      <c r="X513" s="121">
        <f>IF(MouserListTable12[[#This Row],[Tag]]=FilterSpecs!$F$7,MouserListTable12[[#This Row],['#/Unit]]*MouserListTable12[[#This Row],[Price (USD)]],0)</f>
        <v>0.45</v>
      </c>
      <c r="Y513" s="121">
        <f>MouserListTable12[[#This Row],[Tot '#]]*MouserListTable12[[#This Row],[Price (USD)]]</f>
        <v>2.25</v>
      </c>
      <c r="Z513"/>
    </row>
    <row r="514" spans="1:26" s="146" customFormat="1" hidden="1" x14ac:dyDescent="0.3">
      <c r="A514" s="103" t="s">
        <v>897</v>
      </c>
      <c r="B514" s="103" t="s">
        <v>1012</v>
      </c>
      <c r="C514" s="103" t="s">
        <v>1906</v>
      </c>
      <c r="D514" s="106" t="str">
        <f>IF(MouserListTable12[[#This Row],[Vendor]]=FilterSpecs!$A$8,MouserListTable12[[#This Row],[Mouser SKU]], MouserListTable12[[#This Row],[Supplier SKU]])</f>
        <v>474-COM-00746</v>
      </c>
      <c r="E514" s="121">
        <f>MouserListTable12[[#This Row],[Tot '#]]-MouserListTable12[[#This Row],['# Initial]]</f>
        <v>3</v>
      </c>
      <c r="F514" s="121">
        <f>IF(AND(MouserListTable12[[#This Row],[Tag]]&lt;&gt;FilterSpecs!$F$12, MouserListTable12[[#This Row],[Tag]]&lt;&gt;FilterSpecs!$F$9), MouserListTable12[[#This Row],['#/Unit]]*FilterSpecs!$B$3+MouserListTable12[[#This Row],[Extra Initial]],0)</f>
        <v>0</v>
      </c>
      <c r="G514" s="103" t="s">
        <v>716</v>
      </c>
      <c r="H514" s="103" t="s">
        <v>717</v>
      </c>
      <c r="I514" s="103" t="s">
        <v>718</v>
      </c>
      <c r="J514" s="103">
        <v>1</v>
      </c>
      <c r="K514" s="157">
        <v>4.95</v>
      </c>
      <c r="L514" s="103" t="s">
        <v>1910</v>
      </c>
      <c r="M514" s="103"/>
      <c r="N514" s="157">
        <f>MouserListTable12[[#This Row],['# Initial]]*MouserListTable12[[#This Row],[Price (USD)]]</f>
        <v>0</v>
      </c>
      <c r="O514" s="106" t="s">
        <v>715</v>
      </c>
      <c r="P514" s="103">
        <f t="shared" si="11"/>
        <v>495</v>
      </c>
      <c r="Q514" s="103" t="s">
        <v>8</v>
      </c>
      <c r="R51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474-COM-00746</v>
      </c>
      <c r="S514" s="195" t="str">
        <f>HYPERLINK("https://www.mouser.com/ProductDetail/" &amp;MouserListTable12[[#This Row],[Mouser SKU]])</f>
        <v>https://www.mouser.com/ProductDetail/474-COM-00746</v>
      </c>
      <c r="T514" s="121">
        <v>0</v>
      </c>
      <c r="U514" s="121">
        <v>3</v>
      </c>
      <c r="V514" s="121">
        <v>0</v>
      </c>
      <c r="W514" s="121">
        <f>MouserListTable12[[#This Row],['#/Unit]]*FilterSpecs!$C$3+MouserListTable12[[#This Row],[Extra]]</f>
        <v>3</v>
      </c>
      <c r="X514" s="121">
        <f>IF(MouserListTable12[[#This Row],[Tag]]=FilterSpecs!$F$7,MouserListTable12[[#This Row],['#/Unit]]*MouserListTable12[[#This Row],[Price (USD)]],0)</f>
        <v>0</v>
      </c>
      <c r="Y514" s="121">
        <f>MouserListTable12[[#This Row],[Tot '#]]*MouserListTable12[[#This Row],[Price (USD)]]</f>
        <v>14.850000000000001</v>
      </c>
      <c r="Z514"/>
    </row>
    <row r="515" spans="1:26" s="146" customFormat="1" x14ac:dyDescent="0.3">
      <c r="A515" s="103" t="s">
        <v>897</v>
      </c>
      <c r="B515" s="103" t="s">
        <v>1012</v>
      </c>
      <c r="C515" s="103" t="s">
        <v>1906</v>
      </c>
      <c r="D515" s="106" t="str">
        <f>IF(MouserListTable12[[#This Row],[Vendor]]=FilterSpecs!$A$8,MouserListTable12[[#This Row],[Mouser SKU]], MouserListTable12[[#This Row],[Supplier SKU]])</f>
        <v>474-SEN-00250</v>
      </c>
      <c r="E515" s="121">
        <f>MouserListTable12[[#This Row],[Tot '#]]-MouserListTable12[[#This Row],['# Initial]]</f>
        <v>0</v>
      </c>
      <c r="F515" s="121">
        <f>IF(AND(MouserListTable12[[#This Row],[Tag]]&lt;&gt;FilterSpecs!$F$12, MouserListTable12[[#This Row],[Tag]]&lt;&gt;FilterSpecs!$F$9), MouserListTable12[[#This Row],['#/Unit]]*FilterSpecs!$B$3+MouserListTable12[[#This Row],[Extra Initial]],0)</f>
        <v>10</v>
      </c>
      <c r="G515" s="103" t="s">
        <v>712</v>
      </c>
      <c r="H515" s="103" t="s">
        <v>713</v>
      </c>
      <c r="I515" s="103" t="s">
        <v>714</v>
      </c>
      <c r="J515" s="103">
        <v>1</v>
      </c>
      <c r="K515" s="157">
        <v>0.75</v>
      </c>
      <c r="L515" s="103" t="s">
        <v>1911</v>
      </c>
      <c r="M515" s="103"/>
      <c r="N515" s="157">
        <f>MouserListTable12[[#This Row],['# Initial]]*MouserListTable12[[#This Row],[Price (USD)]]</f>
        <v>7.5</v>
      </c>
      <c r="O515" s="106" t="s">
        <v>711</v>
      </c>
      <c r="P515" s="103">
        <f t="shared" si="11"/>
        <v>496</v>
      </c>
      <c r="Q515" s="103" t="s">
        <v>8</v>
      </c>
      <c r="R51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474-SEN-00250</v>
      </c>
      <c r="S515" s="195" t="str">
        <f>HYPERLINK("https://www.mouser.com/ProductDetail/" &amp;MouserListTable12[[#This Row],[Mouser SKU]])</f>
        <v>https://www.mouser.com/ProductDetail/474-SEN-00250</v>
      </c>
      <c r="T515" s="121">
        <v>2</v>
      </c>
      <c r="U515" s="121">
        <v>0</v>
      </c>
      <c r="V515" s="121">
        <v>0</v>
      </c>
      <c r="W515" s="121">
        <f>MouserListTable12[[#This Row],['#/Unit]]*FilterSpecs!$C$3+MouserListTable12[[#This Row],[Extra]]</f>
        <v>10</v>
      </c>
      <c r="X515" s="121">
        <f>IF(MouserListTable12[[#This Row],[Tag]]=FilterSpecs!$F$7,MouserListTable12[[#This Row],['#/Unit]]*MouserListTable12[[#This Row],[Price (USD)]],0)</f>
        <v>1.5</v>
      </c>
      <c r="Y515" s="121">
        <f>MouserListTable12[[#This Row],[Tot '#]]*MouserListTable12[[#This Row],[Price (USD)]]</f>
        <v>7.5</v>
      </c>
      <c r="Z515"/>
    </row>
    <row r="516" spans="1:26" s="146" customFormat="1" x14ac:dyDescent="0.3">
      <c r="A516" s="103" t="s">
        <v>897</v>
      </c>
      <c r="B516" s="103" t="s">
        <v>1012</v>
      </c>
      <c r="C516" s="103" t="s">
        <v>1906</v>
      </c>
      <c r="D516" s="106" t="str">
        <f>IF(MouserListTable12[[#This Row],[Vendor]]=FilterSpecs!$A$8,MouserListTable12[[#This Row],[Mouser SKU]], MouserListTable12[[#This Row],[Supplier SKU]])</f>
        <v>474-COM-08589</v>
      </c>
      <c r="E516" s="121">
        <f>MouserListTable12[[#This Row],[Tot '#]]-MouserListTable12[[#This Row],['# Initial]]</f>
        <v>0</v>
      </c>
      <c r="F516" s="121">
        <f>IF(AND(MouserListTable12[[#This Row],[Tag]]&lt;&gt;FilterSpecs!$F$12, MouserListTable12[[#This Row],[Tag]]&lt;&gt;FilterSpecs!$F$9), MouserListTable12[[#This Row],['#/Unit]]*FilterSpecs!$B$3+MouserListTable12[[#This Row],[Extra Initial]],0)</f>
        <v>10</v>
      </c>
      <c r="G516" s="103" t="s">
        <v>426</v>
      </c>
      <c r="H516" s="103" t="s">
        <v>427</v>
      </c>
      <c r="I516" s="103" t="s">
        <v>428</v>
      </c>
      <c r="J516" s="103">
        <v>1</v>
      </c>
      <c r="K516" s="157">
        <v>0.15</v>
      </c>
      <c r="L516" s="103" t="s">
        <v>1911</v>
      </c>
      <c r="M516" s="103"/>
      <c r="N516" s="157">
        <f>MouserListTable12[[#This Row],['# Initial]]*MouserListTable12[[#This Row],[Price (USD)]]</f>
        <v>1.5</v>
      </c>
      <c r="O516" s="106" t="s">
        <v>425</v>
      </c>
      <c r="P516" s="103">
        <f t="shared" si="11"/>
        <v>497</v>
      </c>
      <c r="Q516" s="103" t="s">
        <v>8</v>
      </c>
      <c r="R51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474-COM-08589</v>
      </c>
      <c r="S516" s="195" t="str">
        <f>HYPERLINK("https://www.mouser.com/ProductDetail/" &amp;MouserListTable12[[#This Row],[Mouser SKU]])</f>
        <v>https://www.mouser.com/ProductDetail/474-COM-08589</v>
      </c>
      <c r="T516" s="121">
        <v>2</v>
      </c>
      <c r="U516" s="121">
        <v>0</v>
      </c>
      <c r="V516" s="121">
        <v>0</v>
      </c>
      <c r="W516" s="121">
        <f>MouserListTable12[[#This Row],['#/Unit]]*FilterSpecs!$C$3+MouserListTable12[[#This Row],[Extra]]</f>
        <v>10</v>
      </c>
      <c r="X516" s="121">
        <f>IF(MouserListTable12[[#This Row],[Tag]]=FilterSpecs!$F$7,MouserListTable12[[#This Row],['#/Unit]]*MouserListTable12[[#This Row],[Price (USD)]],0)</f>
        <v>0.3</v>
      </c>
      <c r="Y516" s="121">
        <f>MouserListTable12[[#This Row],[Tot '#]]*MouserListTable12[[#This Row],[Price (USD)]]</f>
        <v>1.5</v>
      </c>
      <c r="Z516"/>
    </row>
    <row r="517" spans="1:26" s="146" customFormat="1" x14ac:dyDescent="0.3">
      <c r="A517" s="103" t="s">
        <v>897</v>
      </c>
      <c r="B517" s="103" t="s">
        <v>1012</v>
      </c>
      <c r="C517" s="103" t="s">
        <v>1906</v>
      </c>
      <c r="D517" s="106" t="str">
        <f>IF(MouserListTable12[[#This Row],[Vendor]]=FilterSpecs!$A$8,MouserListTable12[[#This Row],[Mouser SKU]], MouserListTable12[[#This Row],[Supplier SKU]])</f>
        <v>474-COM-08588</v>
      </c>
      <c r="E517" s="121">
        <f>MouserListTable12[[#This Row],[Tot '#]]-MouserListTable12[[#This Row],['# Initial]]</f>
        <v>0</v>
      </c>
      <c r="F517" s="121">
        <f>IF(AND(MouserListTable12[[#This Row],[Tag]]&lt;&gt;FilterSpecs!$F$12, MouserListTable12[[#This Row],[Tag]]&lt;&gt;FilterSpecs!$F$9), MouserListTable12[[#This Row],['#/Unit]]*FilterSpecs!$B$3+MouserListTable12[[#This Row],[Extra Initial]],0)</f>
        <v>10</v>
      </c>
      <c r="G517" s="103" t="s">
        <v>430</v>
      </c>
      <c r="H517" s="103" t="s">
        <v>431</v>
      </c>
      <c r="I517" s="103" t="s">
        <v>432</v>
      </c>
      <c r="J517" s="103">
        <v>1</v>
      </c>
      <c r="K517" s="157">
        <v>0.15</v>
      </c>
      <c r="L517" s="103" t="s">
        <v>1911</v>
      </c>
      <c r="M517" s="103"/>
      <c r="N517" s="157">
        <f>MouserListTable12[[#This Row],['# Initial]]*MouserListTable12[[#This Row],[Price (USD)]]</f>
        <v>1.5</v>
      </c>
      <c r="O517" s="106" t="s">
        <v>429</v>
      </c>
      <c r="P517" s="103">
        <f t="shared" si="11"/>
        <v>498</v>
      </c>
      <c r="Q517" s="103" t="s">
        <v>8</v>
      </c>
      <c r="R51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474-COM-08588</v>
      </c>
      <c r="S517" s="195" t="str">
        <f>HYPERLINK("https://www.mouser.com/ProductDetail/" &amp;MouserListTable12[[#This Row],[Mouser SKU]])</f>
        <v>https://www.mouser.com/ProductDetail/474-COM-08588</v>
      </c>
      <c r="T517" s="121">
        <v>2</v>
      </c>
      <c r="U517" s="121">
        <v>0</v>
      </c>
      <c r="V517" s="121">
        <v>0</v>
      </c>
      <c r="W517" s="121">
        <f>MouserListTable12[[#This Row],['#/Unit]]*FilterSpecs!$C$3+MouserListTable12[[#This Row],[Extra]]</f>
        <v>10</v>
      </c>
      <c r="X517" s="121">
        <f>IF(MouserListTable12[[#This Row],[Tag]]=FilterSpecs!$F$7,MouserListTable12[[#This Row],['#/Unit]]*MouserListTable12[[#This Row],[Price (USD)]],0)</f>
        <v>0.3</v>
      </c>
      <c r="Y517" s="121">
        <f>MouserListTable12[[#This Row],[Tot '#]]*MouserListTable12[[#This Row],[Price (USD)]]</f>
        <v>1.5</v>
      </c>
      <c r="Z517"/>
    </row>
    <row r="518" spans="1:26" s="146" customFormat="1" x14ac:dyDescent="0.3">
      <c r="A518" s="103" t="s">
        <v>897</v>
      </c>
      <c r="B518" s="103" t="s">
        <v>1012</v>
      </c>
      <c r="C518" s="103" t="s">
        <v>1906</v>
      </c>
      <c r="D518" s="106" t="str">
        <f>IF(MouserListTable12[[#This Row],[Vendor]]=FilterSpecs!$A$8,MouserListTable12[[#This Row],[Mouser SKU]], MouserListTable12[[#This Row],[Supplier SKU]])</f>
        <v>474-COM-10926</v>
      </c>
      <c r="E518" s="121">
        <f>MouserListTable12[[#This Row],[Tot '#]]-MouserListTable12[[#This Row],['# Initial]]</f>
        <v>0</v>
      </c>
      <c r="F518" s="121">
        <f>IF(AND(MouserListTable12[[#This Row],[Tag]]&lt;&gt;FilterSpecs!$F$12, MouserListTable12[[#This Row],[Tag]]&lt;&gt;FilterSpecs!$F$9), MouserListTable12[[#This Row],['#/Unit]]*FilterSpecs!$B$3+MouserListTable12[[#This Row],[Extra Initial]],0)</f>
        <v>10</v>
      </c>
      <c r="G518" s="103" t="s">
        <v>672</v>
      </c>
      <c r="H518" s="103" t="s">
        <v>673</v>
      </c>
      <c r="I518" s="103" t="s">
        <v>674</v>
      </c>
      <c r="J518" s="103">
        <v>1</v>
      </c>
      <c r="K518" s="157">
        <v>0.15</v>
      </c>
      <c r="L518" s="103" t="s">
        <v>1911</v>
      </c>
      <c r="M518" s="103"/>
      <c r="N518" s="157">
        <f>MouserListTable12[[#This Row],['# Initial]]*MouserListTable12[[#This Row],[Price (USD)]]</f>
        <v>1.5</v>
      </c>
      <c r="O518" s="106" t="s">
        <v>671</v>
      </c>
      <c r="P518" s="103">
        <f t="shared" si="11"/>
        <v>499</v>
      </c>
      <c r="Q518" s="103" t="s">
        <v>8</v>
      </c>
      <c r="R51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474-COM-10926</v>
      </c>
      <c r="S518" s="195" t="str">
        <f>HYPERLINK("https://www.mouser.com/ProductDetail/" &amp;MouserListTable12[[#This Row],[Mouser SKU]])</f>
        <v>https://www.mouser.com/ProductDetail/474-COM-10926</v>
      </c>
      <c r="T518" s="121">
        <v>2</v>
      </c>
      <c r="U518" s="121">
        <v>0</v>
      </c>
      <c r="V518" s="121">
        <v>0</v>
      </c>
      <c r="W518" s="121">
        <f>MouserListTable12[[#This Row],['#/Unit]]*FilterSpecs!$C$3+MouserListTable12[[#This Row],[Extra]]</f>
        <v>10</v>
      </c>
      <c r="X518" s="121">
        <f>IF(MouserListTable12[[#This Row],[Tag]]=FilterSpecs!$F$7,MouserListTable12[[#This Row],['#/Unit]]*MouserListTable12[[#This Row],[Price (USD)]],0)</f>
        <v>0.3</v>
      </c>
      <c r="Y518" s="121">
        <f>MouserListTable12[[#This Row],[Tot '#]]*MouserListTable12[[#This Row],[Price (USD)]]</f>
        <v>1.5</v>
      </c>
      <c r="Z518"/>
    </row>
    <row r="519" spans="1:26" s="146" customFormat="1" hidden="1" x14ac:dyDescent="0.3">
      <c r="A519" s="103" t="s">
        <v>897</v>
      </c>
      <c r="B519" s="103" t="s">
        <v>1012</v>
      </c>
      <c r="C519" s="103" t="s">
        <v>1906</v>
      </c>
      <c r="D519" s="106" t="str">
        <f>IF(MouserListTable12[[#This Row],[Vendor]]=FilterSpecs!$A$8,MouserListTable12[[#This Row],[Mouser SKU]], MouserListTable12[[#This Row],[Supplier SKU]])</f>
        <v>474-COM-10301</v>
      </c>
      <c r="E519" s="121">
        <f>MouserListTable12[[#This Row],[Tot '#]]-MouserListTable12[[#This Row],['# Initial]]</f>
        <v>10</v>
      </c>
      <c r="F519" s="121">
        <f>IF(AND(MouserListTable12[[#This Row],[Tag]]&lt;&gt;FilterSpecs!$F$12, MouserListTable12[[#This Row],[Tag]]&lt;&gt;FilterSpecs!$F$9), MouserListTable12[[#This Row],['#/Unit]]*FilterSpecs!$B$3+MouserListTable12[[#This Row],[Extra Initial]],0)</f>
        <v>0</v>
      </c>
      <c r="G519" s="103" t="s">
        <v>422</v>
      </c>
      <c r="H519" s="103" t="s">
        <v>423</v>
      </c>
      <c r="I519" s="103" t="s">
        <v>424</v>
      </c>
      <c r="J519" s="103">
        <v>1</v>
      </c>
      <c r="K519" s="157">
        <v>0.25</v>
      </c>
      <c r="L519" s="103" t="s">
        <v>2487</v>
      </c>
      <c r="M519" s="103"/>
      <c r="N519" s="157">
        <f>MouserListTable12[[#This Row],['# Initial]]*MouserListTable12[[#This Row],[Price (USD)]]</f>
        <v>0</v>
      </c>
      <c r="O519" s="106" t="s">
        <v>421</v>
      </c>
      <c r="P519" s="103">
        <f t="shared" si="11"/>
        <v>500</v>
      </c>
      <c r="Q519" s="103" t="s">
        <v>8</v>
      </c>
      <c r="R51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474-COM-10301</v>
      </c>
      <c r="S519" s="195" t="str">
        <f>HYPERLINK("https://www.mouser.com/ProductDetail/" &amp;MouserListTable12[[#This Row],[Mouser SKU]])</f>
        <v>https://www.mouser.com/ProductDetail/474-COM-10301</v>
      </c>
      <c r="T519" s="121">
        <v>2</v>
      </c>
      <c r="U519" s="121">
        <v>0</v>
      </c>
      <c r="V519" s="121">
        <v>0</v>
      </c>
      <c r="W519" s="121">
        <f>MouserListTable12[[#This Row],['#/Unit]]*FilterSpecs!$C$3+MouserListTable12[[#This Row],[Extra]]</f>
        <v>10</v>
      </c>
      <c r="X519" s="121">
        <f>IF(MouserListTable12[[#This Row],[Tag]]=FilterSpecs!$F$7,MouserListTable12[[#This Row],['#/Unit]]*MouserListTable12[[#This Row],[Price (USD)]],0)</f>
        <v>0</v>
      </c>
      <c r="Y519" s="121">
        <f>MouserListTable12[[#This Row],[Tot '#]]*MouserListTable12[[#This Row],[Price (USD)]]</f>
        <v>2.5</v>
      </c>
      <c r="Z519"/>
    </row>
    <row r="520" spans="1:26" s="146" customFormat="1" hidden="1" x14ac:dyDescent="0.3">
      <c r="A520" s="103" t="s">
        <v>897</v>
      </c>
      <c r="B520" s="103" t="s">
        <v>1894</v>
      </c>
      <c r="C520" s="103" t="s">
        <v>1906</v>
      </c>
      <c r="D520" s="106" t="str">
        <f>IF(MouserListTable12[[#This Row],[Vendor]]=FilterSpecs!$A$8,MouserListTable12[[#This Row],[Mouser SKU]], MouserListTable12[[#This Row],[Supplier SKU]])</f>
        <v>474-COM-11154</v>
      </c>
      <c r="E520" s="121">
        <f>MouserListTable12[[#This Row],[Tot '#]]-MouserListTable12[[#This Row],['# Initial]]</f>
        <v>2</v>
      </c>
      <c r="F520" s="121">
        <f>IF(AND(MouserListTable12[[#This Row],[Tag]]&lt;&gt;FilterSpecs!$F$12, MouserListTable12[[#This Row],[Tag]]&lt;&gt;FilterSpecs!$F$9), MouserListTable12[[#This Row],['#/Unit]]*FilterSpecs!$B$3+MouserListTable12[[#This Row],[Extra Initial]],0)</f>
        <v>0</v>
      </c>
      <c r="G520" s="103" t="s">
        <v>748</v>
      </c>
      <c r="H520" s="103" t="s">
        <v>749</v>
      </c>
      <c r="I520" s="103" t="s">
        <v>750</v>
      </c>
      <c r="J520" s="103"/>
      <c r="K520" s="157">
        <v>0.5</v>
      </c>
      <c r="L520" s="103" t="s">
        <v>1910</v>
      </c>
      <c r="M520" s="103"/>
      <c r="N520" s="157">
        <f>MouserListTable12[[#This Row],['# Initial]]*MouserListTable12[[#This Row],[Price (USD)]]</f>
        <v>0</v>
      </c>
      <c r="O520" s="106" t="s">
        <v>747</v>
      </c>
      <c r="P520" s="103">
        <f t="shared" si="11"/>
        <v>501</v>
      </c>
      <c r="Q520" s="103" t="s">
        <v>8</v>
      </c>
      <c r="R52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474-COM-11154</v>
      </c>
      <c r="S520" s="195" t="str">
        <f>HYPERLINK("https://www.mouser.com/ProductDetail/" &amp;MouserListTable12[[#This Row],[Mouser SKU]])</f>
        <v>https://www.mouser.com/ProductDetail/474-COM-11154</v>
      </c>
      <c r="T520" s="121">
        <v>0</v>
      </c>
      <c r="U520" s="121">
        <v>2</v>
      </c>
      <c r="V520" s="121">
        <v>0</v>
      </c>
      <c r="W520" s="121">
        <f>MouserListTable12[[#This Row],['#/Unit]]*FilterSpecs!$C$3+MouserListTable12[[#This Row],[Extra]]</f>
        <v>2</v>
      </c>
      <c r="X520" s="121">
        <f>IF(MouserListTable12[[#This Row],[Tag]]=FilterSpecs!$F$7,MouserListTable12[[#This Row],['#/Unit]]*MouserListTable12[[#This Row],[Price (USD)]],0)</f>
        <v>0</v>
      </c>
      <c r="Y520" s="121">
        <f>MouserListTable12[[#This Row],[Tot '#]]*MouserListTable12[[#This Row],[Price (USD)]]</f>
        <v>1</v>
      </c>
      <c r="Z520"/>
    </row>
    <row r="521" spans="1:26" s="146" customFormat="1" hidden="1" x14ac:dyDescent="0.3">
      <c r="A521" s="103" t="s">
        <v>897</v>
      </c>
      <c r="B521" s="103" t="s">
        <v>1894</v>
      </c>
      <c r="C521" s="103" t="s">
        <v>1906</v>
      </c>
      <c r="D521" s="106" t="str">
        <f>IF(MouserListTable12[[#This Row],[Vendor]]=FilterSpecs!$A$8,MouserListTable12[[#This Row],[Mouser SKU]], MouserListTable12[[#This Row],[Supplier SKU]])</f>
        <v>474-PRT-08032</v>
      </c>
      <c r="E521" s="121">
        <f>MouserListTable12[[#This Row],[Tot '#]]-MouserListTable12[[#This Row],['# Initial]]</f>
        <v>4</v>
      </c>
      <c r="F521" s="121">
        <f>IF(AND(MouserListTable12[[#This Row],[Tag]]&lt;&gt;FilterSpecs!$F$12, MouserListTable12[[#This Row],[Tag]]&lt;&gt;FilterSpecs!$F$9), MouserListTable12[[#This Row],['#/Unit]]*FilterSpecs!$B$3+MouserListTable12[[#This Row],[Extra Initial]],0)</f>
        <v>0</v>
      </c>
      <c r="G521" s="103" t="s">
        <v>744</v>
      </c>
      <c r="H521" s="103" t="s">
        <v>745</v>
      </c>
      <c r="I521" s="103" t="s">
        <v>746</v>
      </c>
      <c r="J521" s="103">
        <v>1</v>
      </c>
      <c r="K521" s="157">
        <v>1.5</v>
      </c>
      <c r="L521" s="103" t="s">
        <v>1910</v>
      </c>
      <c r="M521" s="103"/>
      <c r="N521" s="157">
        <f>MouserListTable12[[#This Row],['# Initial]]*MouserListTable12[[#This Row],[Price (USD)]]</f>
        <v>0</v>
      </c>
      <c r="O521" s="106" t="s">
        <v>743</v>
      </c>
      <c r="P521" s="103">
        <f t="shared" si="11"/>
        <v>502</v>
      </c>
      <c r="Q521" s="103" t="s">
        <v>8</v>
      </c>
      <c r="R52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474-PRT-08032</v>
      </c>
      <c r="S521" s="195" t="str">
        <f>HYPERLINK("https://www.mouser.com/ProductDetail/" &amp;MouserListTable12[[#This Row],[Mouser SKU]])</f>
        <v>https://www.mouser.com/ProductDetail/474-PRT-08032</v>
      </c>
      <c r="T521" s="121">
        <v>0</v>
      </c>
      <c r="U521" s="121">
        <v>4</v>
      </c>
      <c r="V521" s="121">
        <v>0</v>
      </c>
      <c r="W521" s="121">
        <f>MouserListTable12[[#This Row],['#/Unit]]*FilterSpecs!$C$3+MouserListTable12[[#This Row],[Extra]]</f>
        <v>4</v>
      </c>
      <c r="X521" s="121">
        <f>IF(MouserListTable12[[#This Row],[Tag]]=FilterSpecs!$F$7,MouserListTable12[[#This Row],['#/Unit]]*MouserListTable12[[#This Row],[Price (USD)]],0)</f>
        <v>0</v>
      </c>
      <c r="Y521" s="121">
        <f>MouserListTable12[[#This Row],[Tot '#]]*MouserListTable12[[#This Row],[Price (USD)]]</f>
        <v>6</v>
      </c>
      <c r="Z521"/>
    </row>
    <row r="522" spans="1:26" s="146" customFormat="1" hidden="1" x14ac:dyDescent="0.3">
      <c r="A522" s="103" t="s">
        <v>897</v>
      </c>
      <c r="B522" s="103" t="s">
        <v>1894</v>
      </c>
      <c r="C522" s="103" t="s">
        <v>1906</v>
      </c>
      <c r="D522" s="106" t="str">
        <f>IF(MouserListTable12[[#This Row],[Vendor]]=FilterSpecs!$A$8,MouserListTable12[[#This Row],[Mouser SKU]], MouserListTable12[[#This Row],[Supplier SKU]])</f>
        <v>474-COM-11143</v>
      </c>
      <c r="E522" s="121">
        <f>MouserListTable12[[#This Row],[Tot '#]]-MouserListTable12[[#This Row],['# Initial]]</f>
        <v>8</v>
      </c>
      <c r="F522" s="121">
        <f>IF(AND(MouserListTable12[[#This Row],[Tag]]&lt;&gt;FilterSpecs!$F$12, MouserListTable12[[#This Row],[Tag]]&lt;&gt;FilterSpecs!$F$9), MouserListTable12[[#This Row],['#/Unit]]*FilterSpecs!$B$3+MouserListTable12[[#This Row],[Extra Initial]],0)</f>
        <v>0</v>
      </c>
      <c r="G522" s="103" t="s">
        <v>740</v>
      </c>
      <c r="H522" s="103" t="s">
        <v>741</v>
      </c>
      <c r="I522" s="103" t="s">
        <v>742</v>
      </c>
      <c r="J522" s="103"/>
      <c r="K522" s="157">
        <v>0.5</v>
      </c>
      <c r="L522" s="103" t="s">
        <v>1910</v>
      </c>
      <c r="M522" s="103"/>
      <c r="N522" s="157">
        <f>MouserListTable12[[#This Row],['# Initial]]*MouserListTable12[[#This Row],[Price (USD)]]</f>
        <v>0</v>
      </c>
      <c r="O522" s="106" t="s">
        <v>739</v>
      </c>
      <c r="P522" s="103">
        <f t="shared" si="11"/>
        <v>503</v>
      </c>
      <c r="Q522" s="103" t="s">
        <v>8</v>
      </c>
      <c r="R52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474-COM-11143</v>
      </c>
      <c r="S522" s="195" t="str">
        <f>HYPERLINK("https://www.mouser.com/ProductDetail/" &amp;MouserListTable12[[#This Row],[Mouser SKU]])</f>
        <v>https://www.mouser.com/ProductDetail/474-COM-11143</v>
      </c>
      <c r="T522" s="121">
        <v>0</v>
      </c>
      <c r="U522" s="121">
        <v>8</v>
      </c>
      <c r="V522" s="121">
        <v>0</v>
      </c>
      <c r="W522" s="121">
        <f>MouserListTable12[[#This Row],['#/Unit]]*FilterSpecs!$C$3+MouserListTable12[[#This Row],[Extra]]</f>
        <v>8</v>
      </c>
      <c r="X522" s="121">
        <f>IF(MouserListTable12[[#This Row],[Tag]]=FilterSpecs!$F$7,MouserListTable12[[#This Row],['#/Unit]]*MouserListTable12[[#This Row],[Price (USD)]],0)</f>
        <v>0</v>
      </c>
      <c r="Y522" s="121">
        <f>MouserListTable12[[#This Row],[Tot '#]]*MouserListTable12[[#This Row],[Price (USD)]]</f>
        <v>4</v>
      </c>
      <c r="Z522"/>
    </row>
    <row r="523" spans="1:26" s="146" customFormat="1" hidden="1" x14ac:dyDescent="0.3">
      <c r="A523" s="103" t="s">
        <v>897</v>
      </c>
      <c r="B523" s="103" t="s">
        <v>1894</v>
      </c>
      <c r="C523" s="103" t="s">
        <v>1906</v>
      </c>
      <c r="D523" s="106" t="str">
        <f>IF(MouserListTable12[[#This Row],[Vendor]]=FilterSpecs!$A$8,MouserListTable12[[#This Row],[Mouser SKU]], MouserListTable12[[#This Row],[Supplier SKU]])</f>
        <v>474-PRT-10588</v>
      </c>
      <c r="E523" s="121">
        <f>MouserListTable12[[#This Row],[Tot '#]]-MouserListTable12[[#This Row],['# Initial]]</f>
        <v>2</v>
      </c>
      <c r="F523" s="121">
        <f>IF(AND(MouserListTable12[[#This Row],[Tag]]&lt;&gt;FilterSpecs!$F$12, MouserListTable12[[#This Row],[Tag]]&lt;&gt;FilterSpecs!$F$9), MouserListTable12[[#This Row],['#/Unit]]*FilterSpecs!$B$3+MouserListTable12[[#This Row],[Extra Initial]],0)</f>
        <v>0</v>
      </c>
      <c r="G523" s="103" t="s">
        <v>906</v>
      </c>
      <c r="H523" s="103" t="s">
        <v>907</v>
      </c>
      <c r="I523" s="103" t="s">
        <v>908</v>
      </c>
      <c r="J523" s="103">
        <v>1</v>
      </c>
      <c r="K523" s="157">
        <v>0.95</v>
      </c>
      <c r="L523" s="106" t="s">
        <v>1910</v>
      </c>
      <c r="M523" s="103"/>
      <c r="N523" s="157">
        <f>MouserListTable12[[#This Row],['# Initial]]*MouserListTable12[[#This Row],[Price (USD)]]</f>
        <v>0</v>
      </c>
      <c r="O523" s="106" t="s">
        <v>905</v>
      </c>
      <c r="P523" s="103">
        <f t="shared" si="11"/>
        <v>504</v>
      </c>
      <c r="Q523" s="103" t="s">
        <v>8</v>
      </c>
      <c r="R52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474-PRT-10588</v>
      </c>
      <c r="S523" s="195" t="str">
        <f>HYPERLINK("https://www.mouser.com/ProductDetail/" &amp;MouserListTable12[[#This Row],[Mouser SKU]])</f>
        <v>https://www.mouser.com/ProductDetail/474-PRT-10588</v>
      </c>
      <c r="T523" s="121">
        <v>0</v>
      </c>
      <c r="U523" s="121">
        <v>2</v>
      </c>
      <c r="V523" s="121">
        <v>0</v>
      </c>
      <c r="W523" s="121">
        <f>MouserListTable12[[#This Row],['#/Unit]]*FilterSpecs!$C$3+MouserListTable12[[#This Row],[Extra]]</f>
        <v>2</v>
      </c>
      <c r="X523" s="121">
        <f>IF(MouserListTable12[[#This Row],[Tag]]=FilterSpecs!$F$7,MouserListTable12[[#This Row],['#/Unit]]*MouserListTable12[[#This Row],[Price (USD)]],0)</f>
        <v>0</v>
      </c>
      <c r="Y523" s="121">
        <f>MouserListTable12[[#This Row],[Tot '#]]*MouserListTable12[[#This Row],[Price (USD)]]</f>
        <v>1.9</v>
      </c>
      <c r="Z523"/>
    </row>
    <row r="524" spans="1:26" s="146" customFormat="1" hidden="1" x14ac:dyDescent="0.3">
      <c r="A524" s="103" t="s">
        <v>897</v>
      </c>
      <c r="B524" s="103" t="s">
        <v>1894</v>
      </c>
      <c r="C524" s="103" t="s">
        <v>1906</v>
      </c>
      <c r="D524" s="106" t="str">
        <f>IF(MouserListTable12[[#This Row],[Vendor]]=FilterSpecs!$A$8,MouserListTable12[[#This Row],[Mouser SKU]], MouserListTable12[[#This Row],[Supplier SKU]])</f>
        <v>485-2911</v>
      </c>
      <c r="E524" s="121">
        <f>MouserListTable12[[#This Row],[Tot '#]]-MouserListTable12[[#This Row],['# Initial]]</f>
        <v>0</v>
      </c>
      <c r="F524" s="121">
        <f>IF(AND(MouserListTable12[[#This Row],[Tag]]&lt;&gt;FilterSpecs!$F$12, MouserListTable12[[#This Row],[Tag]]&lt;&gt;FilterSpecs!$F$9), MouserListTable12[[#This Row],['#/Unit]]*FilterSpecs!$B$3+MouserListTable12[[#This Row],[Extra Initial]],0)</f>
        <v>0</v>
      </c>
      <c r="G524" s="103"/>
      <c r="H524" s="103"/>
      <c r="I524" s="126" t="s">
        <v>2214</v>
      </c>
      <c r="K524" s="158">
        <v>1.95</v>
      </c>
      <c r="L524" s="126" t="s">
        <v>1910</v>
      </c>
      <c r="N524" s="157">
        <f>MouserListTable12[[#This Row],['# Initial]]*MouserListTable12[[#This Row],[Price (USD)]]</f>
        <v>0</v>
      </c>
      <c r="O524" s="106" t="s">
        <v>2213</v>
      </c>
      <c r="P524" s="103">
        <f t="shared" si="11"/>
        <v>505</v>
      </c>
      <c r="Q524" s="103" t="s">
        <v>1898</v>
      </c>
      <c r="R52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485-2911</v>
      </c>
      <c r="S524" s="195" t="str">
        <f>HYPERLINK("https://www.mouser.com/ProductDetail/" &amp;MouserListTable12[[#This Row],[Mouser SKU]])</f>
        <v>https://www.mouser.com/ProductDetail/485-2911</v>
      </c>
      <c r="T524" s="121">
        <v>0</v>
      </c>
      <c r="U524" s="121">
        <v>0</v>
      </c>
      <c r="V524" s="121">
        <v>0</v>
      </c>
      <c r="W524" s="121">
        <f>MouserListTable12[[#This Row],['#/Unit]]*FilterSpecs!$C$3+MouserListTable12[[#This Row],[Extra]]</f>
        <v>0</v>
      </c>
      <c r="X524" s="121">
        <f>IF(MouserListTable12[[#This Row],[Tag]]=FilterSpecs!$F$7,MouserListTable12[[#This Row],['#/Unit]]*MouserListTable12[[#This Row],[Price (USD)]],0)</f>
        <v>0</v>
      </c>
      <c r="Y524" s="121">
        <f>MouserListTable12[[#This Row],[Tot '#]]*MouserListTable12[[#This Row],[Price (USD)]]</f>
        <v>0</v>
      </c>
      <c r="Z524"/>
    </row>
    <row r="525" spans="1:26" s="146" customFormat="1" hidden="1" x14ac:dyDescent="0.3">
      <c r="A525" s="103" t="s">
        <v>897</v>
      </c>
      <c r="B525" s="103" t="s">
        <v>1894</v>
      </c>
      <c r="C525" s="103" t="s">
        <v>1906</v>
      </c>
      <c r="D525" s="106" t="str">
        <f>IF(MouserListTable12[[#This Row],[Vendor]]=FilterSpecs!$A$8,MouserListTable12[[#This Row],[Mouser SKU]], MouserListTable12[[#This Row],[Supplier SKU]])</f>
        <v>485-2791</v>
      </c>
      <c r="E525" s="121">
        <f>MouserListTable12[[#This Row],[Tot '#]]-MouserListTable12[[#This Row],['# Initial]]</f>
        <v>0</v>
      </c>
      <c r="F525" s="121">
        <f>IF(AND(MouserListTable12[[#This Row],[Tag]]&lt;&gt;FilterSpecs!$F$12, MouserListTable12[[#This Row],[Tag]]&lt;&gt;FilterSpecs!$F$9), MouserListTable12[[#This Row],['#/Unit]]*FilterSpecs!$B$3+MouserListTable12[[#This Row],[Extra Initial]],0)</f>
        <v>0</v>
      </c>
      <c r="G525" s="103"/>
      <c r="H525" s="103"/>
      <c r="I525" s="126" t="s">
        <v>2216</v>
      </c>
      <c r="K525" s="158">
        <v>2.5</v>
      </c>
      <c r="L525" s="126" t="s">
        <v>1910</v>
      </c>
      <c r="N525" s="157">
        <f>MouserListTable12[[#This Row],['# Initial]]*MouserListTable12[[#This Row],[Price (USD)]]</f>
        <v>0</v>
      </c>
      <c r="O525" s="106" t="s">
        <v>2215</v>
      </c>
      <c r="P525" s="103">
        <f t="shared" si="11"/>
        <v>506</v>
      </c>
      <c r="Q525" s="103" t="s">
        <v>1898</v>
      </c>
      <c r="R52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485-2791</v>
      </c>
      <c r="S525" s="195" t="str">
        <f>HYPERLINK("https://www.mouser.com/ProductDetail/" &amp;MouserListTable12[[#This Row],[Mouser SKU]])</f>
        <v>https://www.mouser.com/ProductDetail/485-2791</v>
      </c>
      <c r="T525" s="121">
        <v>0</v>
      </c>
      <c r="U525" s="121">
        <v>0</v>
      </c>
      <c r="V525" s="121">
        <v>0</v>
      </c>
      <c r="W525" s="121">
        <f>MouserListTable12[[#This Row],['#/Unit]]*FilterSpecs!$C$3+MouserListTable12[[#This Row],[Extra]]</f>
        <v>0</v>
      </c>
      <c r="X525" s="121">
        <f>IF(MouserListTable12[[#This Row],[Tag]]=FilterSpecs!$F$7,MouserListTable12[[#This Row],['#/Unit]]*MouserListTable12[[#This Row],[Price (USD)]],0)</f>
        <v>0</v>
      </c>
      <c r="Y525" s="121">
        <f>MouserListTable12[[#This Row],[Tot '#]]*MouserListTable12[[#This Row],[Price (USD)]]</f>
        <v>0</v>
      </c>
      <c r="Z525"/>
    </row>
    <row r="526" spans="1:26" s="146" customFormat="1" hidden="1" x14ac:dyDescent="0.3">
      <c r="A526" s="103" t="s">
        <v>897</v>
      </c>
      <c r="B526" s="103" t="s">
        <v>1894</v>
      </c>
      <c r="C526" s="103" t="s">
        <v>1906</v>
      </c>
      <c r="D526" s="106" t="str">
        <f>IF(MouserListTable12[[#This Row],[Vendor]]=FilterSpecs!$A$8,MouserListTable12[[#This Row],[Mouser SKU]], MouserListTable12[[#This Row],[Supplier SKU]])</f>
        <v>485-2790</v>
      </c>
      <c r="E526" s="121">
        <f>MouserListTable12[[#This Row],[Tot '#]]-MouserListTable12[[#This Row],['# Initial]]</f>
        <v>0</v>
      </c>
      <c r="F526" s="121">
        <f>IF(AND(MouserListTable12[[#This Row],[Tag]]&lt;&gt;FilterSpecs!$F$12, MouserListTable12[[#This Row],[Tag]]&lt;&gt;FilterSpecs!$F$9), MouserListTable12[[#This Row],['#/Unit]]*FilterSpecs!$B$3+MouserListTable12[[#This Row],[Extra Initial]],0)</f>
        <v>0</v>
      </c>
      <c r="G526" s="103"/>
      <c r="H526" s="103"/>
      <c r="I526" s="126" t="s">
        <v>2218</v>
      </c>
      <c r="K526" s="158">
        <v>2.5</v>
      </c>
      <c r="L526" s="126" t="s">
        <v>1910</v>
      </c>
      <c r="N526" s="157">
        <f>MouserListTable12[[#This Row],['# Initial]]*MouserListTable12[[#This Row],[Price (USD)]]</f>
        <v>0</v>
      </c>
      <c r="O526" s="106" t="s">
        <v>2217</v>
      </c>
      <c r="P526" s="103">
        <f t="shared" si="11"/>
        <v>507</v>
      </c>
      <c r="Q526" s="103" t="s">
        <v>1898</v>
      </c>
      <c r="R52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485-2790</v>
      </c>
      <c r="S526" s="195" t="str">
        <f>HYPERLINK("https://www.mouser.com/ProductDetail/" &amp;MouserListTable12[[#This Row],[Mouser SKU]])</f>
        <v>https://www.mouser.com/ProductDetail/485-2790</v>
      </c>
      <c r="T526" s="121">
        <v>0</v>
      </c>
      <c r="U526" s="121">
        <v>0</v>
      </c>
      <c r="V526" s="121">
        <v>0</v>
      </c>
      <c r="W526" s="121">
        <f>MouserListTable12[[#This Row],['#/Unit]]*FilterSpecs!$C$3+MouserListTable12[[#This Row],[Extra]]</f>
        <v>0</v>
      </c>
      <c r="X526" s="121">
        <f>IF(MouserListTable12[[#This Row],[Tag]]=FilterSpecs!$F$7,MouserListTable12[[#This Row],['#/Unit]]*MouserListTable12[[#This Row],[Price (USD)]],0)</f>
        <v>0</v>
      </c>
      <c r="Y526" s="121">
        <f>MouserListTable12[[#This Row],[Tot '#]]*MouserListTable12[[#This Row],[Price (USD)]]</f>
        <v>0</v>
      </c>
      <c r="Z526"/>
    </row>
    <row r="527" spans="1:26" s="146" customFormat="1" hidden="1" x14ac:dyDescent="0.3">
      <c r="A527" s="103" t="s">
        <v>897</v>
      </c>
      <c r="B527" s="103" t="s">
        <v>1894</v>
      </c>
      <c r="C527" s="103" t="s">
        <v>1906</v>
      </c>
      <c r="D527" s="106" t="str">
        <f>IF(MouserListTable12[[#This Row],[Vendor]]=FilterSpecs!$A$8,MouserListTable12[[#This Row],[Mouser SKU]], MouserListTable12[[#This Row],[Supplier SKU]])</f>
        <v>485-1699</v>
      </c>
      <c r="E527" s="121">
        <f>MouserListTable12[[#This Row],[Tot '#]]-MouserListTable12[[#This Row],['# Initial]]</f>
        <v>0</v>
      </c>
      <c r="F527" s="121">
        <f>IF(AND(MouserListTable12[[#This Row],[Tag]]&lt;&gt;FilterSpecs!$F$12, MouserListTable12[[#This Row],[Tag]]&lt;&gt;FilterSpecs!$F$9), MouserListTable12[[#This Row],['#/Unit]]*FilterSpecs!$B$3+MouserListTable12[[#This Row],[Extra Initial]],0)</f>
        <v>0</v>
      </c>
      <c r="G527" s="103"/>
      <c r="H527" s="103"/>
      <c r="I527" s="126" t="s">
        <v>2220</v>
      </c>
      <c r="K527" s="158">
        <v>0.95</v>
      </c>
      <c r="L527" s="126" t="s">
        <v>1910</v>
      </c>
      <c r="N527" s="157">
        <f>MouserListTable12[[#This Row],['# Initial]]*MouserListTable12[[#This Row],[Price (USD)]]</f>
        <v>0</v>
      </c>
      <c r="O527" s="106" t="s">
        <v>2219</v>
      </c>
      <c r="P527" s="103">
        <f t="shared" si="11"/>
        <v>508</v>
      </c>
      <c r="Q527" s="103" t="s">
        <v>1898</v>
      </c>
      <c r="R52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485-1699</v>
      </c>
      <c r="S527" s="195" t="str">
        <f>HYPERLINK("https://www.mouser.com/ProductDetail/" &amp;MouserListTable12[[#This Row],[Mouser SKU]])</f>
        <v>https://www.mouser.com/ProductDetail/485-1699</v>
      </c>
      <c r="T527" s="121">
        <v>0</v>
      </c>
      <c r="U527" s="121">
        <v>0</v>
      </c>
      <c r="V527" s="121">
        <v>0</v>
      </c>
      <c r="W527" s="121">
        <f>MouserListTable12[[#This Row],['#/Unit]]*FilterSpecs!$C$3+MouserListTable12[[#This Row],[Extra]]</f>
        <v>0</v>
      </c>
      <c r="X527" s="121">
        <f>IF(MouserListTable12[[#This Row],[Tag]]=FilterSpecs!$F$7,MouserListTable12[[#This Row],['#/Unit]]*MouserListTable12[[#This Row],[Price (USD)]],0)</f>
        <v>0</v>
      </c>
      <c r="Y527" s="121">
        <f>MouserListTable12[[#This Row],[Tot '#]]*MouserListTable12[[#This Row],[Price (USD)]]</f>
        <v>0</v>
      </c>
      <c r="Z527"/>
    </row>
    <row r="528" spans="1:26" s="146" customFormat="1" x14ac:dyDescent="0.3">
      <c r="A528" s="103" t="s">
        <v>897</v>
      </c>
      <c r="B528" s="103" t="s">
        <v>2022</v>
      </c>
      <c r="C528" s="103" t="s">
        <v>1906</v>
      </c>
      <c r="D528" s="106" t="str">
        <f>IF(MouserListTable12[[#This Row],[Vendor]]=FilterSpecs!$A$8,MouserListTable12[[#This Row],[Mouser SKU]], MouserListTable12[[#This Row],[Supplier SKU]])</f>
        <v>485-2429</v>
      </c>
      <c r="E528" s="121">
        <f>MouserListTable12[[#This Row],[Tot '#]]-MouserListTable12[[#This Row],['# Initial]]</f>
        <v>0</v>
      </c>
      <c r="F528" s="121">
        <f>IF(AND(MouserListTable12[[#This Row],[Tag]]&lt;&gt;FilterSpecs!$F$12, MouserListTable12[[#This Row],[Tag]]&lt;&gt;FilterSpecs!$F$9), MouserListTable12[[#This Row],['#/Unit]]*FilterSpecs!$B$3+MouserListTable12[[#This Row],[Extra Initial]],0)</f>
        <v>1</v>
      </c>
      <c r="G528" s="103"/>
      <c r="H528" s="103"/>
      <c r="I528" s="103" t="s">
        <v>2228</v>
      </c>
      <c r="K528" s="157">
        <v>4.95</v>
      </c>
      <c r="L528" s="103" t="s">
        <v>1910</v>
      </c>
      <c r="M528" s="106"/>
      <c r="N528" s="157">
        <f>MouserListTable12[[#This Row],['# Initial]]*MouserListTable12[[#This Row],[Price (USD)]]</f>
        <v>4.95</v>
      </c>
      <c r="O528" s="106" t="s">
        <v>2227</v>
      </c>
      <c r="P528" s="103">
        <f t="shared" si="11"/>
        <v>509</v>
      </c>
      <c r="Q528" s="103" t="s">
        <v>1898</v>
      </c>
      <c r="R52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485-2429</v>
      </c>
      <c r="S528" s="195" t="str">
        <f>HYPERLINK("https://www.mouser.com/ProductDetail/" &amp;MouserListTable12[[#This Row],[Mouser SKU]])</f>
        <v>https://www.mouser.com/ProductDetail/485-2429</v>
      </c>
      <c r="T528" s="121">
        <v>0</v>
      </c>
      <c r="U528" s="121">
        <v>1</v>
      </c>
      <c r="V528" s="121">
        <v>1</v>
      </c>
      <c r="W528" s="121">
        <f>MouserListTable12[[#This Row],['#/Unit]]*FilterSpecs!$C$3+MouserListTable12[[#This Row],[Extra]]</f>
        <v>1</v>
      </c>
      <c r="X528" s="121">
        <f>IF(MouserListTable12[[#This Row],[Tag]]=FilterSpecs!$F$7,MouserListTable12[[#This Row],['#/Unit]]*MouserListTable12[[#This Row],[Price (USD)]],0)</f>
        <v>0</v>
      </c>
      <c r="Y528" s="121">
        <f>MouserListTable12[[#This Row],[Tot '#]]*MouserListTable12[[#This Row],[Price (USD)]]</f>
        <v>4.95</v>
      </c>
      <c r="Z528"/>
    </row>
    <row r="529" spans="1:26" s="146" customFormat="1" x14ac:dyDescent="0.3">
      <c r="A529" s="103" t="s">
        <v>897</v>
      </c>
      <c r="B529" s="103" t="s">
        <v>2022</v>
      </c>
      <c r="C529" s="103" t="s">
        <v>1906</v>
      </c>
      <c r="D529" s="106" t="str">
        <f>IF(MouserListTable12[[#This Row],[Vendor]]=FilterSpecs!$A$8,MouserListTable12[[#This Row],[Mouser SKU]], MouserListTable12[[#This Row],[Supplier SKU]])</f>
        <v>485-2428</v>
      </c>
      <c r="E529" s="121">
        <f>MouserListTable12[[#This Row],[Tot '#]]-MouserListTable12[[#This Row],['# Initial]]</f>
        <v>0</v>
      </c>
      <c r="F529" s="121">
        <f>IF(AND(MouserListTable12[[#This Row],[Tag]]&lt;&gt;FilterSpecs!$F$12, MouserListTable12[[#This Row],[Tag]]&lt;&gt;FilterSpecs!$F$9), MouserListTable12[[#This Row],['#/Unit]]*FilterSpecs!$B$3+MouserListTable12[[#This Row],[Extra Initial]],0)</f>
        <v>1</v>
      </c>
      <c r="G529" s="103"/>
      <c r="H529" s="103"/>
      <c r="I529" s="103" t="s">
        <v>2230</v>
      </c>
      <c r="K529" s="157">
        <v>4.95</v>
      </c>
      <c r="L529" s="103" t="s">
        <v>1910</v>
      </c>
      <c r="M529" s="106"/>
      <c r="N529" s="157">
        <f>MouserListTable12[[#This Row],['# Initial]]*MouserListTable12[[#This Row],[Price (USD)]]</f>
        <v>4.95</v>
      </c>
      <c r="O529" s="106" t="s">
        <v>2229</v>
      </c>
      <c r="P529" s="103">
        <f t="shared" si="11"/>
        <v>510</v>
      </c>
      <c r="Q529" s="103" t="s">
        <v>1898</v>
      </c>
      <c r="R52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485-2428</v>
      </c>
      <c r="S529" s="195" t="str">
        <f>HYPERLINK("https://www.mouser.com/ProductDetail/" &amp;MouserListTable12[[#This Row],[Mouser SKU]])</f>
        <v>https://www.mouser.com/ProductDetail/485-2428</v>
      </c>
      <c r="T529" s="121">
        <v>0</v>
      </c>
      <c r="U529" s="121">
        <v>1</v>
      </c>
      <c r="V529" s="121">
        <v>1</v>
      </c>
      <c r="W529" s="121">
        <f>MouserListTable12[[#This Row],['#/Unit]]*FilterSpecs!$C$3+MouserListTable12[[#This Row],[Extra]]</f>
        <v>1</v>
      </c>
      <c r="X529" s="121">
        <f>IF(MouserListTable12[[#This Row],[Tag]]=FilterSpecs!$F$7,MouserListTable12[[#This Row],['#/Unit]]*MouserListTable12[[#This Row],[Price (USD)]],0)</f>
        <v>0</v>
      </c>
      <c r="Y529" s="121">
        <f>MouserListTable12[[#This Row],[Tot '#]]*MouserListTable12[[#This Row],[Price (USD)]]</f>
        <v>4.95</v>
      </c>
      <c r="Z529"/>
    </row>
    <row r="530" spans="1:26" s="146" customFormat="1" x14ac:dyDescent="0.3">
      <c r="A530" s="103" t="s">
        <v>897</v>
      </c>
      <c r="B530" s="103" t="s">
        <v>2022</v>
      </c>
      <c r="C530" s="103" t="s">
        <v>1906</v>
      </c>
      <c r="D530" s="106" t="str">
        <f>IF(MouserListTable12[[#This Row],[Vendor]]=FilterSpecs!$A$8,MouserListTable12[[#This Row],[Mouser SKU]], MouserListTable12[[#This Row],[Supplier SKU]])</f>
        <v>485-2430</v>
      </c>
      <c r="E530" s="121">
        <f>MouserListTable12[[#This Row],[Tot '#]]-MouserListTable12[[#This Row],['# Initial]]</f>
        <v>0</v>
      </c>
      <c r="F530" s="121">
        <f>IF(AND(MouserListTable12[[#This Row],[Tag]]&lt;&gt;FilterSpecs!$F$12, MouserListTable12[[#This Row],[Tag]]&lt;&gt;FilterSpecs!$F$9), MouserListTable12[[#This Row],['#/Unit]]*FilterSpecs!$B$3+MouserListTable12[[#This Row],[Extra Initial]],0)</f>
        <v>1</v>
      </c>
      <c r="G530" s="103"/>
      <c r="H530" s="103"/>
      <c r="I530" s="103" t="s">
        <v>2232</v>
      </c>
      <c r="K530" s="157">
        <v>4.95</v>
      </c>
      <c r="L530" s="103" t="s">
        <v>1910</v>
      </c>
      <c r="M530" s="106"/>
      <c r="N530" s="157">
        <f>MouserListTable12[[#This Row],['# Initial]]*MouserListTable12[[#This Row],[Price (USD)]]</f>
        <v>4.95</v>
      </c>
      <c r="O530" s="106" t="s">
        <v>2231</v>
      </c>
      <c r="P530" s="103">
        <f t="shared" si="11"/>
        <v>511</v>
      </c>
      <c r="Q530" s="103" t="s">
        <v>1898</v>
      </c>
      <c r="R53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485-2430</v>
      </c>
      <c r="S530" s="195" t="str">
        <f>HYPERLINK("https://www.mouser.com/ProductDetail/" &amp;MouserListTable12[[#This Row],[Mouser SKU]])</f>
        <v>https://www.mouser.com/ProductDetail/485-2430</v>
      </c>
      <c r="T530" s="121">
        <v>0</v>
      </c>
      <c r="U530" s="121">
        <v>1</v>
      </c>
      <c r="V530" s="121">
        <v>1</v>
      </c>
      <c r="W530" s="121">
        <f>MouserListTable12[[#This Row],['#/Unit]]*FilterSpecs!$C$3+MouserListTable12[[#This Row],[Extra]]</f>
        <v>1</v>
      </c>
      <c r="X530" s="121">
        <f>IF(MouserListTable12[[#This Row],[Tag]]=FilterSpecs!$F$7,MouserListTable12[[#This Row],['#/Unit]]*MouserListTable12[[#This Row],[Price (USD)]],0)</f>
        <v>0</v>
      </c>
      <c r="Y530" s="121">
        <f>MouserListTable12[[#This Row],[Tot '#]]*MouserListTable12[[#This Row],[Price (USD)]]</f>
        <v>4.95</v>
      </c>
      <c r="Z530"/>
    </row>
    <row r="531" spans="1:26" s="146" customFormat="1" x14ac:dyDescent="0.3">
      <c r="A531" s="103" t="s">
        <v>897</v>
      </c>
      <c r="B531" s="103" t="s">
        <v>2022</v>
      </c>
      <c r="C531" s="103" t="s">
        <v>1906</v>
      </c>
      <c r="D531" s="106" t="str">
        <f>IF(MouserListTable12[[#This Row],[Vendor]]=FilterSpecs!$A$8,MouserListTable12[[#This Row],[Mouser SKU]], MouserListTable12[[#This Row],[Supplier SKU]])</f>
        <v>485-394</v>
      </c>
      <c r="E531" s="121">
        <f>MouserListTable12[[#This Row],[Tot '#]]-MouserListTable12[[#This Row],['# Initial]]</f>
        <v>0</v>
      </c>
      <c r="F531" s="121">
        <f>IF(AND(MouserListTable12[[#This Row],[Tag]]&lt;&gt;FilterSpecs!$F$12, MouserListTable12[[#This Row],[Tag]]&lt;&gt;FilterSpecs!$F$9), MouserListTable12[[#This Row],['#/Unit]]*FilterSpecs!$B$3+MouserListTable12[[#This Row],[Extra Initial]],0)</f>
        <v>1</v>
      </c>
      <c r="G531" s="103"/>
      <c r="H531" s="103"/>
      <c r="I531" s="103" t="s">
        <v>2234</v>
      </c>
      <c r="K531" s="157">
        <v>7.5</v>
      </c>
      <c r="L531" s="103" t="s">
        <v>1910</v>
      </c>
      <c r="M531" s="106"/>
      <c r="N531" s="157">
        <f>MouserListTable12[[#This Row],['# Initial]]*MouserListTable12[[#This Row],[Price (USD)]]</f>
        <v>7.5</v>
      </c>
      <c r="O531" s="106" t="s">
        <v>2233</v>
      </c>
      <c r="P531" s="103">
        <f t="shared" ref="P531:P594" si="12">IF($P530="List #",1,$P530+1)</f>
        <v>512</v>
      </c>
      <c r="Q531" s="103" t="s">
        <v>1898</v>
      </c>
      <c r="R53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485-394</v>
      </c>
      <c r="S531" s="195" t="str">
        <f>HYPERLINK("https://www.mouser.com/ProductDetail/" &amp;MouserListTable12[[#This Row],[Mouser SKU]])</f>
        <v>https://www.mouser.com/ProductDetail/485-394</v>
      </c>
      <c r="T531" s="121">
        <v>0</v>
      </c>
      <c r="U531" s="121">
        <v>1</v>
      </c>
      <c r="V531" s="121">
        <v>1</v>
      </c>
      <c r="W531" s="121">
        <f>MouserListTable12[[#This Row],['#/Unit]]*FilterSpecs!$C$3+MouserListTable12[[#This Row],[Extra]]</f>
        <v>1</v>
      </c>
      <c r="X531" s="121">
        <f>IF(MouserListTable12[[#This Row],[Tag]]=FilterSpecs!$F$7,MouserListTable12[[#This Row],['#/Unit]]*MouserListTable12[[#This Row],[Price (USD)]],0)</f>
        <v>0</v>
      </c>
      <c r="Y531" s="121">
        <f>MouserListTable12[[#This Row],[Tot '#]]*MouserListTable12[[#This Row],[Price (USD)]]</f>
        <v>7.5</v>
      </c>
      <c r="Z531"/>
    </row>
    <row r="532" spans="1:26" s="146" customFormat="1" x14ac:dyDescent="0.3">
      <c r="A532" s="106" t="s">
        <v>897</v>
      </c>
      <c r="B532" s="106" t="s">
        <v>2024</v>
      </c>
      <c r="C532" s="103" t="s">
        <v>1906</v>
      </c>
      <c r="D532" s="106" t="str">
        <f>IF(MouserListTable12[[#This Row],[Vendor]]=FilterSpecs!$A$8,MouserListTable12[[#This Row],[Mouser SKU]], MouserListTable12[[#This Row],[Supplier SKU]])</f>
        <v>474-CAB-10646</v>
      </c>
      <c r="E532" s="121">
        <f>MouserListTable12[[#This Row],[Tot '#]]-MouserListTable12[[#This Row],['# Initial]]</f>
        <v>0</v>
      </c>
      <c r="F532" s="121">
        <f>IF(AND(MouserListTable12[[#This Row],[Tag]]&lt;&gt;FilterSpecs!$F$12, MouserListTable12[[#This Row],[Tag]]&lt;&gt;FilterSpecs!$F$9), MouserListTable12[[#This Row],['#/Unit]]*FilterSpecs!$B$3+MouserListTable12[[#This Row],[Extra Initial]],0)</f>
        <v>2</v>
      </c>
      <c r="G532" s="103" t="s">
        <v>1596</v>
      </c>
      <c r="H532" s="103" t="s">
        <v>1597</v>
      </c>
      <c r="I532" s="106" t="s">
        <v>1598</v>
      </c>
      <c r="J532" s="103">
        <v>1</v>
      </c>
      <c r="K532" s="157">
        <v>2.95</v>
      </c>
      <c r="L532" s="106" t="s">
        <v>1910</v>
      </c>
      <c r="M532" s="103"/>
      <c r="N532" s="157">
        <f>MouserListTable12[[#This Row],['# Initial]]*MouserListTable12[[#This Row],[Price (USD)]]</f>
        <v>5.9</v>
      </c>
      <c r="O532" s="106" t="s">
        <v>1595</v>
      </c>
      <c r="P532" s="103">
        <f t="shared" si="12"/>
        <v>513</v>
      </c>
      <c r="Q532" s="103" t="s">
        <v>8</v>
      </c>
      <c r="R53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474-CAB-10646</v>
      </c>
      <c r="S532" s="195" t="str">
        <f>HYPERLINK("https://www.mouser.com/ProductDetail/" &amp;MouserListTable12[[#This Row],[Mouser SKU]])</f>
        <v>https://www.mouser.com/ProductDetail/474-CAB-10646</v>
      </c>
      <c r="T532" s="121">
        <v>0</v>
      </c>
      <c r="U532" s="121">
        <v>2</v>
      </c>
      <c r="V532" s="121">
        <v>2</v>
      </c>
      <c r="W532" s="121">
        <f>MouserListTable12[[#This Row],['#/Unit]]*FilterSpecs!$C$3+MouserListTable12[[#This Row],[Extra]]</f>
        <v>2</v>
      </c>
      <c r="X532" s="121">
        <f>IF(MouserListTable12[[#This Row],[Tag]]=FilterSpecs!$F$7,MouserListTable12[[#This Row],['#/Unit]]*MouserListTable12[[#This Row],[Price (USD)]],0)</f>
        <v>0</v>
      </c>
      <c r="Y532" s="121">
        <f>MouserListTable12[[#This Row],[Tot '#]]*MouserListTable12[[#This Row],[Price (USD)]]</f>
        <v>5.9</v>
      </c>
      <c r="Z532"/>
    </row>
    <row r="533" spans="1:26" s="146" customFormat="1" hidden="1" x14ac:dyDescent="0.3">
      <c r="A533" s="128" t="s">
        <v>897</v>
      </c>
      <c r="B533" s="128" t="s">
        <v>2024</v>
      </c>
      <c r="C533" s="103" t="s">
        <v>1906</v>
      </c>
      <c r="D533" s="106" t="str">
        <f>IF(MouserListTable12[[#This Row],[Vendor]]=FilterSpecs!$A$8,MouserListTable12[[#This Row],[Mouser SKU]], MouserListTable12[[#This Row],[Supplier SKU]])</f>
        <v>485-371</v>
      </c>
      <c r="E533" s="121">
        <f>MouserListTable12[[#This Row],[Tot '#]]-MouserListTable12[[#This Row],['# Initial]]</f>
        <v>0</v>
      </c>
      <c r="F533" s="121">
        <f>IF(AND(MouserListTable12[[#This Row],[Tag]]&lt;&gt;FilterSpecs!$F$12, MouserListTable12[[#This Row],[Tag]]&lt;&gt;FilterSpecs!$F$9), MouserListTable12[[#This Row],['#/Unit]]*FilterSpecs!$B$3+MouserListTable12[[#This Row],[Extra Initial]],0)</f>
        <v>0</v>
      </c>
      <c r="I533" s="128" t="s">
        <v>2460</v>
      </c>
      <c r="J533" s="153">
        <v>106</v>
      </c>
      <c r="K533" s="159">
        <v>2</v>
      </c>
      <c r="L533" s="126" t="s">
        <v>1910</v>
      </c>
      <c r="N533" s="157">
        <f>MouserListTable12[[#This Row],['# Initial]]*MouserListTable12[[#This Row],[Price (USD)]]</f>
        <v>0</v>
      </c>
      <c r="O533" s="153" t="s">
        <v>2461</v>
      </c>
      <c r="P533" s="103">
        <f t="shared" si="12"/>
        <v>514</v>
      </c>
      <c r="Q533" s="103" t="s">
        <v>1898</v>
      </c>
      <c r="R53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485-371</v>
      </c>
      <c r="S533" s="195" t="str">
        <f>HYPERLINK("https://www.mouser.com/ProductDetail/" &amp;MouserListTable12[[#This Row],[Mouser SKU]])</f>
        <v>https://www.mouser.com/ProductDetail/485-371</v>
      </c>
      <c r="T533" s="121">
        <v>0</v>
      </c>
      <c r="U533" s="121">
        <v>0</v>
      </c>
      <c r="V533" s="121">
        <v>0</v>
      </c>
      <c r="W533" s="121">
        <f>MouserListTable12[[#This Row],['#/Unit]]*FilterSpecs!$C$3+MouserListTable12[[#This Row],[Extra]]</f>
        <v>0</v>
      </c>
      <c r="X533" s="121">
        <f>IF(MouserListTable12[[#This Row],[Tag]]=FilterSpecs!$F$7,MouserListTable12[[#This Row],['#/Unit]]*MouserListTable12[[#This Row],[Price (USD)]],0)</f>
        <v>0</v>
      </c>
      <c r="Y533" s="121">
        <f>MouserListTable12[[#This Row],[Tot '#]]*MouserListTable12[[#This Row],[Price (USD)]]</f>
        <v>0</v>
      </c>
      <c r="Z533"/>
    </row>
    <row r="534" spans="1:26" s="146" customFormat="1" hidden="1" x14ac:dyDescent="0.3">
      <c r="A534" s="146" t="s">
        <v>897</v>
      </c>
      <c r="B534" s="146" t="s">
        <v>2024</v>
      </c>
      <c r="C534" s="103" t="s">
        <v>1906</v>
      </c>
      <c r="D534" s="106" t="str">
        <f>IF(MouserListTable12[[#This Row],[Vendor]]=FilterSpecs!$A$8,MouserListTable12[[#This Row],[Mouser SKU]], MouserListTable12[[#This Row],[Supplier SKU]])</f>
        <v>474-CAB-10649</v>
      </c>
      <c r="E534" s="121">
        <f>MouserListTable12[[#This Row],[Tot '#]]-MouserListTable12[[#This Row],['# Initial]]</f>
        <v>0</v>
      </c>
      <c r="F534" s="121">
        <f>IF(AND(MouserListTable12[[#This Row],[Tag]]&lt;&gt;FilterSpecs!$F$12, MouserListTable12[[#This Row],[Tag]]&lt;&gt;FilterSpecs!$F$9), MouserListTable12[[#This Row],['#/Unit]]*FilterSpecs!$B$3+MouserListTable12[[#This Row],[Extra Initial]],0)</f>
        <v>0</v>
      </c>
      <c r="G534" s="103" t="s">
        <v>1592</v>
      </c>
      <c r="H534" s="103" t="s">
        <v>1593</v>
      </c>
      <c r="I534" s="106" t="s">
        <v>1594</v>
      </c>
      <c r="J534" s="103">
        <v>1</v>
      </c>
      <c r="K534" s="157">
        <v>0.95</v>
      </c>
      <c r="L534" s="106" t="s">
        <v>1910</v>
      </c>
      <c r="M534" s="103"/>
      <c r="N534" s="157">
        <f>MouserListTable12[[#This Row],['# Initial]]*MouserListTable12[[#This Row],[Price (USD)]]</f>
        <v>0</v>
      </c>
      <c r="O534" s="106" t="s">
        <v>1591</v>
      </c>
      <c r="P534" s="103">
        <f t="shared" si="12"/>
        <v>515</v>
      </c>
      <c r="Q534" s="103" t="s">
        <v>8</v>
      </c>
      <c r="R53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474-CAB-10649</v>
      </c>
      <c r="S534" s="195" t="str">
        <f>HYPERLINK("https://www.mouser.com/ProductDetail/" &amp;MouserListTable12[[#This Row],[Mouser SKU]])</f>
        <v>https://www.mouser.com/ProductDetail/474-CAB-10649</v>
      </c>
      <c r="T534" s="121">
        <v>0</v>
      </c>
      <c r="U534" s="121">
        <v>0</v>
      </c>
      <c r="V534" s="121">
        <v>0</v>
      </c>
      <c r="W534" s="121">
        <f>MouserListTable12[[#This Row],['#/Unit]]*FilterSpecs!$C$3+MouserListTable12[[#This Row],[Extra]]</f>
        <v>0</v>
      </c>
      <c r="X534" s="121">
        <f>IF(MouserListTable12[[#This Row],[Tag]]=FilterSpecs!$F$7,MouserListTable12[[#This Row],['#/Unit]]*MouserListTable12[[#This Row],[Price (USD)]],0)</f>
        <v>0</v>
      </c>
      <c r="Y534" s="121">
        <f>MouserListTable12[[#This Row],[Tot '#]]*MouserListTable12[[#This Row],[Price (USD)]]</f>
        <v>0</v>
      </c>
      <c r="Z534"/>
    </row>
    <row r="535" spans="1:26" s="146" customFormat="1" x14ac:dyDescent="0.3">
      <c r="A535" s="106" t="s">
        <v>897</v>
      </c>
      <c r="B535" s="106" t="s">
        <v>2024</v>
      </c>
      <c r="C535" s="103" t="s">
        <v>1906</v>
      </c>
      <c r="D535" s="106" t="str">
        <f>IF(MouserListTable12[[#This Row],[Vendor]]=FilterSpecs!$A$8,MouserListTable12[[#This Row],[Mouser SKU]], MouserListTable12[[#This Row],[Supplier SKU]])</f>
        <v>474-CAB-10647</v>
      </c>
      <c r="E535" s="121">
        <f>MouserListTable12[[#This Row],[Tot '#]]-MouserListTable12[[#This Row],['# Initial]]</f>
        <v>0</v>
      </c>
      <c r="F535" s="121">
        <f>IF(AND(MouserListTable12[[#This Row],[Tag]]&lt;&gt;FilterSpecs!$F$12, MouserListTable12[[#This Row],[Tag]]&lt;&gt;FilterSpecs!$F$9), MouserListTable12[[#This Row],['#/Unit]]*FilterSpecs!$B$3+MouserListTable12[[#This Row],[Extra Initial]],0)</f>
        <v>1</v>
      </c>
      <c r="G535" s="103" t="s">
        <v>1600</v>
      </c>
      <c r="H535" s="103" t="s">
        <v>1601</v>
      </c>
      <c r="I535" s="106" t="s">
        <v>1602</v>
      </c>
      <c r="J535" s="103">
        <v>1</v>
      </c>
      <c r="K535" s="157">
        <v>4.95</v>
      </c>
      <c r="L535" s="106" t="s">
        <v>1910</v>
      </c>
      <c r="M535" s="103"/>
      <c r="N535" s="157">
        <f>MouserListTable12[[#This Row],['# Initial]]*MouserListTable12[[#This Row],[Price (USD)]]</f>
        <v>4.95</v>
      </c>
      <c r="O535" s="106" t="s">
        <v>1599</v>
      </c>
      <c r="P535" s="103">
        <f t="shared" si="12"/>
        <v>516</v>
      </c>
      <c r="Q535" s="103" t="s">
        <v>8</v>
      </c>
      <c r="R53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474-CAB-10647</v>
      </c>
      <c r="S535" s="195" t="str">
        <f>HYPERLINK("https://www.mouser.com/ProductDetail/" &amp;MouserListTable12[[#This Row],[Mouser SKU]])</f>
        <v>https://www.mouser.com/ProductDetail/474-CAB-10647</v>
      </c>
      <c r="T535" s="121">
        <v>0</v>
      </c>
      <c r="U535" s="121">
        <v>1</v>
      </c>
      <c r="V535" s="121">
        <v>1</v>
      </c>
      <c r="W535" s="121">
        <f>MouserListTable12[[#This Row],['#/Unit]]*FilterSpecs!$C$3+MouserListTable12[[#This Row],[Extra]]</f>
        <v>1</v>
      </c>
      <c r="X535" s="121">
        <f>IF(MouserListTable12[[#This Row],[Tag]]=FilterSpecs!$F$7,MouserListTable12[[#This Row],['#/Unit]]*MouserListTable12[[#This Row],[Price (USD)]],0)</f>
        <v>0</v>
      </c>
      <c r="Y535" s="121">
        <f>MouserListTable12[[#This Row],[Tot '#]]*MouserListTable12[[#This Row],[Price (USD)]]</f>
        <v>4.95</v>
      </c>
      <c r="Z535"/>
    </row>
    <row r="536" spans="1:26" s="146" customFormat="1" hidden="1" x14ac:dyDescent="0.3">
      <c r="A536" s="128" t="s">
        <v>897</v>
      </c>
      <c r="B536" s="128" t="s">
        <v>2024</v>
      </c>
      <c r="C536" s="103" t="s">
        <v>1906</v>
      </c>
      <c r="D536" s="106" t="str">
        <f>IF(MouserListTable12[[#This Row],[Vendor]]=FilterSpecs!$A$8,MouserListTable12[[#This Row],[Mouser SKU]], MouserListTable12[[#This Row],[Supplier SKU]])</f>
        <v>485-556</v>
      </c>
      <c r="E536" s="121">
        <f>MouserListTable12[[#This Row],[Tot '#]]-MouserListTable12[[#This Row],['# Initial]]</f>
        <v>0</v>
      </c>
      <c r="F536" s="121">
        <f>IF(AND(MouserListTable12[[#This Row],[Tag]]&lt;&gt;FilterSpecs!$F$12, MouserListTable12[[#This Row],[Tag]]&lt;&gt;FilterSpecs!$F$9), MouserListTable12[[#This Row],['#/Unit]]*FilterSpecs!$B$3+MouserListTable12[[#This Row],[Extra Initial]],0)</f>
        <v>0</v>
      </c>
      <c r="I536" s="128" t="s">
        <v>2458</v>
      </c>
      <c r="J536" s="153">
        <v>105</v>
      </c>
      <c r="K536" s="159">
        <v>1.5</v>
      </c>
      <c r="L536" s="126" t="s">
        <v>1910</v>
      </c>
      <c r="N536" s="157">
        <f>MouserListTable12[[#This Row],['# Initial]]*MouserListTable12[[#This Row],[Price (USD)]]</f>
        <v>0</v>
      </c>
      <c r="O536" s="153" t="s">
        <v>2459</v>
      </c>
      <c r="P536" s="103">
        <f t="shared" si="12"/>
        <v>517</v>
      </c>
      <c r="Q536" s="103" t="s">
        <v>1898</v>
      </c>
      <c r="R53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485-556</v>
      </c>
      <c r="S536" s="195" t="str">
        <f>HYPERLINK("https://www.mouser.com/ProductDetail/" &amp;MouserListTable12[[#This Row],[Mouser SKU]])</f>
        <v>https://www.mouser.com/ProductDetail/485-556</v>
      </c>
      <c r="T536" s="121">
        <v>0</v>
      </c>
      <c r="U536" s="121">
        <v>0</v>
      </c>
      <c r="V536" s="121">
        <v>0</v>
      </c>
      <c r="W536" s="121">
        <f>MouserListTable12[[#This Row],['#/Unit]]*FilterSpecs!$C$3+MouserListTable12[[#This Row],[Extra]]</f>
        <v>0</v>
      </c>
      <c r="X536" s="121">
        <f>IF(MouserListTable12[[#This Row],[Tag]]=FilterSpecs!$F$7,MouserListTable12[[#This Row],['#/Unit]]*MouserListTable12[[#This Row],[Price (USD)]],0)</f>
        <v>0</v>
      </c>
      <c r="Y536" s="121">
        <f>MouserListTable12[[#This Row],[Tot '#]]*MouserListTable12[[#This Row],[Price (USD)]]</f>
        <v>0</v>
      </c>
      <c r="Z536"/>
    </row>
    <row r="537" spans="1:26" s="146" customFormat="1" hidden="1" x14ac:dyDescent="0.3">
      <c r="A537" s="106" t="s">
        <v>897</v>
      </c>
      <c r="B537" s="106" t="s">
        <v>2024</v>
      </c>
      <c r="C537" s="103" t="s">
        <v>1906</v>
      </c>
      <c r="D537" s="106" t="str">
        <f>IF(MouserListTable12[[#This Row],[Vendor]]=FilterSpecs!$A$8,MouserListTable12[[#This Row],[Mouser SKU]], MouserListTable12[[#This Row],[Supplier SKU]])</f>
        <v>485-370</v>
      </c>
      <c r="E537" s="121">
        <f>MouserListTable12[[#This Row],[Tot '#]]-MouserListTable12[[#This Row],['# Initial]]</f>
        <v>0</v>
      </c>
      <c r="F537" s="121">
        <f>IF(AND(MouserListTable12[[#This Row],[Tag]]&lt;&gt;FilterSpecs!$F$12, MouserListTable12[[#This Row],[Tag]]&lt;&gt;FilterSpecs!$F$9), MouserListTable12[[#This Row],['#/Unit]]*FilterSpecs!$B$3+MouserListTable12[[#This Row],[Extra Initial]],0)</f>
        <v>0</v>
      </c>
      <c r="G537" s="103"/>
      <c r="H537" s="103"/>
      <c r="I537" s="146" t="s">
        <v>2236</v>
      </c>
      <c r="K537" s="158">
        <v>2</v>
      </c>
      <c r="L537" s="146" t="s">
        <v>1910</v>
      </c>
      <c r="N537" s="157">
        <f>MouserListTable12[[#This Row],['# Initial]]*MouserListTable12[[#This Row],[Price (USD)]]</f>
        <v>0</v>
      </c>
      <c r="O537" s="106" t="s">
        <v>2235</v>
      </c>
      <c r="P537" s="103">
        <f t="shared" si="12"/>
        <v>518</v>
      </c>
      <c r="Q537" s="103" t="s">
        <v>1898</v>
      </c>
      <c r="R53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485-370</v>
      </c>
      <c r="S537" s="195" t="str">
        <f>HYPERLINK("https://www.mouser.com/ProductDetail/" &amp;MouserListTable12[[#This Row],[Mouser SKU]])</f>
        <v>https://www.mouser.com/ProductDetail/485-370</v>
      </c>
      <c r="T537" s="121">
        <v>0</v>
      </c>
      <c r="U537" s="121">
        <v>0</v>
      </c>
      <c r="V537" s="121">
        <v>0</v>
      </c>
      <c r="W537" s="121">
        <f>MouserListTable12[[#This Row],['#/Unit]]*FilterSpecs!$C$3+MouserListTable12[[#This Row],[Extra]]</f>
        <v>0</v>
      </c>
      <c r="X537" s="121">
        <f>IF(MouserListTable12[[#This Row],[Tag]]=FilterSpecs!$F$7,MouserListTable12[[#This Row],['#/Unit]]*MouserListTable12[[#This Row],[Price (USD)]],0)</f>
        <v>0</v>
      </c>
      <c r="Y537" s="121">
        <f>MouserListTable12[[#This Row],[Tot '#]]*MouserListTable12[[#This Row],[Price (USD)]]</f>
        <v>0</v>
      </c>
      <c r="Z537"/>
    </row>
    <row r="538" spans="1:26" s="146" customFormat="1" hidden="1" x14ac:dyDescent="0.3">
      <c r="A538" s="128" t="s">
        <v>897</v>
      </c>
      <c r="B538" s="146" t="s">
        <v>2024</v>
      </c>
      <c r="C538" s="103" t="s">
        <v>1906</v>
      </c>
      <c r="D538" s="106" t="str">
        <f>IF(MouserListTable12[[#This Row],[Vendor]]=FilterSpecs!$A$8,MouserListTable12[[#This Row],[Mouser SKU]], MouserListTable12[[#This Row],[Supplier SKU]])</f>
        <v>485-1199</v>
      </c>
      <c r="E538" s="121">
        <f>MouserListTable12[[#This Row],[Tot '#]]-MouserListTable12[[#This Row],['# Initial]]</f>
        <v>0</v>
      </c>
      <c r="F538" s="121">
        <f>IF(AND(MouserListTable12[[#This Row],[Tag]]&lt;&gt;FilterSpecs!$F$12, MouserListTable12[[#This Row],[Tag]]&lt;&gt;FilterSpecs!$F$9), MouserListTable12[[#This Row],['#/Unit]]*FilterSpecs!$B$3+MouserListTable12[[#This Row],[Extra Initial]],0)</f>
        <v>0</v>
      </c>
      <c r="I538" s="128" t="s">
        <v>2456</v>
      </c>
      <c r="J538" s="153">
        <v>104</v>
      </c>
      <c r="K538" s="159">
        <v>3.95</v>
      </c>
      <c r="L538" s="126" t="s">
        <v>1910</v>
      </c>
      <c r="N538" s="157">
        <f>MouserListTable12[[#This Row],['# Initial]]*MouserListTable12[[#This Row],[Price (USD)]]</f>
        <v>0</v>
      </c>
      <c r="O538" s="153" t="s">
        <v>2457</v>
      </c>
      <c r="P538" s="103">
        <f t="shared" si="12"/>
        <v>519</v>
      </c>
      <c r="Q538" s="103" t="s">
        <v>1898</v>
      </c>
      <c r="R53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485-1199</v>
      </c>
      <c r="S538" s="195" t="str">
        <f>HYPERLINK("https://www.mouser.com/ProductDetail/" &amp;MouserListTable12[[#This Row],[Mouser SKU]])</f>
        <v>https://www.mouser.com/ProductDetail/485-1199</v>
      </c>
      <c r="T538" s="121">
        <v>0</v>
      </c>
      <c r="U538" s="121">
        <v>0</v>
      </c>
      <c r="V538" s="121">
        <v>0</v>
      </c>
      <c r="W538" s="121">
        <f>MouserListTable12[[#This Row],['#/Unit]]*FilterSpecs!$C$3+MouserListTable12[[#This Row],[Extra]]</f>
        <v>0</v>
      </c>
      <c r="X538" s="121">
        <f>IF(MouserListTable12[[#This Row],[Tag]]=FilterSpecs!$F$7,MouserListTable12[[#This Row],['#/Unit]]*MouserListTable12[[#This Row],[Price (USD)]],0)</f>
        <v>0</v>
      </c>
      <c r="Y538" s="121">
        <f>MouserListTable12[[#This Row],[Tot '#]]*MouserListTable12[[#This Row],[Price (USD)]]</f>
        <v>0</v>
      </c>
      <c r="Z538"/>
    </row>
    <row r="539" spans="1:26" s="146" customFormat="1" hidden="1" x14ac:dyDescent="0.3">
      <c r="A539" s="146" t="s">
        <v>897</v>
      </c>
      <c r="B539" s="146" t="s">
        <v>2024</v>
      </c>
      <c r="C539" s="103" t="s">
        <v>1906</v>
      </c>
      <c r="D539" s="106" t="str">
        <f>IF(MouserListTable12[[#This Row],[Vendor]]=FilterSpecs!$A$8,MouserListTable12[[#This Row],[Mouser SKU]], MouserListTable12[[#This Row],[Supplier SKU]])</f>
        <v>474-PRT-08535</v>
      </c>
      <c r="E539" s="121">
        <f>MouserListTable12[[#This Row],[Tot '#]]-MouserListTable12[[#This Row],['# Initial]]</f>
        <v>0</v>
      </c>
      <c r="F539" s="121">
        <f>IF(AND(MouserListTable12[[#This Row],[Tag]]&lt;&gt;FilterSpecs!$F$12, MouserListTable12[[#This Row],[Tag]]&lt;&gt;FilterSpecs!$F$9), MouserListTable12[[#This Row],['#/Unit]]*FilterSpecs!$B$3+MouserListTable12[[#This Row],[Extra Initial]],0)</f>
        <v>0</v>
      </c>
      <c r="G539" s="103" t="s">
        <v>1532</v>
      </c>
      <c r="H539" s="103" t="s">
        <v>1533</v>
      </c>
      <c r="I539" s="106" t="s">
        <v>1534</v>
      </c>
      <c r="J539" s="103">
        <v>1</v>
      </c>
      <c r="K539" s="157">
        <v>1.5</v>
      </c>
      <c r="L539" s="106" t="s">
        <v>1910</v>
      </c>
      <c r="M539" s="103"/>
      <c r="N539" s="157">
        <f>MouserListTable12[[#This Row],['# Initial]]*MouserListTable12[[#This Row],[Price (USD)]]</f>
        <v>0</v>
      </c>
      <c r="O539" s="106" t="s">
        <v>1531</v>
      </c>
      <c r="P539" s="103">
        <f t="shared" si="12"/>
        <v>520</v>
      </c>
      <c r="Q539" s="103" t="s">
        <v>8</v>
      </c>
      <c r="R53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474-PRT-08535</v>
      </c>
      <c r="S539" s="195" t="str">
        <f>HYPERLINK("https://www.mouser.com/ProductDetail/" &amp;MouserListTable12[[#This Row],[Mouser SKU]])</f>
        <v>https://www.mouser.com/ProductDetail/474-PRT-08535</v>
      </c>
      <c r="T539" s="121">
        <v>0</v>
      </c>
      <c r="U539" s="121">
        <v>0</v>
      </c>
      <c r="V539" s="121">
        <v>0</v>
      </c>
      <c r="W539" s="121">
        <f>MouserListTable12[[#This Row],['#/Unit]]*FilterSpecs!$C$3+MouserListTable12[[#This Row],[Extra]]</f>
        <v>0</v>
      </c>
      <c r="X539" s="121">
        <f>IF(MouserListTable12[[#This Row],[Tag]]=FilterSpecs!$F$7,MouserListTable12[[#This Row],['#/Unit]]*MouserListTable12[[#This Row],[Price (USD)]],0)</f>
        <v>0</v>
      </c>
      <c r="Y539" s="121">
        <f>MouserListTable12[[#This Row],[Tot '#]]*MouserListTable12[[#This Row],[Price (USD)]]</f>
        <v>0</v>
      </c>
      <c r="Z539"/>
    </row>
    <row r="540" spans="1:26" s="146" customFormat="1" hidden="1" x14ac:dyDescent="0.3">
      <c r="A540" s="128" t="s">
        <v>897</v>
      </c>
      <c r="B540" s="128" t="s">
        <v>2024</v>
      </c>
      <c r="C540" s="103" t="s">
        <v>1906</v>
      </c>
      <c r="D540" s="106" t="str">
        <f>IF(MouserListTable12[[#This Row],[Vendor]]=FilterSpecs!$A$8,MouserListTable12[[#This Row],[Mouser SKU]], MouserListTable12[[#This Row],[Supplier SKU]])</f>
        <v>485-1675</v>
      </c>
      <c r="E540" s="121">
        <f>MouserListTable12[[#This Row],[Tot '#]]-MouserListTable12[[#This Row],['# Initial]]</f>
        <v>0</v>
      </c>
      <c r="F540" s="121">
        <f>IF(AND(MouserListTable12[[#This Row],[Tag]]&lt;&gt;FilterSpecs!$F$12, MouserListTable12[[#This Row],[Tag]]&lt;&gt;FilterSpecs!$F$9), MouserListTable12[[#This Row],['#/Unit]]*FilterSpecs!$B$3+MouserListTable12[[#This Row],[Extra Initial]],0)</f>
        <v>0</v>
      </c>
      <c r="I540" s="128" t="s">
        <v>2454</v>
      </c>
      <c r="J540" s="153">
        <v>103</v>
      </c>
      <c r="K540" s="159">
        <v>2.95</v>
      </c>
      <c r="L540" s="126" t="s">
        <v>1910</v>
      </c>
      <c r="N540" s="157">
        <f>MouserListTable12[[#This Row],['# Initial]]*MouserListTable12[[#This Row],[Price (USD)]]</f>
        <v>0</v>
      </c>
      <c r="O540" s="153" t="s">
        <v>2455</v>
      </c>
      <c r="P540" s="103">
        <f t="shared" si="12"/>
        <v>521</v>
      </c>
      <c r="Q540" s="103" t="s">
        <v>1898</v>
      </c>
      <c r="R54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485-1675</v>
      </c>
      <c r="S540" s="195" t="str">
        <f>HYPERLINK("https://www.mouser.com/ProductDetail/" &amp;MouserListTable12[[#This Row],[Mouser SKU]])</f>
        <v>https://www.mouser.com/ProductDetail/485-1675</v>
      </c>
      <c r="T540" s="121">
        <v>0</v>
      </c>
      <c r="U540" s="121">
        <v>0</v>
      </c>
      <c r="V540" s="121">
        <v>0</v>
      </c>
      <c r="W540" s="121">
        <f>MouserListTable12[[#This Row],['#/Unit]]*FilterSpecs!$C$3+MouserListTable12[[#This Row],[Extra]]</f>
        <v>0</v>
      </c>
      <c r="X540" s="121">
        <f>IF(MouserListTable12[[#This Row],[Tag]]=FilterSpecs!$F$7,MouserListTable12[[#This Row],['#/Unit]]*MouserListTable12[[#This Row],[Price (USD)]],0)</f>
        <v>0</v>
      </c>
      <c r="Y540" s="121">
        <f>MouserListTable12[[#This Row],[Tot '#]]*MouserListTable12[[#This Row],[Price (USD)]]</f>
        <v>0</v>
      </c>
      <c r="Z540"/>
    </row>
    <row r="541" spans="1:26" s="146" customFormat="1" hidden="1" x14ac:dyDescent="0.3">
      <c r="A541" s="126" t="s">
        <v>897</v>
      </c>
      <c r="B541" s="126" t="s">
        <v>2033</v>
      </c>
      <c r="C541" s="103" t="s">
        <v>1906</v>
      </c>
      <c r="D541" s="106" t="str">
        <f>IF(MouserListTable12[[#This Row],[Vendor]]=FilterSpecs!$A$8,MouserListTable12[[#This Row],[Mouser SKU]], MouserListTable12[[#This Row],[Supplier SKU]])</f>
        <v>474-COM-09939</v>
      </c>
      <c r="E541" s="121">
        <f>MouserListTable12[[#This Row],[Tot '#]]-MouserListTable12[[#This Row],['# Initial]]</f>
        <v>0</v>
      </c>
      <c r="F541" s="121">
        <f>IF(AND(MouserListTable12[[#This Row],[Tag]]&lt;&gt;FilterSpecs!$F$12, MouserListTable12[[#This Row],[Tag]]&lt;&gt;FilterSpecs!$F$9), MouserListTable12[[#This Row],['#/Unit]]*FilterSpecs!$B$3+MouserListTable12[[#This Row],[Extra Initial]],0)</f>
        <v>0</v>
      </c>
      <c r="G541" s="103" t="s">
        <v>1001</v>
      </c>
      <c r="H541" s="103" t="s">
        <v>1002</v>
      </c>
      <c r="I541" s="103" t="s">
        <v>1003</v>
      </c>
      <c r="J541" s="103"/>
      <c r="K541" s="157">
        <v>0.95</v>
      </c>
      <c r="L541" s="103" t="s">
        <v>1910</v>
      </c>
      <c r="M541" s="103"/>
      <c r="N541" s="157">
        <f>MouserListTable12[[#This Row],['# Initial]]*MouserListTable12[[#This Row],[Price (USD)]]</f>
        <v>0</v>
      </c>
      <c r="O541" s="106" t="s">
        <v>1000</v>
      </c>
      <c r="P541" s="103">
        <f t="shared" si="12"/>
        <v>522</v>
      </c>
      <c r="Q541" s="103" t="s">
        <v>8</v>
      </c>
      <c r="R54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474-COM-09939</v>
      </c>
      <c r="S541" s="195" t="str">
        <f>HYPERLINK("https://www.mouser.com/ProductDetail/" &amp;MouserListTable12[[#This Row],[Mouser SKU]])</f>
        <v>https://www.mouser.com/ProductDetail/474-COM-09939</v>
      </c>
      <c r="T541" s="121">
        <v>0</v>
      </c>
      <c r="U541" s="121">
        <v>0</v>
      </c>
      <c r="V541" s="121">
        <v>0</v>
      </c>
      <c r="W541" s="121">
        <f>MouserListTable12[[#This Row],['#/Unit]]*FilterSpecs!$C$3+MouserListTable12[[#This Row],[Extra]]</f>
        <v>0</v>
      </c>
      <c r="X541" s="121">
        <f>IF(MouserListTable12[[#This Row],[Tag]]=FilterSpecs!$F$7,MouserListTable12[[#This Row],['#/Unit]]*MouserListTable12[[#This Row],[Price (USD)]],0)</f>
        <v>0</v>
      </c>
      <c r="Y541" s="121">
        <f>MouserListTable12[[#This Row],[Tot '#]]*MouserListTable12[[#This Row],[Price (USD)]]</f>
        <v>0</v>
      </c>
      <c r="Z541"/>
    </row>
    <row r="542" spans="1:26" s="146" customFormat="1" hidden="1" x14ac:dyDescent="0.3">
      <c r="A542" s="126" t="s">
        <v>897</v>
      </c>
      <c r="B542" s="126" t="s">
        <v>2033</v>
      </c>
      <c r="C542" s="103" t="s">
        <v>1906</v>
      </c>
      <c r="D542" s="106" t="str">
        <f>IF(MouserListTable12[[#This Row],[Vendor]]=FilterSpecs!$A$8,MouserListTable12[[#This Row],[Mouser SKU]], MouserListTable12[[#This Row],[Supplier SKU]])</f>
        <v>474-COM-09940</v>
      </c>
      <c r="E542" s="121">
        <f>MouserListTable12[[#This Row],[Tot '#]]-MouserListTable12[[#This Row],['# Initial]]</f>
        <v>0</v>
      </c>
      <c r="F542" s="121">
        <f>IF(AND(MouserListTable12[[#This Row],[Tag]]&lt;&gt;FilterSpecs!$F$12, MouserListTable12[[#This Row],[Tag]]&lt;&gt;FilterSpecs!$F$9), MouserListTable12[[#This Row],['#/Unit]]*FilterSpecs!$B$3+MouserListTable12[[#This Row],[Extra Initial]],0)</f>
        <v>0</v>
      </c>
      <c r="G542" s="103" t="s">
        <v>997</v>
      </c>
      <c r="H542" s="103" t="s">
        <v>998</v>
      </c>
      <c r="I542" s="103" t="s">
        <v>999</v>
      </c>
      <c r="J542" s="103">
        <v>1</v>
      </c>
      <c r="K542" s="157">
        <v>0.95</v>
      </c>
      <c r="L542" s="103" t="s">
        <v>1910</v>
      </c>
      <c r="M542" s="103"/>
      <c r="N542" s="157">
        <f>MouserListTable12[[#This Row],['# Initial]]*MouserListTable12[[#This Row],[Price (USD)]]</f>
        <v>0</v>
      </c>
      <c r="O542" s="106" t="s">
        <v>996</v>
      </c>
      <c r="P542" s="103">
        <f t="shared" si="12"/>
        <v>523</v>
      </c>
      <c r="Q542" s="103" t="s">
        <v>8</v>
      </c>
      <c r="R54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474-COM-09940</v>
      </c>
      <c r="S542" s="195" t="str">
        <f>HYPERLINK("https://www.mouser.com/ProductDetail/" &amp;MouserListTable12[[#This Row],[Mouser SKU]])</f>
        <v>https://www.mouser.com/ProductDetail/474-COM-09940</v>
      </c>
      <c r="T542" s="121">
        <v>0</v>
      </c>
      <c r="U542" s="121">
        <v>0</v>
      </c>
      <c r="V542" s="121">
        <v>0</v>
      </c>
      <c r="W542" s="121">
        <f>MouserListTable12[[#This Row],['#/Unit]]*FilterSpecs!$C$3+MouserListTable12[[#This Row],[Extra]]</f>
        <v>0</v>
      </c>
      <c r="X542" s="121">
        <f>IF(MouserListTable12[[#This Row],[Tag]]=FilterSpecs!$F$7,MouserListTable12[[#This Row],['#/Unit]]*MouserListTable12[[#This Row],[Price (USD)]],0)</f>
        <v>0</v>
      </c>
      <c r="Y542" s="121">
        <f>MouserListTable12[[#This Row],[Tot '#]]*MouserListTable12[[#This Row],[Price (USD)]]</f>
        <v>0</v>
      </c>
      <c r="Z542"/>
    </row>
    <row r="543" spans="1:26" s="146" customFormat="1" x14ac:dyDescent="0.3">
      <c r="A543" s="103" t="s">
        <v>897</v>
      </c>
      <c r="B543" s="103" t="s">
        <v>2033</v>
      </c>
      <c r="C543" s="103" t="s">
        <v>1906</v>
      </c>
      <c r="D543" s="106" t="str">
        <f>IF(MouserListTable12[[#This Row],[Vendor]]=FilterSpecs!$A$8,MouserListTable12[[#This Row],[Mouser SKU]], MouserListTable12[[#This Row],[Supplier SKU]])</f>
        <v>474-COM-09288</v>
      </c>
      <c r="E543" s="121">
        <f>MouserListTable12[[#This Row],[Tot '#]]-MouserListTable12[[#This Row],['# Initial]]</f>
        <v>0</v>
      </c>
      <c r="F543" s="121">
        <f>IF(AND(MouserListTable12[[#This Row],[Tag]]&lt;&gt;FilterSpecs!$F$12, MouserListTable12[[#This Row],[Tag]]&lt;&gt;FilterSpecs!$F$9), MouserListTable12[[#This Row],['#/Unit]]*FilterSpecs!$B$3+MouserListTable12[[#This Row],[Extra Initial]],0)</f>
        <v>5</v>
      </c>
      <c r="G543" s="103" t="s">
        <v>1005</v>
      </c>
      <c r="H543" s="103" t="s">
        <v>1006</v>
      </c>
      <c r="I543" s="103" t="s">
        <v>1007</v>
      </c>
      <c r="J543" s="103">
        <v>1</v>
      </c>
      <c r="K543" s="157">
        <v>0.95</v>
      </c>
      <c r="L543" s="106" t="s">
        <v>1911</v>
      </c>
      <c r="M543" s="103"/>
      <c r="N543" s="157">
        <f>MouserListTable12[[#This Row],['# Initial]]*MouserListTable12[[#This Row],[Price (USD)]]</f>
        <v>4.75</v>
      </c>
      <c r="O543" s="106" t="s">
        <v>1004</v>
      </c>
      <c r="P543" s="103">
        <f t="shared" si="12"/>
        <v>524</v>
      </c>
      <c r="Q543" s="103" t="s">
        <v>8</v>
      </c>
      <c r="R54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474-COM-09288</v>
      </c>
      <c r="S543" s="195" t="str">
        <f>HYPERLINK("https://www.mouser.com/ProductDetail/" &amp;MouserListTable12[[#This Row],[Mouser SKU]])</f>
        <v>https://www.mouser.com/ProductDetail/474-COM-09288</v>
      </c>
      <c r="T543" s="121">
        <v>1</v>
      </c>
      <c r="U543" s="121">
        <v>0</v>
      </c>
      <c r="V543" s="121">
        <v>0</v>
      </c>
      <c r="W543" s="121">
        <f>MouserListTable12[[#This Row],['#/Unit]]*FilterSpecs!$C$3+MouserListTable12[[#This Row],[Extra]]</f>
        <v>5</v>
      </c>
      <c r="X543" s="121">
        <f>IF(MouserListTable12[[#This Row],[Tag]]=FilterSpecs!$F$7,MouserListTable12[[#This Row],['#/Unit]]*MouserListTable12[[#This Row],[Price (USD)]],0)</f>
        <v>0.95</v>
      </c>
      <c r="Y543" s="121">
        <f>MouserListTable12[[#This Row],[Tot '#]]*MouserListTable12[[#This Row],[Price (USD)]]</f>
        <v>4.75</v>
      </c>
      <c r="Z543"/>
    </row>
    <row r="544" spans="1:26" s="146" customFormat="1" hidden="1" x14ac:dyDescent="0.3">
      <c r="A544" s="103" t="s">
        <v>897</v>
      </c>
      <c r="B544" s="103" t="s">
        <v>2033</v>
      </c>
      <c r="C544" s="103" t="s">
        <v>1906</v>
      </c>
      <c r="D544" s="106" t="str">
        <f>IF(MouserListTable12[[#This Row],[Vendor]]=FilterSpecs!$A$8,MouserListTable12[[#This Row],[Mouser SKU]], MouserListTable12[[#This Row],[Supplier SKU]])</f>
        <v>485-3392</v>
      </c>
      <c r="E544" s="121">
        <f>MouserListTable12[[#This Row],[Tot '#]]-MouserListTable12[[#This Row],['# Initial]]</f>
        <v>0</v>
      </c>
      <c r="F544" s="121">
        <f>IF(AND(MouserListTable12[[#This Row],[Tag]]&lt;&gt;FilterSpecs!$F$12, MouserListTable12[[#This Row],[Tag]]&lt;&gt;FilterSpecs!$F$9), MouserListTable12[[#This Row],['#/Unit]]*FilterSpecs!$B$3+MouserListTable12[[#This Row],[Extra Initial]],0)</f>
        <v>0</v>
      </c>
      <c r="G544" s="103"/>
      <c r="H544" s="103"/>
      <c r="I544" s="126" t="s">
        <v>2240</v>
      </c>
      <c r="K544" s="158">
        <v>1.5</v>
      </c>
      <c r="L544" s="126" t="s">
        <v>1910</v>
      </c>
      <c r="N544" s="157">
        <f>MouserListTable12[[#This Row],['# Initial]]*MouserListTable12[[#This Row],[Price (USD)]]</f>
        <v>0</v>
      </c>
      <c r="O544" s="106" t="s">
        <v>2239</v>
      </c>
      <c r="P544" s="103">
        <f t="shared" si="12"/>
        <v>525</v>
      </c>
      <c r="Q544" s="103" t="s">
        <v>1898</v>
      </c>
      <c r="R54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485-3392</v>
      </c>
      <c r="S544" s="195" t="str">
        <f>HYPERLINK("https://www.mouser.com/ProductDetail/" &amp;MouserListTable12[[#This Row],[Mouser SKU]])</f>
        <v>https://www.mouser.com/ProductDetail/485-3392</v>
      </c>
      <c r="T544" s="121">
        <v>0</v>
      </c>
      <c r="U544" s="121">
        <v>0</v>
      </c>
      <c r="V544" s="121">
        <v>0</v>
      </c>
      <c r="W544" s="121">
        <f>MouserListTable12[[#This Row],['#/Unit]]*FilterSpecs!$C$3+MouserListTable12[[#This Row],[Extra]]</f>
        <v>0</v>
      </c>
      <c r="X544" s="121">
        <f>IF(MouserListTable12[[#This Row],[Tag]]=FilterSpecs!$F$7,MouserListTable12[[#This Row],['#/Unit]]*MouserListTable12[[#This Row],[Price (USD)]],0)</f>
        <v>0</v>
      </c>
      <c r="Y544" s="121">
        <f>MouserListTable12[[#This Row],[Tot '#]]*MouserListTable12[[#This Row],[Price (USD)]]</f>
        <v>0</v>
      </c>
      <c r="Z544"/>
    </row>
    <row r="545" spans="1:26" s="146" customFormat="1" hidden="1" x14ac:dyDescent="0.3">
      <c r="A545" s="103" t="s">
        <v>897</v>
      </c>
      <c r="B545" s="103" t="s">
        <v>2033</v>
      </c>
      <c r="C545" s="103" t="s">
        <v>1906</v>
      </c>
      <c r="D545" s="106" t="str">
        <f>IF(MouserListTable12[[#This Row],[Vendor]]=FilterSpecs!$A$8,MouserListTable12[[#This Row],[Mouser SKU]], MouserListTable12[[#This Row],[Supplier SKU]])</f>
        <v>485-3393</v>
      </c>
      <c r="E545" s="121">
        <f>MouserListTable12[[#This Row],[Tot '#]]-MouserListTable12[[#This Row],['# Initial]]</f>
        <v>0</v>
      </c>
      <c r="F545" s="121">
        <f>IF(AND(MouserListTable12[[#This Row],[Tag]]&lt;&gt;FilterSpecs!$F$12, MouserListTable12[[#This Row],[Tag]]&lt;&gt;FilterSpecs!$F$9), MouserListTable12[[#This Row],['#/Unit]]*FilterSpecs!$B$3+MouserListTable12[[#This Row],[Extra Initial]],0)</f>
        <v>0</v>
      </c>
      <c r="G545" s="103"/>
      <c r="H545" s="103"/>
      <c r="I545" s="126" t="s">
        <v>2242</v>
      </c>
      <c r="K545" s="158">
        <v>1.75</v>
      </c>
      <c r="L545" s="126" t="s">
        <v>1910</v>
      </c>
      <c r="N545" s="157">
        <f>MouserListTable12[[#This Row],['# Initial]]*MouserListTable12[[#This Row],[Price (USD)]]</f>
        <v>0</v>
      </c>
      <c r="O545" s="106" t="s">
        <v>2241</v>
      </c>
      <c r="P545" s="103">
        <f t="shared" si="12"/>
        <v>526</v>
      </c>
      <c r="Q545" s="103" t="s">
        <v>1898</v>
      </c>
      <c r="R54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485-3393</v>
      </c>
      <c r="S545" s="195" t="str">
        <f>HYPERLINK("https://www.mouser.com/ProductDetail/" &amp;MouserListTable12[[#This Row],[Mouser SKU]])</f>
        <v>https://www.mouser.com/ProductDetail/485-3393</v>
      </c>
      <c r="T545" s="121">
        <v>0</v>
      </c>
      <c r="U545" s="121">
        <v>0</v>
      </c>
      <c r="V545" s="121">
        <v>0</v>
      </c>
      <c r="W545" s="121">
        <f>MouserListTable12[[#This Row],['#/Unit]]*FilterSpecs!$C$3+MouserListTable12[[#This Row],[Extra]]</f>
        <v>0</v>
      </c>
      <c r="X545" s="121">
        <f>IF(MouserListTable12[[#This Row],[Tag]]=FilterSpecs!$F$7,MouserListTable12[[#This Row],['#/Unit]]*MouserListTable12[[#This Row],[Price (USD)]],0)</f>
        <v>0</v>
      </c>
      <c r="Y545" s="121">
        <f>MouserListTable12[[#This Row],[Tot '#]]*MouserListTable12[[#This Row],[Price (USD)]]</f>
        <v>0</v>
      </c>
      <c r="Z545"/>
    </row>
    <row r="546" spans="1:26" s="146" customFormat="1" hidden="1" x14ac:dyDescent="0.3">
      <c r="A546" s="103" t="s">
        <v>897</v>
      </c>
      <c r="B546" s="103" t="s">
        <v>2033</v>
      </c>
      <c r="C546" s="103" t="s">
        <v>1906</v>
      </c>
      <c r="D546" s="106" t="str">
        <f>IF(MouserListTable12[[#This Row],[Vendor]]=FilterSpecs!$A$8,MouserListTable12[[#This Row],[Mouser SKU]], MouserListTable12[[#This Row],[Supplier SKU]])</f>
        <v>485-562</v>
      </c>
      <c r="E546" s="121">
        <f>MouserListTable12[[#This Row],[Tot '#]]-MouserListTable12[[#This Row],['# Initial]]</f>
        <v>0</v>
      </c>
      <c r="F546" s="121">
        <f>IF(AND(MouserListTable12[[#This Row],[Tag]]&lt;&gt;FilterSpecs!$F$12, MouserListTable12[[#This Row],[Tag]]&lt;&gt;FilterSpecs!$F$9), MouserListTable12[[#This Row],['#/Unit]]*FilterSpecs!$B$3+MouserListTable12[[#This Row],[Extra Initial]],0)</f>
        <v>0</v>
      </c>
      <c r="G546" s="103"/>
      <c r="H546" s="103"/>
      <c r="I546" s="126" t="s">
        <v>2244</v>
      </c>
      <c r="K546" s="158">
        <v>0.95</v>
      </c>
      <c r="L546" s="126" t="s">
        <v>1910</v>
      </c>
      <c r="N546" s="157">
        <f>MouserListTable12[[#This Row],['# Initial]]*MouserListTable12[[#This Row],[Price (USD)]]</f>
        <v>0</v>
      </c>
      <c r="O546" s="106" t="s">
        <v>2243</v>
      </c>
      <c r="P546" s="103">
        <f t="shared" si="12"/>
        <v>527</v>
      </c>
      <c r="Q546" s="103" t="s">
        <v>1898</v>
      </c>
      <c r="R54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485-562</v>
      </c>
      <c r="S546" s="195" t="str">
        <f>HYPERLINK("https://www.mouser.com/ProductDetail/" &amp;MouserListTable12[[#This Row],[Mouser SKU]])</f>
        <v>https://www.mouser.com/ProductDetail/485-562</v>
      </c>
      <c r="T546" s="121">
        <v>0</v>
      </c>
      <c r="U546" s="121">
        <v>0</v>
      </c>
      <c r="V546" s="121">
        <v>0</v>
      </c>
      <c r="W546" s="121">
        <f>MouserListTable12[[#This Row],['#/Unit]]*FilterSpecs!$C$3+MouserListTable12[[#This Row],[Extra]]</f>
        <v>0</v>
      </c>
      <c r="X546" s="121">
        <f>IF(MouserListTable12[[#This Row],[Tag]]=FilterSpecs!$F$7,MouserListTable12[[#This Row],['#/Unit]]*MouserListTable12[[#This Row],[Price (USD)]],0)</f>
        <v>0</v>
      </c>
      <c r="Y546" s="121">
        <f>MouserListTable12[[#This Row],[Tot '#]]*MouserListTable12[[#This Row],[Price (USD)]]</f>
        <v>0</v>
      </c>
      <c r="Z546"/>
    </row>
    <row r="547" spans="1:26" s="146" customFormat="1" hidden="1" x14ac:dyDescent="0.3">
      <c r="A547" s="103" t="s">
        <v>897</v>
      </c>
      <c r="B547" s="103" t="s">
        <v>2033</v>
      </c>
      <c r="C547" s="103" t="s">
        <v>1906</v>
      </c>
      <c r="D547" s="106" t="str">
        <f>IF(MouserListTable12[[#This Row],[Vendor]]=FilterSpecs!$A$8,MouserListTable12[[#This Row],[Mouser SKU]], MouserListTable12[[#This Row],[Supplier SKU]])</f>
        <v>485-1789</v>
      </c>
      <c r="E547" s="121">
        <f>MouserListTable12[[#This Row],[Tot '#]]-MouserListTable12[[#This Row],['# Initial]]</f>
        <v>0</v>
      </c>
      <c r="F547" s="121">
        <f>IF(AND(MouserListTable12[[#This Row],[Tag]]&lt;&gt;FilterSpecs!$F$12, MouserListTable12[[#This Row],[Tag]]&lt;&gt;FilterSpecs!$F$9), MouserListTable12[[#This Row],['#/Unit]]*FilterSpecs!$B$3+MouserListTable12[[#This Row],[Extra Initial]],0)</f>
        <v>0</v>
      </c>
      <c r="G547" s="103"/>
      <c r="H547" s="103"/>
      <c r="I547" s="126" t="s">
        <v>2246</v>
      </c>
      <c r="K547" s="158">
        <v>0.95</v>
      </c>
      <c r="L547" s="126" t="s">
        <v>1910</v>
      </c>
      <c r="N547" s="157">
        <f>MouserListTable12[[#This Row],['# Initial]]*MouserListTable12[[#This Row],[Price (USD)]]</f>
        <v>0</v>
      </c>
      <c r="O547" s="106" t="s">
        <v>2245</v>
      </c>
      <c r="P547" s="103">
        <f t="shared" si="12"/>
        <v>528</v>
      </c>
      <c r="Q547" s="103" t="s">
        <v>1898</v>
      </c>
      <c r="R54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485-1789</v>
      </c>
      <c r="S547" s="195" t="str">
        <f>HYPERLINK("https://www.mouser.com/ProductDetail/" &amp;MouserListTable12[[#This Row],[Mouser SKU]])</f>
        <v>https://www.mouser.com/ProductDetail/485-1789</v>
      </c>
      <c r="T547" s="121">
        <v>0</v>
      </c>
      <c r="U547" s="121">
        <v>0</v>
      </c>
      <c r="V547" s="121">
        <v>0</v>
      </c>
      <c r="W547" s="121">
        <f>MouserListTable12[[#This Row],['#/Unit]]*FilterSpecs!$C$3+MouserListTable12[[#This Row],[Extra]]</f>
        <v>0</v>
      </c>
      <c r="X547" s="121">
        <f>IF(MouserListTable12[[#This Row],[Tag]]=FilterSpecs!$F$7,MouserListTable12[[#This Row],['#/Unit]]*MouserListTable12[[#This Row],[Price (USD)]],0)</f>
        <v>0</v>
      </c>
      <c r="Y547" s="121">
        <f>MouserListTable12[[#This Row],[Tot '#]]*MouserListTable12[[#This Row],[Price (USD)]]</f>
        <v>0</v>
      </c>
      <c r="Z547"/>
    </row>
    <row r="548" spans="1:26" s="146" customFormat="1" x14ac:dyDescent="0.3">
      <c r="A548" s="103" t="s">
        <v>897</v>
      </c>
      <c r="B548" s="103" t="s">
        <v>2033</v>
      </c>
      <c r="C548" s="103" t="s">
        <v>1906</v>
      </c>
      <c r="D548" s="106" t="str">
        <f>IF(MouserListTable12[[#This Row],[Vendor]]=FilterSpecs!$A$8,MouserListTable12[[#This Row],[Mouser SKU]], MouserListTable12[[#This Row],[Supplier SKU]])</f>
        <v>485-3395</v>
      </c>
      <c r="E548" s="121">
        <f>MouserListTable12[[#This Row],[Tot '#]]-MouserListTable12[[#This Row],['# Initial]]</f>
        <v>0</v>
      </c>
      <c r="F548" s="121">
        <f>IF(AND(MouserListTable12[[#This Row],[Tag]]&lt;&gt;FilterSpecs!$F$12, MouserListTable12[[#This Row],[Tag]]&lt;&gt;FilterSpecs!$F$9), MouserListTable12[[#This Row],['#/Unit]]*FilterSpecs!$B$3+MouserListTable12[[#This Row],[Extra Initial]],0)</f>
        <v>5</v>
      </c>
      <c r="G548" s="103"/>
      <c r="H548" s="103"/>
      <c r="I548" s="103" t="s">
        <v>2248</v>
      </c>
      <c r="K548" s="157">
        <v>1.5</v>
      </c>
      <c r="L548" s="106" t="s">
        <v>1911</v>
      </c>
      <c r="M548" s="106"/>
      <c r="N548" s="157">
        <f>MouserListTable12[[#This Row],['# Initial]]*MouserListTable12[[#This Row],[Price (USD)]]</f>
        <v>7.5</v>
      </c>
      <c r="O548" s="106" t="s">
        <v>2247</v>
      </c>
      <c r="P548" s="103">
        <f t="shared" si="12"/>
        <v>529</v>
      </c>
      <c r="Q548" s="103" t="s">
        <v>1898</v>
      </c>
      <c r="R54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485-3395</v>
      </c>
      <c r="S548" s="195" t="str">
        <f>HYPERLINK("https://www.mouser.com/ProductDetail/" &amp;MouserListTable12[[#This Row],[Mouser SKU]])</f>
        <v>https://www.mouser.com/ProductDetail/485-3395</v>
      </c>
      <c r="T548" s="121">
        <v>1</v>
      </c>
      <c r="U548" s="121">
        <v>0</v>
      </c>
      <c r="V548" s="121">
        <v>0</v>
      </c>
      <c r="W548" s="121">
        <f>MouserListTable12[[#This Row],['#/Unit]]*FilterSpecs!$C$3+MouserListTable12[[#This Row],[Extra]]</f>
        <v>5</v>
      </c>
      <c r="X548" s="121">
        <f>IF(MouserListTable12[[#This Row],[Tag]]=FilterSpecs!$F$7,MouserListTable12[[#This Row],['#/Unit]]*MouserListTable12[[#This Row],[Price (USD)]],0)</f>
        <v>1.5</v>
      </c>
      <c r="Y548" s="121">
        <f>MouserListTable12[[#This Row],[Tot '#]]*MouserListTable12[[#This Row],[Price (USD)]]</f>
        <v>7.5</v>
      </c>
      <c r="Z548"/>
    </row>
    <row r="549" spans="1:26" s="146" customFormat="1" hidden="1" x14ac:dyDescent="0.3">
      <c r="A549" s="126" t="s">
        <v>897</v>
      </c>
      <c r="B549" s="126" t="s">
        <v>2033</v>
      </c>
      <c r="C549" s="103" t="s">
        <v>1906</v>
      </c>
      <c r="D549" s="106" t="str">
        <f>IF(MouserListTable12[[#This Row],[Vendor]]=FilterSpecs!$A$8,MouserListTable12[[#This Row],[Mouser SKU]], MouserListTable12[[#This Row],[Supplier SKU]])</f>
        <v>474-COM-09117</v>
      </c>
      <c r="E549" s="121">
        <f>MouserListTable12[[#This Row],[Tot '#]]-MouserListTable12[[#This Row],['# Initial]]</f>
        <v>0</v>
      </c>
      <c r="F549" s="121">
        <f>IF(AND(MouserListTable12[[#This Row],[Tag]]&lt;&gt;FilterSpecs!$F$12, MouserListTable12[[#This Row],[Tag]]&lt;&gt;FilterSpecs!$F$9), MouserListTable12[[#This Row],['#/Unit]]*FilterSpecs!$B$3+MouserListTable12[[#This Row],[Extra Initial]],0)</f>
        <v>0</v>
      </c>
      <c r="G549" s="103" t="s">
        <v>1009</v>
      </c>
      <c r="H549" s="103" t="s">
        <v>1010</v>
      </c>
      <c r="I549" s="103" t="s">
        <v>1011</v>
      </c>
      <c r="J549" s="103">
        <v>1</v>
      </c>
      <c r="K549" s="157">
        <v>2.95</v>
      </c>
      <c r="L549" s="103" t="s">
        <v>1910</v>
      </c>
      <c r="M549" s="103"/>
      <c r="N549" s="157">
        <f>MouserListTable12[[#This Row],['# Initial]]*MouserListTable12[[#This Row],[Price (USD)]]</f>
        <v>0</v>
      </c>
      <c r="O549" s="106" t="s">
        <v>1008</v>
      </c>
      <c r="P549" s="103">
        <f t="shared" si="12"/>
        <v>530</v>
      </c>
      <c r="Q549" s="103" t="s">
        <v>8</v>
      </c>
      <c r="R54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474-COM-09117</v>
      </c>
      <c r="S549" s="195" t="str">
        <f>HYPERLINK("https://www.mouser.com/ProductDetail/" &amp;MouserListTable12[[#This Row],[Mouser SKU]])</f>
        <v>https://www.mouser.com/ProductDetail/474-COM-09117</v>
      </c>
      <c r="T549" s="121">
        <v>0</v>
      </c>
      <c r="U549" s="121">
        <v>0</v>
      </c>
      <c r="V549" s="121">
        <v>0</v>
      </c>
      <c r="W549" s="121">
        <f>MouserListTable12[[#This Row],['#/Unit]]*FilterSpecs!$C$3+MouserListTable12[[#This Row],[Extra]]</f>
        <v>0</v>
      </c>
      <c r="X549" s="121">
        <f>IF(MouserListTable12[[#This Row],[Tag]]=FilterSpecs!$F$7,MouserListTable12[[#This Row],['#/Unit]]*MouserListTable12[[#This Row],[Price (USD)]],0)</f>
        <v>0</v>
      </c>
      <c r="Y549" s="121">
        <f>MouserListTable12[[#This Row],[Tot '#]]*MouserListTable12[[#This Row],[Price (USD)]]</f>
        <v>0</v>
      </c>
      <c r="Z549"/>
    </row>
    <row r="550" spans="1:26" s="146" customFormat="1" hidden="1" x14ac:dyDescent="0.3">
      <c r="A550" s="126" t="s">
        <v>897</v>
      </c>
      <c r="B550" s="126" t="s">
        <v>2033</v>
      </c>
      <c r="C550" s="103" t="s">
        <v>1906</v>
      </c>
      <c r="D550" s="106" t="str">
        <f>IF(MouserListTable12[[#This Row],[Vendor]]=FilterSpecs!$A$8,MouserListTable12[[#This Row],[Mouser SKU]], MouserListTable12[[#This Row],[Supplier SKU]])</f>
        <v>474-COM-10596</v>
      </c>
      <c r="E550" s="121">
        <f>MouserListTable12[[#This Row],[Tot '#]]-MouserListTable12[[#This Row],['# Initial]]</f>
        <v>0</v>
      </c>
      <c r="F550" s="121">
        <f>IF(AND(MouserListTable12[[#This Row],[Tag]]&lt;&gt;FilterSpecs!$F$12, MouserListTable12[[#This Row],[Tag]]&lt;&gt;FilterSpecs!$F$9), MouserListTable12[[#This Row],['#/Unit]]*FilterSpecs!$B$3+MouserListTable12[[#This Row],[Extra Initial]],0)</f>
        <v>0</v>
      </c>
      <c r="G550" s="103" t="s">
        <v>1706</v>
      </c>
      <c r="H550" s="103" t="s">
        <v>1707</v>
      </c>
      <c r="I550" s="103" t="s">
        <v>1708</v>
      </c>
      <c r="J550" s="103">
        <v>1</v>
      </c>
      <c r="K550" s="157">
        <v>2.95</v>
      </c>
      <c r="L550" s="103" t="s">
        <v>1913</v>
      </c>
      <c r="M550" s="103"/>
      <c r="N550" s="157">
        <f>MouserListTable12[[#This Row],['# Initial]]*MouserListTable12[[#This Row],[Price (USD)]]</f>
        <v>0</v>
      </c>
      <c r="O550" s="106" t="s">
        <v>1705</v>
      </c>
      <c r="P550" s="103">
        <f t="shared" si="12"/>
        <v>531</v>
      </c>
      <c r="Q550" s="103" t="s">
        <v>8</v>
      </c>
      <c r="R55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474-COM-10596</v>
      </c>
      <c r="S550" s="195" t="str">
        <f>HYPERLINK("https://www.mouser.com/ProductDetail/" &amp;MouserListTable12[[#This Row],[Mouser SKU]])</f>
        <v>https://www.mouser.com/ProductDetail/474-COM-10596</v>
      </c>
      <c r="T550" s="121">
        <v>0</v>
      </c>
      <c r="U550" s="121">
        <v>0</v>
      </c>
      <c r="V550" s="121">
        <v>0</v>
      </c>
      <c r="W550" s="121">
        <f>MouserListTable12[[#This Row],['#/Unit]]*FilterSpecs!$C$3+MouserListTable12[[#This Row],[Extra]]</f>
        <v>0</v>
      </c>
      <c r="X550" s="121">
        <f>IF(MouserListTable12[[#This Row],[Tag]]=FilterSpecs!$F$7,MouserListTable12[[#This Row],['#/Unit]]*MouserListTable12[[#This Row],[Price (USD)]],0)</f>
        <v>0</v>
      </c>
      <c r="Y550" s="121">
        <f>MouserListTable12[[#This Row],[Tot '#]]*MouserListTable12[[#This Row],[Price (USD)]]</f>
        <v>0</v>
      </c>
      <c r="Z550"/>
    </row>
    <row r="551" spans="1:26" s="146" customFormat="1" hidden="1" x14ac:dyDescent="0.3">
      <c r="A551" s="126" t="s">
        <v>897</v>
      </c>
      <c r="B551" s="126" t="s">
        <v>2033</v>
      </c>
      <c r="C551" s="103" t="s">
        <v>1906</v>
      </c>
      <c r="D551" s="106" t="str">
        <f>IF(MouserListTable12[[#This Row],[Vendor]]=FilterSpecs!$A$8,MouserListTable12[[#This Row],[Mouser SKU]], MouserListTable12[[#This Row],[Supplier SKU]])</f>
        <v>474-COM-10982</v>
      </c>
      <c r="E551" s="121">
        <f>MouserListTable12[[#This Row],[Tot '#]]-MouserListTable12[[#This Row],['# Initial]]</f>
        <v>0</v>
      </c>
      <c r="F551" s="121">
        <f>IF(AND(MouserListTable12[[#This Row],[Tag]]&lt;&gt;FilterSpecs!$F$12, MouserListTable12[[#This Row],[Tag]]&lt;&gt;FilterSpecs!$F$9), MouserListTable12[[#This Row],['#/Unit]]*FilterSpecs!$B$3+MouserListTable12[[#This Row],[Extra Initial]],0)</f>
        <v>0</v>
      </c>
      <c r="G551" s="103" t="s">
        <v>1686</v>
      </c>
      <c r="H551" s="103" t="s">
        <v>1687</v>
      </c>
      <c r="I551" s="103" t="s">
        <v>1688</v>
      </c>
      <c r="J551" s="103">
        <v>1</v>
      </c>
      <c r="K551" s="157">
        <v>3.95</v>
      </c>
      <c r="L551" s="103" t="s">
        <v>1910</v>
      </c>
      <c r="M551" s="103"/>
      <c r="N551" s="157">
        <f>MouserListTable12[[#This Row],['# Initial]]*MouserListTable12[[#This Row],[Price (USD)]]</f>
        <v>0</v>
      </c>
      <c r="O551" s="106" t="s">
        <v>1685</v>
      </c>
      <c r="P551" s="103">
        <f t="shared" si="12"/>
        <v>532</v>
      </c>
      <c r="Q551" s="103" t="s">
        <v>8</v>
      </c>
      <c r="R55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474-COM-10982</v>
      </c>
      <c r="S551" s="195" t="str">
        <f>HYPERLINK("https://www.mouser.com/ProductDetail/" &amp;MouserListTable12[[#This Row],[Mouser SKU]])</f>
        <v>https://www.mouser.com/ProductDetail/474-COM-10982</v>
      </c>
      <c r="T551" s="121">
        <v>0</v>
      </c>
      <c r="U551" s="121">
        <v>0</v>
      </c>
      <c r="V551" s="121">
        <v>0</v>
      </c>
      <c r="W551" s="121">
        <f>MouserListTable12[[#This Row],['#/Unit]]*FilterSpecs!$C$3+MouserListTable12[[#This Row],[Extra]]</f>
        <v>0</v>
      </c>
      <c r="X551" s="121">
        <f>IF(MouserListTable12[[#This Row],[Tag]]=FilterSpecs!$F$7,MouserListTable12[[#This Row],['#/Unit]]*MouserListTable12[[#This Row],[Price (USD)]],0)</f>
        <v>0</v>
      </c>
      <c r="Y551" s="121">
        <f>MouserListTable12[[#This Row],[Tot '#]]*MouserListTable12[[#This Row],[Price (USD)]]</f>
        <v>0</v>
      </c>
      <c r="Z551"/>
    </row>
    <row r="552" spans="1:26" s="146" customFormat="1" hidden="1" x14ac:dyDescent="0.3">
      <c r="A552" s="126" t="s">
        <v>897</v>
      </c>
      <c r="B552" s="126" t="s">
        <v>2033</v>
      </c>
      <c r="C552" s="103" t="s">
        <v>1906</v>
      </c>
      <c r="D552" s="106" t="str">
        <f>IF(MouserListTable12[[#This Row],[Vendor]]=FilterSpecs!$A$8,MouserListTable12[[#This Row],[Mouser SKU]], MouserListTable12[[#This Row],[Supplier SKU]])</f>
        <v>474-BOB-11722</v>
      </c>
      <c r="E552" s="121">
        <f>MouserListTable12[[#This Row],[Tot '#]]-MouserListTable12[[#This Row],['# Initial]]</f>
        <v>0</v>
      </c>
      <c r="F552" s="121">
        <f>IF(AND(MouserListTable12[[#This Row],[Tag]]&lt;&gt;FilterSpecs!$F$12, MouserListTable12[[#This Row],[Tag]]&lt;&gt;FilterSpecs!$F$9), MouserListTable12[[#This Row],['#/Unit]]*FilterSpecs!$B$3+MouserListTable12[[#This Row],[Extra Initial]],0)</f>
        <v>0</v>
      </c>
      <c r="G552" s="103" t="s">
        <v>1734</v>
      </c>
      <c r="H552" s="103" t="s">
        <v>1735</v>
      </c>
      <c r="I552" s="103" t="s">
        <v>1736</v>
      </c>
      <c r="J552" s="103">
        <v>1</v>
      </c>
      <c r="K552" s="157">
        <v>2.95</v>
      </c>
      <c r="L552" s="103" t="s">
        <v>1912</v>
      </c>
      <c r="M552" s="103"/>
      <c r="N552" s="157">
        <f>MouserListTable12[[#This Row],['# Initial]]*MouserListTable12[[#This Row],[Price (USD)]]</f>
        <v>0</v>
      </c>
      <c r="O552" s="106" t="s">
        <v>1733</v>
      </c>
      <c r="P552" s="103">
        <f t="shared" si="12"/>
        <v>533</v>
      </c>
      <c r="Q552" s="103" t="s">
        <v>8</v>
      </c>
      <c r="R55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474-BOB-11722</v>
      </c>
      <c r="S552" s="195" t="str">
        <f>HYPERLINK("https://www.mouser.com/ProductDetail/" &amp;MouserListTable12[[#This Row],[Mouser SKU]])</f>
        <v>https://www.mouser.com/ProductDetail/474-BOB-11722</v>
      </c>
      <c r="T552" s="121">
        <v>0</v>
      </c>
      <c r="U552" s="121">
        <v>0</v>
      </c>
      <c r="V552" s="121">
        <v>0</v>
      </c>
      <c r="W552" s="121">
        <f>MouserListTable12[[#This Row],['#/Unit]]*FilterSpecs!$C$3+MouserListTable12[[#This Row],[Extra]]</f>
        <v>0</v>
      </c>
      <c r="X552" s="121">
        <f>IF(MouserListTable12[[#This Row],[Tag]]=FilterSpecs!$F$7,MouserListTable12[[#This Row],['#/Unit]]*MouserListTable12[[#This Row],[Price (USD)]],0)</f>
        <v>0</v>
      </c>
      <c r="Y552" s="121">
        <f>MouserListTable12[[#This Row],[Tot '#]]*MouserListTable12[[#This Row],[Price (USD)]]</f>
        <v>0</v>
      </c>
      <c r="Z552"/>
    </row>
    <row r="553" spans="1:26" s="146" customFormat="1" hidden="1" x14ac:dyDescent="0.3">
      <c r="A553" s="103" t="s">
        <v>897</v>
      </c>
      <c r="B553" s="103" t="s">
        <v>2033</v>
      </c>
      <c r="C553" s="103" t="s">
        <v>1906</v>
      </c>
      <c r="D553" s="106" t="str">
        <f>IF(MouserListTable12[[#This Row],[Vendor]]=FilterSpecs!$A$8,MouserListTable12[[#This Row],[Mouser SKU]], MouserListTable12[[#This Row],[Supplier SKU]])</f>
        <v>485-377</v>
      </c>
      <c r="E553" s="121">
        <f>MouserListTable12[[#This Row],[Tot '#]]-MouserListTable12[[#This Row],['# Initial]]</f>
        <v>0</v>
      </c>
      <c r="F553" s="121">
        <f>IF(AND(MouserListTable12[[#This Row],[Tag]]&lt;&gt;FilterSpecs!$F$12, MouserListTable12[[#This Row],[Tag]]&lt;&gt;FilterSpecs!$F$9), MouserListTable12[[#This Row],['#/Unit]]*FilterSpecs!$B$3+MouserListTable12[[#This Row],[Extra Initial]],0)</f>
        <v>0</v>
      </c>
      <c r="G553" s="103"/>
      <c r="H553" s="103"/>
      <c r="I553" s="126" t="s">
        <v>2250</v>
      </c>
      <c r="K553" s="158">
        <v>4.5</v>
      </c>
      <c r="L553" s="126" t="s">
        <v>1912</v>
      </c>
      <c r="N553" s="157">
        <f>MouserListTable12[[#This Row],['# Initial]]*MouserListTable12[[#This Row],[Price (USD)]]</f>
        <v>0</v>
      </c>
      <c r="O553" s="106" t="s">
        <v>2249</v>
      </c>
      <c r="P553" s="103">
        <f t="shared" si="12"/>
        <v>534</v>
      </c>
      <c r="Q553" s="103" t="s">
        <v>1898</v>
      </c>
      <c r="R55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485-377</v>
      </c>
      <c r="S553" s="195" t="str">
        <f>HYPERLINK("https://www.mouser.com/ProductDetail/" &amp;MouserListTable12[[#This Row],[Mouser SKU]])</f>
        <v>https://www.mouser.com/ProductDetail/485-377</v>
      </c>
      <c r="T553" s="121">
        <v>0</v>
      </c>
      <c r="U553" s="121">
        <v>0</v>
      </c>
      <c r="V553" s="121">
        <v>0</v>
      </c>
      <c r="W553" s="121">
        <f>MouserListTable12[[#This Row],['#/Unit]]*FilterSpecs!$C$3+MouserListTable12[[#This Row],[Extra]]</f>
        <v>0</v>
      </c>
      <c r="X553" s="121">
        <f>IF(MouserListTable12[[#This Row],[Tag]]=FilterSpecs!$F$7,MouserListTable12[[#This Row],['#/Unit]]*MouserListTable12[[#This Row],[Price (USD)]],0)</f>
        <v>0</v>
      </c>
      <c r="Y553" s="121">
        <f>MouserListTable12[[#This Row],[Tot '#]]*MouserListTable12[[#This Row],[Price (USD)]]</f>
        <v>0</v>
      </c>
      <c r="Z553"/>
    </row>
    <row r="554" spans="1:26" s="146" customFormat="1" x14ac:dyDescent="0.3">
      <c r="A554" s="103" t="s">
        <v>897</v>
      </c>
      <c r="B554" s="103" t="s">
        <v>2033</v>
      </c>
      <c r="C554" s="103" t="s">
        <v>1906</v>
      </c>
      <c r="D554" s="106" t="str">
        <f>IF(MouserListTable12[[#This Row],[Vendor]]=FilterSpecs!$A$8,MouserListTable12[[#This Row],[Mouser SKU]], MouserListTable12[[#This Row],[Supplier SKU]])</f>
        <v>474-COM-13253</v>
      </c>
      <c r="E554" s="121">
        <f>MouserListTable12[[#This Row],[Tot '#]]-MouserListTable12[[#This Row],['# Initial]]</f>
        <v>0</v>
      </c>
      <c r="F554" s="121">
        <f>IF(AND(MouserListTable12[[#This Row],[Tag]]&lt;&gt;FilterSpecs!$F$12, MouserListTable12[[#This Row],[Tag]]&lt;&gt;FilterSpecs!$F$9), MouserListTable12[[#This Row],['#/Unit]]*FilterSpecs!$B$3+MouserListTable12[[#This Row],[Extra Initial]],0)</f>
        <v>5</v>
      </c>
      <c r="G554" s="103" t="s">
        <v>1121</v>
      </c>
      <c r="H554" s="103" t="s">
        <v>1122</v>
      </c>
      <c r="I554" s="103" t="s">
        <v>1123</v>
      </c>
      <c r="J554" s="103">
        <v>1</v>
      </c>
      <c r="K554" s="157">
        <v>1.95</v>
      </c>
      <c r="L554" s="106" t="s">
        <v>1911</v>
      </c>
      <c r="M554" s="103"/>
      <c r="N554" s="157">
        <f>MouserListTable12[[#This Row],['# Initial]]*MouserListTable12[[#This Row],[Price (USD)]]</f>
        <v>9.75</v>
      </c>
      <c r="O554" s="106" t="s">
        <v>1120</v>
      </c>
      <c r="P554" s="103">
        <f t="shared" si="12"/>
        <v>535</v>
      </c>
      <c r="Q554" s="103" t="s">
        <v>8</v>
      </c>
      <c r="R55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474-COM-13253</v>
      </c>
      <c r="S554" s="195" t="str">
        <f>HYPERLINK("https://www.mouser.com/ProductDetail/" &amp;MouserListTable12[[#This Row],[Mouser SKU]])</f>
        <v>https://www.mouser.com/ProductDetail/474-COM-13253</v>
      </c>
      <c r="T554" s="121">
        <v>1</v>
      </c>
      <c r="U554" s="121">
        <v>0</v>
      </c>
      <c r="V554" s="121">
        <v>0</v>
      </c>
      <c r="W554" s="121">
        <f>MouserListTable12[[#This Row],['#/Unit]]*FilterSpecs!$C$3+MouserListTable12[[#This Row],[Extra]]</f>
        <v>5</v>
      </c>
      <c r="X554" s="121">
        <f>IF(MouserListTable12[[#This Row],[Tag]]=FilterSpecs!$F$7,MouserListTable12[[#This Row],['#/Unit]]*MouserListTable12[[#This Row],[Price (USD)]],0)</f>
        <v>1.95</v>
      </c>
      <c r="Y554" s="121">
        <f>MouserListTable12[[#This Row],[Tot '#]]*MouserListTable12[[#This Row],[Price (USD)]]</f>
        <v>9.75</v>
      </c>
      <c r="Z554"/>
    </row>
    <row r="555" spans="1:26" s="146" customFormat="1" x14ac:dyDescent="0.3">
      <c r="A555" s="103" t="s">
        <v>897</v>
      </c>
      <c r="B555" s="103" t="s">
        <v>2033</v>
      </c>
      <c r="C555" s="103" t="s">
        <v>1906</v>
      </c>
      <c r="D555" s="106" t="str">
        <f>IF(MouserListTable12[[#This Row],[Vendor]]=FilterSpecs!$A$8,MouserListTable12[[#This Row],[Mouser SKU]], MouserListTable12[[#This Row],[Supplier SKU]])</f>
        <v>474-BOB-13098</v>
      </c>
      <c r="E555" s="121">
        <f>MouserListTable12[[#This Row],[Tot '#]]-MouserListTable12[[#This Row],['# Initial]]</f>
        <v>0</v>
      </c>
      <c r="F555" s="121">
        <f>IF(AND(MouserListTable12[[#This Row],[Tag]]&lt;&gt;FilterSpecs!$F$12, MouserListTable12[[#This Row],[Tag]]&lt;&gt;FilterSpecs!$F$9), MouserListTable12[[#This Row],['#/Unit]]*FilterSpecs!$B$3+MouserListTable12[[#This Row],[Extra Initial]],0)</f>
        <v>5</v>
      </c>
      <c r="G555" s="103" t="s">
        <v>1117</v>
      </c>
      <c r="H555" s="103" t="s">
        <v>1118</v>
      </c>
      <c r="I555" s="103" t="s">
        <v>1119</v>
      </c>
      <c r="J555" s="103">
        <v>1</v>
      </c>
      <c r="K555" s="157">
        <v>1.95</v>
      </c>
      <c r="L555" s="106" t="s">
        <v>1911</v>
      </c>
      <c r="M555" s="103"/>
      <c r="N555" s="157">
        <f>MouserListTable12[[#This Row],['# Initial]]*MouserListTable12[[#This Row],[Price (USD)]]</f>
        <v>9.75</v>
      </c>
      <c r="O555" s="106" t="s">
        <v>1116</v>
      </c>
      <c r="P555" s="103">
        <f t="shared" si="12"/>
        <v>536</v>
      </c>
      <c r="Q555" s="103" t="s">
        <v>8</v>
      </c>
      <c r="R55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474-BOB-13098</v>
      </c>
      <c r="S555" s="195" t="str">
        <f>HYPERLINK("https://www.mouser.com/ProductDetail/" &amp;MouserListTable12[[#This Row],[Mouser SKU]])</f>
        <v>https://www.mouser.com/ProductDetail/474-BOB-13098</v>
      </c>
      <c r="T555" s="121">
        <v>1</v>
      </c>
      <c r="U555" s="121">
        <v>0</v>
      </c>
      <c r="V555" s="121">
        <v>0</v>
      </c>
      <c r="W555" s="121">
        <f>MouserListTable12[[#This Row],['#/Unit]]*FilterSpecs!$C$3+MouserListTable12[[#This Row],[Extra]]</f>
        <v>5</v>
      </c>
      <c r="X555" s="121">
        <f>IF(MouserListTable12[[#This Row],[Tag]]=FilterSpecs!$F$7,MouserListTable12[[#This Row],['#/Unit]]*MouserListTable12[[#This Row],[Price (USD)]],0)</f>
        <v>1.95</v>
      </c>
      <c r="Y555" s="121">
        <f>MouserListTable12[[#This Row],[Tot '#]]*MouserListTable12[[#This Row],[Price (USD)]]</f>
        <v>9.75</v>
      </c>
      <c r="Z555"/>
    </row>
    <row r="556" spans="1:26" s="146" customFormat="1" x14ac:dyDescent="0.3">
      <c r="A556" s="103" t="s">
        <v>897</v>
      </c>
      <c r="B556" s="103" t="s">
        <v>2033</v>
      </c>
      <c r="C556" s="103" t="s">
        <v>1906</v>
      </c>
      <c r="D556" s="106" t="str">
        <f>IF(MouserListTable12[[#This Row],[Vendor]]=FilterSpecs!$A$8,MouserListTable12[[#This Row],[Mouser SKU]], MouserListTable12[[#This Row],[Supplier SKU]])</f>
        <v>474-BOB-13099</v>
      </c>
      <c r="E556" s="121">
        <f>MouserListTable12[[#This Row],[Tot '#]]-MouserListTable12[[#This Row],['# Initial]]</f>
        <v>0</v>
      </c>
      <c r="F556" s="121">
        <f>IF(AND(MouserListTable12[[#This Row],[Tag]]&lt;&gt;FilterSpecs!$F$12, MouserListTable12[[#This Row],[Tag]]&lt;&gt;FilterSpecs!$F$9), MouserListTable12[[#This Row],['#/Unit]]*FilterSpecs!$B$3+MouserListTable12[[#This Row],[Extra Initial]],0)</f>
        <v>5</v>
      </c>
      <c r="G556" s="103" t="s">
        <v>1125</v>
      </c>
      <c r="H556" s="103" t="s">
        <v>1126</v>
      </c>
      <c r="I556" s="103" t="s">
        <v>1127</v>
      </c>
      <c r="J556" s="103">
        <v>1</v>
      </c>
      <c r="K556" s="157">
        <v>1.95</v>
      </c>
      <c r="L556" s="106" t="s">
        <v>1911</v>
      </c>
      <c r="M556" s="103"/>
      <c r="N556" s="157">
        <f>MouserListTable12[[#This Row],['# Initial]]*MouserListTable12[[#This Row],[Price (USD)]]</f>
        <v>9.75</v>
      </c>
      <c r="O556" s="106" t="s">
        <v>1124</v>
      </c>
      <c r="P556" s="103">
        <f t="shared" si="12"/>
        <v>537</v>
      </c>
      <c r="Q556" s="103" t="s">
        <v>8</v>
      </c>
      <c r="R55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474-BOB-13099</v>
      </c>
      <c r="S556" s="195" t="str">
        <f>HYPERLINK("https://www.mouser.com/ProductDetail/" &amp;MouserListTable12[[#This Row],[Mouser SKU]])</f>
        <v>https://www.mouser.com/ProductDetail/474-BOB-13099</v>
      </c>
      <c r="T556" s="121">
        <v>1</v>
      </c>
      <c r="U556" s="121">
        <v>0</v>
      </c>
      <c r="V556" s="121">
        <v>0</v>
      </c>
      <c r="W556" s="121">
        <f>MouserListTable12[[#This Row],['#/Unit]]*FilterSpecs!$C$3+MouserListTable12[[#This Row],[Extra]]</f>
        <v>5</v>
      </c>
      <c r="X556" s="121">
        <f>IF(MouserListTable12[[#This Row],[Tag]]=FilterSpecs!$F$7,MouserListTable12[[#This Row],['#/Unit]]*MouserListTable12[[#This Row],[Price (USD)]],0)</f>
        <v>1.95</v>
      </c>
      <c r="Y556" s="121">
        <f>MouserListTable12[[#This Row],[Tot '#]]*MouserListTable12[[#This Row],[Price (USD)]]</f>
        <v>9.75</v>
      </c>
      <c r="Z556"/>
    </row>
    <row r="557" spans="1:26" s="146" customFormat="1" hidden="1" x14ac:dyDescent="0.3">
      <c r="A557" s="103" t="s">
        <v>897</v>
      </c>
      <c r="B557" s="103" t="s">
        <v>2033</v>
      </c>
      <c r="C557" s="103" t="s">
        <v>1906</v>
      </c>
      <c r="D557" s="106" t="str">
        <f>IF(MouserListTable12[[#This Row],[Vendor]]=FilterSpecs!$A$8,MouserListTable12[[#This Row],[Mouser SKU]], MouserListTable12[[#This Row],[Supplier SKU]])</f>
        <v>485-2925</v>
      </c>
      <c r="E557" s="121">
        <f>MouserListTable12[[#This Row],[Tot '#]]-MouserListTable12[[#This Row],['# Initial]]</f>
        <v>0</v>
      </c>
      <c r="F557" s="121">
        <f>IF(AND(MouserListTable12[[#This Row],[Tag]]&lt;&gt;FilterSpecs!$F$12, MouserListTable12[[#This Row],[Tag]]&lt;&gt;FilterSpecs!$F$9), MouserListTable12[[#This Row],['#/Unit]]*FilterSpecs!$B$3+MouserListTable12[[#This Row],[Extra Initial]],0)</f>
        <v>0</v>
      </c>
      <c r="G557" s="103"/>
      <c r="H557" s="103"/>
      <c r="I557" s="126" t="s">
        <v>2238</v>
      </c>
      <c r="K557" s="158">
        <v>1.95</v>
      </c>
      <c r="L557" s="126" t="s">
        <v>1910</v>
      </c>
      <c r="N557" s="157">
        <f>MouserListTable12[[#This Row],['# Initial]]*MouserListTable12[[#This Row],[Price (USD)]]</f>
        <v>0</v>
      </c>
      <c r="O557" s="106" t="s">
        <v>2237</v>
      </c>
      <c r="P557" s="103">
        <f t="shared" si="12"/>
        <v>538</v>
      </c>
      <c r="Q557" s="103" t="s">
        <v>1898</v>
      </c>
      <c r="R55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485-2925</v>
      </c>
      <c r="S557" s="195" t="str">
        <f>HYPERLINK("https://www.mouser.com/ProductDetail/" &amp;MouserListTable12[[#This Row],[Mouser SKU]])</f>
        <v>https://www.mouser.com/ProductDetail/485-2925</v>
      </c>
      <c r="T557" s="121">
        <v>0</v>
      </c>
      <c r="U557" s="121">
        <v>0</v>
      </c>
      <c r="V557" s="121">
        <v>0</v>
      </c>
      <c r="W557" s="121">
        <f>MouserListTable12[[#This Row],['#/Unit]]*FilterSpecs!$C$3+MouserListTable12[[#This Row],[Extra]]</f>
        <v>0</v>
      </c>
      <c r="X557" s="121">
        <f>IF(MouserListTable12[[#This Row],[Tag]]=FilterSpecs!$F$7,MouserListTable12[[#This Row],['#/Unit]]*MouserListTable12[[#This Row],[Price (USD)]],0)</f>
        <v>0</v>
      </c>
      <c r="Y557" s="121">
        <f>MouserListTable12[[#This Row],[Tot '#]]*MouserListTable12[[#This Row],[Price (USD)]]</f>
        <v>0</v>
      </c>
      <c r="Z557"/>
    </row>
    <row r="558" spans="1:26" s="146" customFormat="1" hidden="1" x14ac:dyDescent="0.3">
      <c r="A558" s="126" t="s">
        <v>897</v>
      </c>
      <c r="B558" s="126" t="s">
        <v>1612</v>
      </c>
      <c r="C558" s="103" t="s">
        <v>1906</v>
      </c>
      <c r="D558" s="106" t="str">
        <f>IF(MouserListTable12[[#This Row],[Vendor]]=FilterSpecs!$A$8,MouserListTable12[[#This Row],[Mouser SKU]], MouserListTable12[[#This Row],[Supplier SKU]])</f>
        <v>474-PRT-11367</v>
      </c>
      <c r="E558" s="121">
        <f>MouserListTable12[[#This Row],[Tot '#]]-MouserListTable12[[#This Row],['# Initial]]</f>
        <v>0</v>
      </c>
      <c r="F558" s="121">
        <f>IF(AND(MouserListTable12[[#This Row],[Tag]]&lt;&gt;FilterSpecs!$F$12, MouserListTable12[[#This Row],[Tag]]&lt;&gt;FilterSpecs!$F$9), MouserListTable12[[#This Row],['#/Unit]]*FilterSpecs!$B$3+MouserListTable12[[#This Row],[Extra Initial]],0)</f>
        <v>0</v>
      </c>
      <c r="G558" s="103" t="s">
        <v>1664</v>
      </c>
      <c r="H558" s="103" t="s">
        <v>1665</v>
      </c>
      <c r="I558" s="103" t="s">
        <v>1666</v>
      </c>
      <c r="J558" s="103">
        <v>1</v>
      </c>
      <c r="K558" s="157">
        <v>16.95</v>
      </c>
      <c r="L558" s="103" t="s">
        <v>1910</v>
      </c>
      <c r="M558" s="103"/>
      <c r="N558" s="157">
        <f>MouserListTable12[[#This Row],['# Initial]]*MouserListTable12[[#This Row],[Price (USD)]]</f>
        <v>0</v>
      </c>
      <c r="O558" s="106" t="s">
        <v>1663</v>
      </c>
      <c r="P558" s="103">
        <f t="shared" si="12"/>
        <v>539</v>
      </c>
      <c r="Q558" s="103" t="s">
        <v>8</v>
      </c>
      <c r="R55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474-PRT-11367</v>
      </c>
      <c r="S558" s="195" t="str">
        <f>HYPERLINK("https://www.mouser.com/ProductDetail/" &amp;MouserListTable12[[#This Row],[Mouser SKU]])</f>
        <v>https://www.mouser.com/ProductDetail/474-PRT-11367</v>
      </c>
      <c r="T558" s="121">
        <v>0</v>
      </c>
      <c r="U558" s="121">
        <v>0</v>
      </c>
      <c r="V558" s="121">
        <v>0</v>
      </c>
      <c r="W558" s="121">
        <f>MouserListTable12[[#This Row],['#/Unit]]*FilterSpecs!$C$3+MouserListTable12[[#This Row],[Extra]]</f>
        <v>0</v>
      </c>
      <c r="X558" s="121">
        <f>IF(MouserListTable12[[#This Row],[Tag]]=FilterSpecs!$F$7,MouserListTable12[[#This Row],['#/Unit]]*MouserListTable12[[#This Row],[Price (USD)]],0)</f>
        <v>0</v>
      </c>
      <c r="Y558" s="121">
        <f>MouserListTable12[[#This Row],[Tot '#]]*MouserListTable12[[#This Row],[Price (USD)]]</f>
        <v>0</v>
      </c>
      <c r="Z558"/>
    </row>
    <row r="559" spans="1:26" s="146" customFormat="1" x14ac:dyDescent="0.3">
      <c r="A559" s="103" t="s">
        <v>897</v>
      </c>
      <c r="B559" s="103" t="s">
        <v>1612</v>
      </c>
      <c r="C559" s="103" t="s">
        <v>1906</v>
      </c>
      <c r="D559" s="106" t="str">
        <f>IF(MouserListTable12[[#This Row],[Vendor]]=FilterSpecs!$A$8,MouserListTable12[[#This Row],[Mouser SKU]], MouserListTable12[[#This Row],[Supplier SKU]])</f>
        <v>485-3174</v>
      </c>
      <c r="E559" s="121">
        <f>MouserListTable12[[#This Row],[Tot '#]]-MouserListTable12[[#This Row],['# Initial]]</f>
        <v>0</v>
      </c>
      <c r="F559" s="121">
        <f>IF(AND(MouserListTable12[[#This Row],[Tag]]&lt;&gt;FilterSpecs!$F$12, MouserListTable12[[#This Row],[Tag]]&lt;&gt;FilterSpecs!$F$9), MouserListTable12[[#This Row],['#/Unit]]*FilterSpecs!$B$3+MouserListTable12[[#This Row],[Extra Initial]],0)</f>
        <v>1</v>
      </c>
      <c r="H559" s="106"/>
      <c r="I559" s="103" t="s">
        <v>2466</v>
      </c>
      <c r="J559" s="153">
        <v>109</v>
      </c>
      <c r="K559" s="157">
        <v>27.5</v>
      </c>
      <c r="L559" s="103" t="s">
        <v>1910</v>
      </c>
      <c r="M559" s="106"/>
      <c r="N559" s="157">
        <f>MouserListTable12[[#This Row],['# Initial]]*MouserListTable12[[#This Row],[Price (USD)]]</f>
        <v>27.5</v>
      </c>
      <c r="O559" s="106" t="s">
        <v>2467</v>
      </c>
      <c r="P559" s="103">
        <f t="shared" si="12"/>
        <v>540</v>
      </c>
      <c r="Q559" s="103" t="s">
        <v>1898</v>
      </c>
      <c r="R55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485-3174</v>
      </c>
      <c r="S559" s="195" t="str">
        <f>HYPERLINK("https://www.mouser.com/ProductDetail/" &amp;MouserListTable12[[#This Row],[Mouser SKU]])</f>
        <v>https://www.mouser.com/ProductDetail/485-3174</v>
      </c>
      <c r="T559" s="121">
        <v>0</v>
      </c>
      <c r="U559" s="121">
        <v>1</v>
      </c>
      <c r="V559" s="121">
        <v>1</v>
      </c>
      <c r="W559" s="121">
        <f>MouserListTable12[[#This Row],['#/Unit]]*FilterSpecs!$C$3+MouserListTable12[[#This Row],[Extra]]</f>
        <v>1</v>
      </c>
      <c r="X559" s="121">
        <f>IF(MouserListTable12[[#This Row],[Tag]]=FilterSpecs!$F$7,MouserListTable12[[#This Row],['#/Unit]]*MouserListTable12[[#This Row],[Price (USD)]],0)</f>
        <v>0</v>
      </c>
      <c r="Y559" s="121">
        <f>MouserListTable12[[#This Row],[Tot '#]]*MouserListTable12[[#This Row],[Price (USD)]]</f>
        <v>27.5</v>
      </c>
      <c r="Z559"/>
    </row>
    <row r="560" spans="1:26" s="146" customFormat="1" hidden="1" x14ac:dyDescent="0.3">
      <c r="A560" s="126" t="s">
        <v>897</v>
      </c>
      <c r="B560" s="126" t="s">
        <v>1612</v>
      </c>
      <c r="C560" s="103" t="s">
        <v>1906</v>
      </c>
      <c r="D560" s="106" t="str">
        <f>IF(MouserListTable12[[#This Row],[Vendor]]=FilterSpecs!$A$8,MouserListTable12[[#This Row],[Mouser SKU]], MouserListTable12[[#This Row],[Supplier SKU]])</f>
        <v>474-PRT-08023</v>
      </c>
      <c r="E560" s="121">
        <f>MouserListTable12[[#This Row],[Tot '#]]-MouserListTable12[[#This Row],['# Initial]]</f>
        <v>0</v>
      </c>
      <c r="F560" s="121">
        <f>IF(AND(MouserListTable12[[#This Row],[Tag]]&lt;&gt;FilterSpecs!$F$12, MouserListTable12[[#This Row],[Tag]]&lt;&gt;FilterSpecs!$F$9), MouserListTable12[[#This Row],['#/Unit]]*FilterSpecs!$B$3+MouserListTable12[[#This Row],[Extra Initial]],0)</f>
        <v>0</v>
      </c>
      <c r="G560" s="103" t="s">
        <v>1402</v>
      </c>
      <c r="H560" s="103" t="s">
        <v>1403</v>
      </c>
      <c r="I560" s="103" t="s">
        <v>1404</v>
      </c>
      <c r="J560" s="103">
        <v>1</v>
      </c>
      <c r="K560" s="157">
        <v>2.5</v>
      </c>
      <c r="L560" s="103" t="s">
        <v>1912</v>
      </c>
      <c r="M560" s="103"/>
      <c r="N560" s="157">
        <f>MouserListTable12[[#This Row],['# Initial]]*MouserListTable12[[#This Row],[Price (USD)]]</f>
        <v>0</v>
      </c>
      <c r="O560" s="106" t="s">
        <v>1401</v>
      </c>
      <c r="P560" s="103">
        <f t="shared" si="12"/>
        <v>541</v>
      </c>
      <c r="Q560" s="103" t="s">
        <v>8</v>
      </c>
      <c r="R56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474-PRT-08023</v>
      </c>
      <c r="S560" s="195" t="str">
        <f>HYPERLINK("https://www.mouser.com/ProductDetail/" &amp;MouserListTable12[[#This Row],[Mouser SKU]])</f>
        <v>https://www.mouser.com/ProductDetail/474-PRT-08023</v>
      </c>
      <c r="T560" s="121">
        <v>0</v>
      </c>
      <c r="U560" s="121">
        <v>0</v>
      </c>
      <c r="V560" s="121">
        <v>0</v>
      </c>
      <c r="W560" s="121">
        <f>MouserListTable12[[#This Row],['#/Unit]]*FilterSpecs!$C$3+MouserListTable12[[#This Row],[Extra]]</f>
        <v>0</v>
      </c>
      <c r="X560" s="121">
        <f>IF(MouserListTable12[[#This Row],[Tag]]=FilterSpecs!$F$7,MouserListTable12[[#This Row],['#/Unit]]*MouserListTable12[[#This Row],[Price (USD)]],0)</f>
        <v>0</v>
      </c>
      <c r="Y560" s="121">
        <f>MouserListTable12[[#This Row],[Tot '#]]*MouserListTable12[[#This Row],[Price (USD)]]</f>
        <v>0</v>
      </c>
      <c r="Z560"/>
    </row>
    <row r="561" spans="1:26" s="146" customFormat="1" hidden="1" x14ac:dyDescent="0.3">
      <c r="A561" s="126" t="s">
        <v>897</v>
      </c>
      <c r="B561" s="126" t="s">
        <v>1612</v>
      </c>
      <c r="C561" s="103" t="s">
        <v>1906</v>
      </c>
      <c r="D561" s="106" t="str">
        <f>IF(MouserListTable12[[#This Row],[Vendor]]=FilterSpecs!$A$8,MouserListTable12[[#This Row],[Mouser SKU]], MouserListTable12[[#This Row],[Supplier SKU]])</f>
        <v>474-PRT-08024</v>
      </c>
      <c r="E561" s="121">
        <f>MouserListTable12[[#This Row],[Tot '#]]-MouserListTable12[[#This Row],['# Initial]]</f>
        <v>0</v>
      </c>
      <c r="F561" s="121">
        <f>IF(AND(MouserListTable12[[#This Row],[Tag]]&lt;&gt;FilterSpecs!$F$12, MouserListTable12[[#This Row],[Tag]]&lt;&gt;FilterSpecs!$F$9), MouserListTable12[[#This Row],['#/Unit]]*FilterSpecs!$B$3+MouserListTable12[[#This Row],[Extra Initial]],0)</f>
        <v>0</v>
      </c>
      <c r="G561" s="103" t="s">
        <v>1394</v>
      </c>
      <c r="H561" s="103" t="s">
        <v>1395</v>
      </c>
      <c r="I561" s="103" t="s">
        <v>1396</v>
      </c>
      <c r="J561" s="103">
        <v>1</v>
      </c>
      <c r="K561" s="157">
        <v>2.5</v>
      </c>
      <c r="L561" s="103" t="s">
        <v>1912</v>
      </c>
      <c r="M561" s="103"/>
      <c r="N561" s="157">
        <f>MouserListTable12[[#This Row],['# Initial]]*MouserListTable12[[#This Row],[Price (USD)]]</f>
        <v>0</v>
      </c>
      <c r="O561" s="106" t="s">
        <v>1393</v>
      </c>
      <c r="P561" s="103">
        <f t="shared" si="12"/>
        <v>542</v>
      </c>
      <c r="Q561" s="103" t="s">
        <v>8</v>
      </c>
      <c r="R56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474-PRT-08024</v>
      </c>
      <c r="S561" s="195" t="str">
        <f>HYPERLINK("https://www.mouser.com/ProductDetail/" &amp;MouserListTable12[[#This Row],[Mouser SKU]])</f>
        <v>https://www.mouser.com/ProductDetail/474-PRT-08024</v>
      </c>
      <c r="T561" s="121">
        <v>0</v>
      </c>
      <c r="U561" s="121">
        <v>0</v>
      </c>
      <c r="V561" s="121">
        <v>0</v>
      </c>
      <c r="W561" s="121">
        <f>MouserListTable12[[#This Row],['#/Unit]]*FilterSpecs!$C$3+MouserListTable12[[#This Row],[Extra]]</f>
        <v>0</v>
      </c>
      <c r="X561" s="121">
        <f>IF(MouserListTable12[[#This Row],[Tag]]=FilterSpecs!$F$7,MouserListTable12[[#This Row],['#/Unit]]*MouserListTable12[[#This Row],[Price (USD)]],0)</f>
        <v>0</v>
      </c>
      <c r="Y561" s="121">
        <f>MouserListTable12[[#This Row],[Tot '#]]*MouserListTable12[[#This Row],[Price (USD)]]</f>
        <v>0</v>
      </c>
      <c r="Z561"/>
    </row>
    <row r="562" spans="1:26" s="146" customFormat="1" hidden="1" x14ac:dyDescent="0.3">
      <c r="A562" s="126" t="s">
        <v>897</v>
      </c>
      <c r="B562" s="126" t="s">
        <v>1612</v>
      </c>
      <c r="C562" s="103" t="s">
        <v>1906</v>
      </c>
      <c r="D562" s="106" t="str">
        <f>IF(MouserListTable12[[#This Row],[Vendor]]=FilterSpecs!$A$8,MouserListTable12[[#This Row],[Mouser SKU]], MouserListTable12[[#This Row],[Supplier SKU]])</f>
        <v>474-PRT-08022</v>
      </c>
      <c r="E562" s="121">
        <f>MouserListTable12[[#This Row],[Tot '#]]-MouserListTable12[[#This Row],['# Initial]]</f>
        <v>0</v>
      </c>
      <c r="F562" s="121">
        <f>IF(AND(MouserListTable12[[#This Row],[Tag]]&lt;&gt;FilterSpecs!$F$12, MouserListTable12[[#This Row],[Tag]]&lt;&gt;FilterSpecs!$F$9), MouserListTable12[[#This Row],['#/Unit]]*FilterSpecs!$B$3+MouserListTable12[[#This Row],[Extra Initial]],0)</f>
        <v>0</v>
      </c>
      <c r="G562" s="103" t="s">
        <v>1398</v>
      </c>
      <c r="H562" s="103" t="s">
        <v>1399</v>
      </c>
      <c r="I562" s="103" t="s">
        <v>1400</v>
      </c>
      <c r="J562" s="103">
        <v>1</v>
      </c>
      <c r="K562" s="157">
        <v>2.5</v>
      </c>
      <c r="L562" s="103" t="s">
        <v>1912</v>
      </c>
      <c r="M562" s="103"/>
      <c r="N562" s="157">
        <f>MouserListTable12[[#This Row],['# Initial]]*MouserListTable12[[#This Row],[Price (USD)]]</f>
        <v>0</v>
      </c>
      <c r="O562" s="106" t="s">
        <v>1397</v>
      </c>
      <c r="P562" s="103">
        <f t="shared" si="12"/>
        <v>543</v>
      </c>
      <c r="Q562" s="103" t="s">
        <v>8</v>
      </c>
      <c r="R56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474-PRT-08022</v>
      </c>
      <c r="S562" s="195" t="str">
        <f>HYPERLINK("https://www.mouser.com/ProductDetail/" &amp;MouserListTable12[[#This Row],[Mouser SKU]])</f>
        <v>https://www.mouser.com/ProductDetail/474-PRT-08022</v>
      </c>
      <c r="T562" s="121">
        <v>0</v>
      </c>
      <c r="U562" s="121">
        <v>0</v>
      </c>
      <c r="V562" s="121">
        <v>0</v>
      </c>
      <c r="W562" s="121">
        <f>MouserListTable12[[#This Row],['#/Unit]]*FilterSpecs!$C$3+MouserListTable12[[#This Row],[Extra]]</f>
        <v>0</v>
      </c>
      <c r="X562" s="121">
        <f>IF(MouserListTable12[[#This Row],[Tag]]=FilterSpecs!$F$7,MouserListTable12[[#This Row],['#/Unit]]*MouserListTable12[[#This Row],[Price (USD)]],0)</f>
        <v>0</v>
      </c>
      <c r="Y562" s="121">
        <f>MouserListTable12[[#This Row],[Tot '#]]*MouserListTable12[[#This Row],[Price (USD)]]</f>
        <v>0</v>
      </c>
      <c r="Z562"/>
    </row>
    <row r="563" spans="1:26" s="146" customFormat="1" hidden="1" x14ac:dyDescent="0.3">
      <c r="A563" s="126" t="s">
        <v>897</v>
      </c>
      <c r="B563" s="126" t="s">
        <v>1612</v>
      </c>
      <c r="C563" s="103" t="s">
        <v>1906</v>
      </c>
      <c r="D563" s="106" t="str">
        <f>IF(MouserListTable12[[#This Row],[Vendor]]=FilterSpecs!$A$8,MouserListTable12[[#This Row],[Mouser SKU]], MouserListTable12[[#This Row],[Supplier SKU]])</f>
        <v>474-PRT-08025</v>
      </c>
      <c r="E563" s="121">
        <f>MouserListTable12[[#This Row],[Tot '#]]-MouserListTable12[[#This Row],['# Initial]]</f>
        <v>0</v>
      </c>
      <c r="F563" s="121">
        <f>IF(AND(MouserListTable12[[#This Row],[Tag]]&lt;&gt;FilterSpecs!$F$12, MouserListTable12[[#This Row],[Tag]]&lt;&gt;FilterSpecs!$F$9), MouserListTable12[[#This Row],['#/Unit]]*FilterSpecs!$B$3+MouserListTable12[[#This Row],[Extra Initial]],0)</f>
        <v>0</v>
      </c>
      <c r="G563" s="103" t="s">
        <v>1656</v>
      </c>
      <c r="H563" s="103" t="s">
        <v>1657</v>
      </c>
      <c r="I563" s="103" t="s">
        <v>1658</v>
      </c>
      <c r="J563" s="103"/>
      <c r="K563" s="157">
        <v>2.95</v>
      </c>
      <c r="L563" s="103" t="s">
        <v>1913</v>
      </c>
      <c r="M563" s="103"/>
      <c r="N563" s="157">
        <f>MouserListTable12[[#This Row],['# Initial]]*MouserListTable12[[#This Row],[Price (USD)]]</f>
        <v>0</v>
      </c>
      <c r="O563" s="106" t="s">
        <v>1655</v>
      </c>
      <c r="P563" s="103">
        <f t="shared" si="12"/>
        <v>544</v>
      </c>
      <c r="Q563" s="103" t="s">
        <v>8</v>
      </c>
      <c r="R56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474-PRT-08025</v>
      </c>
      <c r="S563" s="195" t="str">
        <f>HYPERLINK("https://www.mouser.com/ProductDetail/" &amp;MouserListTable12[[#This Row],[Mouser SKU]])</f>
        <v>https://www.mouser.com/ProductDetail/474-PRT-08025</v>
      </c>
      <c r="T563" s="121">
        <v>0</v>
      </c>
      <c r="U563" s="121">
        <v>0</v>
      </c>
      <c r="V563" s="121">
        <v>0</v>
      </c>
      <c r="W563" s="121">
        <f>MouserListTable12[[#This Row],['#/Unit]]*FilterSpecs!$C$3+MouserListTable12[[#This Row],[Extra]]</f>
        <v>0</v>
      </c>
      <c r="X563" s="121">
        <f>IF(MouserListTable12[[#This Row],[Tag]]=FilterSpecs!$F$7,MouserListTable12[[#This Row],['#/Unit]]*MouserListTable12[[#This Row],[Price (USD)]],0)</f>
        <v>0</v>
      </c>
      <c r="Y563" s="121">
        <f>MouserListTable12[[#This Row],[Tot '#]]*MouserListTable12[[#This Row],[Price (USD)]]</f>
        <v>0</v>
      </c>
      <c r="Z563"/>
    </row>
    <row r="564" spans="1:26" s="146" customFormat="1" hidden="1" x14ac:dyDescent="0.3">
      <c r="A564" s="126" t="s">
        <v>897</v>
      </c>
      <c r="B564" s="126" t="s">
        <v>1612</v>
      </c>
      <c r="C564" s="103" t="s">
        <v>1906</v>
      </c>
      <c r="D564" s="106" t="str">
        <f>IF(MouserListTable12[[#This Row],[Vendor]]=FilterSpecs!$A$8,MouserListTable12[[#This Row],[Mouser SKU]], MouserListTable12[[#This Row],[Supplier SKU]])</f>
        <v>474-PRT-08026</v>
      </c>
      <c r="E564" s="121">
        <f>MouserListTable12[[#This Row],[Tot '#]]-MouserListTable12[[#This Row],['# Initial]]</f>
        <v>0</v>
      </c>
      <c r="F564" s="121">
        <f>IF(AND(MouserListTable12[[#This Row],[Tag]]&lt;&gt;FilterSpecs!$F$12, MouserListTable12[[#This Row],[Tag]]&lt;&gt;FilterSpecs!$F$9), MouserListTable12[[#This Row],['#/Unit]]*FilterSpecs!$B$3+MouserListTable12[[#This Row],[Extra Initial]],0)</f>
        <v>0</v>
      </c>
      <c r="G564" s="103" t="s">
        <v>1390</v>
      </c>
      <c r="H564" s="103" t="s">
        <v>1391</v>
      </c>
      <c r="I564" s="103" t="s">
        <v>1392</v>
      </c>
      <c r="J564" s="103">
        <v>1</v>
      </c>
      <c r="K564" s="157">
        <v>2.5</v>
      </c>
      <c r="L564" s="103" t="s">
        <v>1913</v>
      </c>
      <c r="M564" s="103"/>
      <c r="N564" s="157">
        <f>MouserListTable12[[#This Row],['# Initial]]*MouserListTable12[[#This Row],[Price (USD)]]</f>
        <v>0</v>
      </c>
      <c r="O564" s="106" t="s">
        <v>1389</v>
      </c>
      <c r="P564" s="103">
        <f t="shared" si="12"/>
        <v>545</v>
      </c>
      <c r="Q564" s="103" t="s">
        <v>8</v>
      </c>
      <c r="R56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474-PRT-08026</v>
      </c>
      <c r="S564" s="195" t="str">
        <f>HYPERLINK("https://www.mouser.com/ProductDetail/" &amp;MouserListTable12[[#This Row],[Mouser SKU]])</f>
        <v>https://www.mouser.com/ProductDetail/474-PRT-08026</v>
      </c>
      <c r="T564" s="121">
        <v>0</v>
      </c>
      <c r="U564" s="121">
        <v>0</v>
      </c>
      <c r="V564" s="121">
        <v>0</v>
      </c>
      <c r="W564" s="121">
        <f>MouserListTable12[[#This Row],['#/Unit]]*FilterSpecs!$C$3+MouserListTable12[[#This Row],[Extra]]</f>
        <v>0</v>
      </c>
      <c r="X564" s="121">
        <f>IF(MouserListTable12[[#This Row],[Tag]]=FilterSpecs!$F$7,MouserListTable12[[#This Row],['#/Unit]]*MouserListTable12[[#This Row],[Price (USD)]],0)</f>
        <v>0</v>
      </c>
      <c r="Y564" s="121">
        <f>MouserListTable12[[#This Row],[Tot '#]]*MouserListTable12[[#This Row],[Price (USD)]]</f>
        <v>0</v>
      </c>
      <c r="Z564"/>
    </row>
    <row r="565" spans="1:26" s="146" customFormat="1" hidden="1" x14ac:dyDescent="0.3">
      <c r="A565" s="126" t="s">
        <v>897</v>
      </c>
      <c r="B565" s="126" t="s">
        <v>1612</v>
      </c>
      <c r="C565" s="103" t="s">
        <v>1906</v>
      </c>
      <c r="D565" s="106" t="str">
        <f>IF(MouserListTable12[[#This Row],[Vendor]]=FilterSpecs!$A$8,MouserListTable12[[#This Row],[Mouser SKU]], MouserListTable12[[#This Row],[Supplier SKU]])</f>
        <v>474-PRT-08027</v>
      </c>
      <c r="E565" s="121">
        <f>MouserListTable12[[#This Row],[Tot '#]]-MouserListTable12[[#This Row],['# Initial]]</f>
        <v>0</v>
      </c>
      <c r="F565" s="121">
        <f>IF(AND(MouserListTable12[[#This Row],[Tag]]&lt;&gt;FilterSpecs!$F$12, MouserListTable12[[#This Row],[Tag]]&lt;&gt;FilterSpecs!$F$9), MouserListTable12[[#This Row],['#/Unit]]*FilterSpecs!$B$3+MouserListTable12[[#This Row],[Extra Initial]],0)</f>
        <v>0</v>
      </c>
      <c r="G565" s="103" t="s">
        <v>1660</v>
      </c>
      <c r="H565" s="103" t="s">
        <v>1661</v>
      </c>
      <c r="I565" s="103" t="s">
        <v>1662</v>
      </c>
      <c r="J565" s="103"/>
      <c r="K565" s="157">
        <v>2.95</v>
      </c>
      <c r="L565" s="103" t="s">
        <v>1910</v>
      </c>
      <c r="M565" s="103"/>
      <c r="N565" s="157">
        <f>MouserListTable12[[#This Row],['# Initial]]*MouserListTable12[[#This Row],[Price (USD)]]</f>
        <v>0</v>
      </c>
      <c r="O565" s="106" t="s">
        <v>1659</v>
      </c>
      <c r="P565" s="103">
        <f t="shared" si="12"/>
        <v>546</v>
      </c>
      <c r="Q565" s="103" t="s">
        <v>8</v>
      </c>
      <c r="R56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474-PRT-08027</v>
      </c>
      <c r="S565" s="195" t="str">
        <f>HYPERLINK("https://www.mouser.com/ProductDetail/" &amp;MouserListTable12[[#This Row],[Mouser SKU]])</f>
        <v>https://www.mouser.com/ProductDetail/474-PRT-08027</v>
      </c>
      <c r="T565" s="121">
        <v>0</v>
      </c>
      <c r="U565" s="121">
        <v>0</v>
      </c>
      <c r="V565" s="121">
        <v>0</v>
      </c>
      <c r="W565" s="121">
        <f>MouserListTable12[[#This Row],['#/Unit]]*FilterSpecs!$C$3+MouserListTable12[[#This Row],[Extra]]</f>
        <v>0</v>
      </c>
      <c r="X565" s="121">
        <f>IF(MouserListTable12[[#This Row],[Tag]]=FilterSpecs!$F$7,MouserListTable12[[#This Row],['#/Unit]]*MouserListTable12[[#This Row],[Price (USD)]],0)</f>
        <v>0</v>
      </c>
      <c r="Y565" s="121">
        <f>MouserListTable12[[#This Row],[Tot '#]]*MouserListTable12[[#This Row],[Price (USD)]]</f>
        <v>0</v>
      </c>
      <c r="Z565"/>
    </row>
    <row r="566" spans="1:26" s="146" customFormat="1" x14ac:dyDescent="0.3">
      <c r="A566" s="103" t="s">
        <v>897</v>
      </c>
      <c r="B566" s="103" t="s">
        <v>1612</v>
      </c>
      <c r="C566" s="103" t="s">
        <v>1906</v>
      </c>
      <c r="D566" s="106" t="str">
        <f>IF(MouserListTable12[[#This Row],[Vendor]]=FilterSpecs!$A$8,MouserListTable12[[#This Row],[Mouser SKU]], MouserListTable12[[#This Row],[Supplier SKU]])</f>
        <v>474-PRT-00124</v>
      </c>
      <c r="E566" s="121">
        <f>MouserListTable12[[#This Row],[Tot '#]]-MouserListTable12[[#This Row],['# Initial]]</f>
        <v>0</v>
      </c>
      <c r="F566" s="121">
        <f>IF(AND(MouserListTable12[[#This Row],[Tag]]&lt;&gt;FilterSpecs!$F$12, MouserListTable12[[#This Row],[Tag]]&lt;&gt;FilterSpecs!$F$9), MouserListTable12[[#This Row],['#/Unit]]*FilterSpecs!$B$3+MouserListTable12[[#This Row],[Extra Initial]],0)</f>
        <v>2</v>
      </c>
      <c r="G566" s="103" t="s">
        <v>418</v>
      </c>
      <c r="H566" s="103" t="s">
        <v>419</v>
      </c>
      <c r="I566" s="103" t="s">
        <v>420</v>
      </c>
      <c r="J566" s="103">
        <v>1</v>
      </c>
      <c r="K566" s="157">
        <v>6.95</v>
      </c>
      <c r="L566" s="103" t="s">
        <v>1910</v>
      </c>
      <c r="M566" s="103"/>
      <c r="N566" s="157">
        <f>MouserListTable12[[#This Row],['# Initial]]*MouserListTable12[[#This Row],[Price (USD)]]</f>
        <v>13.9</v>
      </c>
      <c r="O566" s="106" t="s">
        <v>417</v>
      </c>
      <c r="P566" s="103">
        <f t="shared" si="12"/>
        <v>547</v>
      </c>
      <c r="Q566" s="103" t="s">
        <v>8</v>
      </c>
      <c r="R56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474-PRT-00124</v>
      </c>
      <c r="S566" s="195" t="str">
        <f>HYPERLINK("https://www.mouser.com/ProductDetail/" &amp;MouserListTable12[[#This Row],[Mouser SKU]])</f>
        <v>https://www.mouser.com/ProductDetail/474-PRT-00124</v>
      </c>
      <c r="T566" s="121">
        <v>0</v>
      </c>
      <c r="U566" s="121">
        <v>2</v>
      </c>
      <c r="V566" s="121">
        <v>2</v>
      </c>
      <c r="W566" s="121">
        <f>MouserListTable12[[#This Row],['#/Unit]]*FilterSpecs!$C$3+MouserListTable12[[#This Row],[Extra]]</f>
        <v>2</v>
      </c>
      <c r="X566" s="121">
        <f>IF(MouserListTable12[[#This Row],[Tag]]=FilterSpecs!$F$7,MouserListTable12[[#This Row],['#/Unit]]*MouserListTable12[[#This Row],[Price (USD)]],0)</f>
        <v>0</v>
      </c>
      <c r="Y566" s="121">
        <f>MouserListTable12[[#This Row],[Tot '#]]*MouserListTable12[[#This Row],[Price (USD)]]</f>
        <v>13.9</v>
      </c>
      <c r="Z566"/>
    </row>
    <row r="567" spans="1:26" s="146" customFormat="1" hidden="1" x14ac:dyDescent="0.3">
      <c r="A567" s="128" t="s">
        <v>897</v>
      </c>
      <c r="B567" s="128" t="s">
        <v>1612</v>
      </c>
      <c r="C567" s="103" t="s">
        <v>1906</v>
      </c>
      <c r="D567" s="106" t="str">
        <f>IF(MouserListTable12[[#This Row],[Vendor]]=FilterSpecs!$A$8,MouserListTable12[[#This Row],[Mouser SKU]], MouserListTable12[[#This Row],[Supplier SKU]])</f>
        <v>485-3314</v>
      </c>
      <c r="E567" s="121">
        <f>MouserListTable12[[#This Row],[Tot '#]]-MouserListTable12[[#This Row],['# Initial]]</f>
        <v>0</v>
      </c>
      <c r="F567" s="121">
        <f>IF(AND(MouserListTable12[[#This Row],[Tag]]&lt;&gt;FilterSpecs!$F$12, MouserListTable12[[#This Row],[Tag]]&lt;&gt;FilterSpecs!$F$9), MouserListTable12[[#This Row],['#/Unit]]*FilterSpecs!$B$3+MouserListTable12[[#This Row],[Extra Initial]],0)</f>
        <v>0</v>
      </c>
      <c r="I567" s="128" t="s">
        <v>2468</v>
      </c>
      <c r="J567" s="153">
        <v>110</v>
      </c>
      <c r="K567" s="159">
        <v>7.95</v>
      </c>
      <c r="L567" s="126" t="s">
        <v>1910</v>
      </c>
      <c r="N567" s="157">
        <f>MouserListTable12[[#This Row],['# Initial]]*MouserListTable12[[#This Row],[Price (USD)]]</f>
        <v>0</v>
      </c>
      <c r="O567" s="153" t="s">
        <v>2469</v>
      </c>
      <c r="P567" s="103">
        <f t="shared" si="12"/>
        <v>548</v>
      </c>
      <c r="Q567" s="103" t="s">
        <v>1898</v>
      </c>
      <c r="R56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485-3314</v>
      </c>
      <c r="S567" s="195" t="str">
        <f>HYPERLINK("https://www.mouser.com/ProductDetail/" &amp;MouserListTable12[[#This Row],[Mouser SKU]])</f>
        <v>https://www.mouser.com/ProductDetail/485-3314</v>
      </c>
      <c r="T567" s="121">
        <v>0</v>
      </c>
      <c r="U567" s="121">
        <v>0</v>
      </c>
      <c r="V567" s="121">
        <v>0</v>
      </c>
      <c r="W567" s="121">
        <f>MouserListTable12[[#This Row],['#/Unit]]*FilterSpecs!$C$3+MouserListTable12[[#This Row],[Extra]]</f>
        <v>0</v>
      </c>
      <c r="X567" s="121">
        <f>IF(MouserListTable12[[#This Row],[Tag]]=FilterSpecs!$F$7,MouserListTable12[[#This Row],['#/Unit]]*MouserListTable12[[#This Row],[Price (USD)]],0)</f>
        <v>0</v>
      </c>
      <c r="Y567" s="121">
        <f>MouserListTable12[[#This Row],[Tot '#]]*MouserListTable12[[#This Row],[Price (USD)]]</f>
        <v>0</v>
      </c>
      <c r="Z567"/>
    </row>
    <row r="568" spans="1:26" s="146" customFormat="1" hidden="1" x14ac:dyDescent="0.3">
      <c r="A568" s="103" t="s">
        <v>17</v>
      </c>
      <c r="B568" s="103" t="s">
        <v>1614</v>
      </c>
      <c r="C568" s="103" t="s">
        <v>1906</v>
      </c>
      <c r="D568" s="106" t="str">
        <f>IF(MouserListTable12[[#This Row],[Vendor]]=FilterSpecs!$A$8,MouserListTable12[[#This Row],[Mouser SKU]], MouserListTable12[[#This Row],[Supplier SKU]])</f>
        <v>474-TOL-13086</v>
      </c>
      <c r="E568" s="121">
        <f>MouserListTable12[[#This Row],[Tot '#]]-MouserListTable12[[#This Row],['# Initial]]</f>
        <v>0</v>
      </c>
      <c r="F568" s="121">
        <f>IF(AND(MouserListTable12[[#This Row],[Tag]]&lt;&gt;FilterSpecs!$F$12, MouserListTable12[[#This Row],[Tag]]&lt;&gt;FilterSpecs!$F$9), MouserListTable12[[#This Row],['#/Unit]]*FilterSpecs!$B$3+MouserListTable12[[#This Row],[Extra Initial]],0)</f>
        <v>0</v>
      </c>
      <c r="G568" s="103" t="s">
        <v>1198</v>
      </c>
      <c r="H568" s="103" t="s">
        <v>1199</v>
      </c>
      <c r="I568" s="103" t="s">
        <v>1200</v>
      </c>
      <c r="J568" s="103">
        <v>1</v>
      </c>
      <c r="K568" s="157">
        <v>34.950000000000003</v>
      </c>
      <c r="L568" s="103" t="s">
        <v>1914</v>
      </c>
      <c r="M568" s="106"/>
      <c r="N568" s="157">
        <f>MouserListTable12[[#This Row],['# Initial]]*MouserListTable12[[#This Row],[Price (USD)]]</f>
        <v>0</v>
      </c>
      <c r="O568" s="106" t="s">
        <v>1197</v>
      </c>
      <c r="P568" s="103">
        <f t="shared" si="12"/>
        <v>549</v>
      </c>
      <c r="Q568" s="103" t="s">
        <v>8</v>
      </c>
      <c r="R56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474-TOL-13086</v>
      </c>
      <c r="S568" s="195" t="str">
        <f>HYPERLINK("https://www.mouser.com/ProductDetail/" &amp;MouserListTable12[[#This Row],[Mouser SKU]])</f>
        <v>https://www.mouser.com/ProductDetail/474-TOL-13086</v>
      </c>
      <c r="T568" s="121">
        <v>0</v>
      </c>
      <c r="U568" s="121">
        <v>0</v>
      </c>
      <c r="V568" s="121">
        <v>0</v>
      </c>
      <c r="W568" s="121">
        <f>MouserListTable12[[#This Row],['#/Unit]]*FilterSpecs!$C$3+MouserListTable12[[#This Row],[Extra]]</f>
        <v>0</v>
      </c>
      <c r="X568" s="121">
        <f>IF(MouserListTable12[[#This Row],[Tag]]=FilterSpecs!$F$7,MouserListTable12[[#This Row],['#/Unit]]*MouserListTable12[[#This Row],[Price (USD)]],0)</f>
        <v>0</v>
      </c>
      <c r="Y568" s="121">
        <f>MouserListTable12[[#This Row],[Tot '#]]*MouserListTable12[[#This Row],[Price (USD)]]</f>
        <v>0</v>
      </c>
      <c r="Z568"/>
    </row>
    <row r="569" spans="1:26" s="146" customFormat="1" hidden="1" x14ac:dyDescent="0.3">
      <c r="A569" s="128" t="s">
        <v>17</v>
      </c>
      <c r="B569" s="128" t="s">
        <v>1614</v>
      </c>
      <c r="C569" s="103" t="s">
        <v>1906</v>
      </c>
      <c r="D569" s="106" t="str">
        <f>IF(MouserListTable12[[#This Row],[Vendor]]=FilterSpecs!$A$8,MouserListTable12[[#This Row],[Mouser SKU]], MouserListTable12[[#This Row],[Supplier SKU]])</f>
        <v>485-136</v>
      </c>
      <c r="E569" s="121">
        <f>MouserListTable12[[#This Row],[Tot '#]]-MouserListTable12[[#This Row],['# Initial]]</f>
        <v>0</v>
      </c>
      <c r="F569" s="121">
        <f>IF(AND(MouserListTable12[[#This Row],[Tag]]&lt;&gt;FilterSpecs!$F$12, MouserListTable12[[#This Row],[Tag]]&lt;&gt;FilterSpecs!$F$9), MouserListTable12[[#This Row],['#/Unit]]*FilterSpecs!$B$3+MouserListTable12[[#This Row],[Extra Initial]],0)</f>
        <v>0</v>
      </c>
      <c r="I569" s="128" t="s">
        <v>2464</v>
      </c>
      <c r="J569" s="153">
        <v>108</v>
      </c>
      <c r="K569" s="159">
        <v>100</v>
      </c>
      <c r="L569" s="126" t="s">
        <v>1910</v>
      </c>
      <c r="N569" s="157">
        <f>MouserListTable12[[#This Row],['# Initial]]*MouserListTable12[[#This Row],[Price (USD)]]</f>
        <v>0</v>
      </c>
      <c r="O569" s="153" t="s">
        <v>2465</v>
      </c>
      <c r="P569" s="103">
        <f t="shared" si="12"/>
        <v>550</v>
      </c>
      <c r="Q569" s="103" t="s">
        <v>1898</v>
      </c>
      <c r="R56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v>
      </c>
      <c r="S569" s="195" t="str">
        <f>HYPERLINK("https://www.mouser.com/ProductDetail/" &amp;MouserListTable12[[#This Row],[Mouser SKU]])</f>
        <v>https://www.mouser.com/ProductDetail/485-136</v>
      </c>
      <c r="T569" s="121">
        <v>0</v>
      </c>
      <c r="U569" s="121">
        <v>0</v>
      </c>
      <c r="V569" s="121">
        <v>0</v>
      </c>
      <c r="W569" s="121">
        <f>MouserListTable12[[#This Row],['#/Unit]]*FilterSpecs!$C$3+MouserListTable12[[#This Row],[Extra]]</f>
        <v>0</v>
      </c>
      <c r="X569" s="121">
        <f>IF(MouserListTable12[[#This Row],[Tag]]=FilterSpecs!$F$7,MouserListTable12[[#This Row],['#/Unit]]*MouserListTable12[[#This Row],[Price (USD)]],0)</f>
        <v>0</v>
      </c>
      <c r="Y569" s="121">
        <f>MouserListTable12[[#This Row],[Tot '#]]*MouserListTable12[[#This Row],[Price (USD)]]</f>
        <v>0</v>
      </c>
      <c r="Z569"/>
    </row>
    <row r="570" spans="1:26" s="146" customFormat="1" hidden="1" x14ac:dyDescent="0.3">
      <c r="A570" s="126" t="s">
        <v>17</v>
      </c>
      <c r="B570" s="126" t="s">
        <v>1614</v>
      </c>
      <c r="C570" s="103" t="s">
        <v>1906</v>
      </c>
      <c r="D570" s="106" t="str">
        <f>IF(MouserListTable12[[#This Row],[Vendor]]=FilterSpecs!$A$8,MouserListTable12[[#This Row],[Mouser SKU]], MouserListTable12[[#This Row],[Supplier SKU]])</f>
        <v>474-TOL-14226</v>
      </c>
      <c r="E570" s="121">
        <f>MouserListTable12[[#This Row],[Tot '#]]-MouserListTable12[[#This Row],['# Initial]]</f>
        <v>0</v>
      </c>
      <c r="F570" s="121">
        <f>IF(AND(MouserListTable12[[#This Row],[Tag]]&lt;&gt;FilterSpecs!$F$12, MouserListTable12[[#This Row],[Tag]]&lt;&gt;FilterSpecs!$F$9), MouserListTable12[[#This Row],['#/Unit]]*FilterSpecs!$B$3+MouserListTable12[[#This Row],[Extra Initial]],0)</f>
        <v>0</v>
      </c>
      <c r="G570" s="103" t="s">
        <v>1643</v>
      </c>
      <c r="H570" s="103" t="s">
        <v>1644</v>
      </c>
      <c r="I570" s="103" t="s">
        <v>1645</v>
      </c>
      <c r="J570" s="103"/>
      <c r="K570" s="157">
        <v>59.95</v>
      </c>
      <c r="L570" s="103" t="s">
        <v>1914</v>
      </c>
      <c r="N570" s="157">
        <f>MouserListTable12[[#This Row],['# Initial]]*MouserListTable12[[#This Row],[Price (USD)]]</f>
        <v>0</v>
      </c>
      <c r="O570" s="106" t="s">
        <v>1642</v>
      </c>
      <c r="P570" s="103">
        <f t="shared" si="12"/>
        <v>551</v>
      </c>
      <c r="Q570" s="103" t="s">
        <v>8</v>
      </c>
      <c r="R57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474-TOL-14226</v>
      </c>
      <c r="S570" s="195" t="str">
        <f>HYPERLINK("https://www.mouser.com/ProductDetail/" &amp;MouserListTable12[[#This Row],[Mouser SKU]])</f>
        <v>https://www.mouser.com/ProductDetail/474-TOL-14226</v>
      </c>
      <c r="T570" s="121">
        <v>0</v>
      </c>
      <c r="U570" s="121">
        <v>0</v>
      </c>
      <c r="V570" s="121">
        <v>0</v>
      </c>
      <c r="W570" s="121">
        <f>MouserListTable12[[#This Row],['#/Unit]]*FilterSpecs!$C$3+MouserListTable12[[#This Row],[Extra]]</f>
        <v>0</v>
      </c>
      <c r="X570" s="121">
        <f>IF(MouserListTable12[[#This Row],[Tag]]=FilterSpecs!$F$7,MouserListTable12[[#This Row],['#/Unit]]*MouserListTable12[[#This Row],[Price (USD)]],0)</f>
        <v>0</v>
      </c>
      <c r="Y570" s="121">
        <f>MouserListTable12[[#This Row],[Tot '#]]*MouserListTable12[[#This Row],[Price (USD)]]</f>
        <v>0</v>
      </c>
      <c r="Z570"/>
    </row>
    <row r="571" spans="1:26" s="146" customFormat="1" hidden="1" x14ac:dyDescent="0.3">
      <c r="A571" s="103" t="s">
        <v>17</v>
      </c>
      <c r="B571" s="103" t="s">
        <v>1614</v>
      </c>
      <c r="C571" s="103" t="s">
        <v>1906</v>
      </c>
      <c r="D571" s="106" t="str">
        <f>IF(MouserListTable12[[#This Row],[Vendor]]=FilterSpecs!$A$8,MouserListTable12[[#This Row],[Mouser SKU]], MouserListTable12[[#This Row],[Supplier SKU]])</f>
        <v>474-TOL-13203</v>
      </c>
      <c r="E571" s="121">
        <f>MouserListTable12[[#This Row],[Tot '#]]-MouserListTable12[[#This Row],['# Initial]]</f>
        <v>0</v>
      </c>
      <c r="F571" s="121">
        <f>IF(AND(MouserListTable12[[#This Row],[Tag]]&lt;&gt;FilterSpecs!$F$12, MouserListTable12[[#This Row],[Tag]]&lt;&gt;FilterSpecs!$F$9), MouserListTable12[[#This Row],['#/Unit]]*FilterSpecs!$B$3+MouserListTable12[[#This Row],[Extra Initial]],0)</f>
        <v>0</v>
      </c>
      <c r="G571" s="103" t="s">
        <v>1651</v>
      </c>
      <c r="H571" s="103" t="s">
        <v>1652</v>
      </c>
      <c r="I571" s="103" t="s">
        <v>1653</v>
      </c>
      <c r="J571" s="103"/>
      <c r="K571" s="157">
        <v>4.95</v>
      </c>
      <c r="L571" s="103" t="s">
        <v>1914</v>
      </c>
      <c r="M571" s="106"/>
      <c r="N571" s="157">
        <f>MouserListTable12[[#This Row],['# Initial]]*MouserListTable12[[#This Row],[Price (USD)]]</f>
        <v>0</v>
      </c>
      <c r="O571" s="106" t="s">
        <v>1650</v>
      </c>
      <c r="P571" s="103">
        <f t="shared" si="12"/>
        <v>552</v>
      </c>
      <c r="Q571" s="103" t="s">
        <v>8</v>
      </c>
      <c r="R57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474-TOL-13203</v>
      </c>
      <c r="S571" s="195" t="str">
        <f>HYPERLINK("https://www.mouser.com/ProductDetail/" &amp;MouserListTable12[[#This Row],[Mouser SKU]])</f>
        <v>https://www.mouser.com/ProductDetail/474-TOL-13203</v>
      </c>
      <c r="T571" s="121">
        <v>0</v>
      </c>
      <c r="U571" s="121">
        <v>0</v>
      </c>
      <c r="V571" s="121">
        <v>0</v>
      </c>
      <c r="W571" s="121">
        <f>MouserListTable12[[#This Row],['#/Unit]]*FilterSpecs!$C$3+MouserListTable12[[#This Row],[Extra]]</f>
        <v>0</v>
      </c>
      <c r="X571" s="121">
        <f>IF(MouserListTable12[[#This Row],[Tag]]=FilterSpecs!$F$7,MouserListTable12[[#This Row],['#/Unit]]*MouserListTable12[[#This Row],[Price (USD)]],0)</f>
        <v>0</v>
      </c>
      <c r="Y571" s="121">
        <f>MouserListTable12[[#This Row],[Tot '#]]*MouserListTable12[[#This Row],[Price (USD)]]</f>
        <v>0</v>
      </c>
      <c r="Z571"/>
    </row>
    <row r="572" spans="1:26" s="146" customFormat="1" hidden="1" x14ac:dyDescent="0.3">
      <c r="A572" s="103" t="s">
        <v>17</v>
      </c>
      <c r="B572" s="103" t="s">
        <v>1614</v>
      </c>
      <c r="C572" s="103" t="s">
        <v>1906</v>
      </c>
      <c r="D572" s="106" t="str">
        <f>IF(MouserListTable12[[#This Row],[Vendor]]=FilterSpecs!$A$8,MouserListTable12[[#This Row],[Mouser SKU]], MouserListTable12[[#This Row],[Supplier SKU]])</f>
        <v>474-TOL-08964</v>
      </c>
      <c r="E572" s="121">
        <f>MouserListTable12[[#This Row],[Tot '#]]-MouserListTable12[[#This Row],['# Initial]]</f>
        <v>0</v>
      </c>
      <c r="F572" s="121">
        <f>IF(AND(MouserListTable12[[#This Row],[Tag]]&lt;&gt;FilterSpecs!$F$12, MouserListTable12[[#This Row],[Tag]]&lt;&gt;FilterSpecs!$F$9), MouserListTable12[[#This Row],['#/Unit]]*FilterSpecs!$B$3+MouserListTable12[[#This Row],[Extra Initial]],0)</f>
        <v>0</v>
      </c>
      <c r="G572" s="103" t="s">
        <v>1623</v>
      </c>
      <c r="H572" s="103" t="s">
        <v>1624</v>
      </c>
      <c r="I572" s="103" t="s">
        <v>1625</v>
      </c>
      <c r="J572" s="103">
        <v>1</v>
      </c>
      <c r="K572" s="157">
        <v>2.95</v>
      </c>
      <c r="L572" s="103" t="s">
        <v>1914</v>
      </c>
      <c r="M572" s="106"/>
      <c r="N572" s="157">
        <f>MouserListTable12[[#This Row],['# Initial]]*MouserListTable12[[#This Row],[Price (USD)]]</f>
        <v>0</v>
      </c>
      <c r="O572" s="106" t="s">
        <v>1622</v>
      </c>
      <c r="P572" s="103">
        <f t="shared" si="12"/>
        <v>553</v>
      </c>
      <c r="Q572" s="103" t="s">
        <v>8</v>
      </c>
      <c r="R57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474-TOL-08964</v>
      </c>
      <c r="S572" s="195" t="str">
        <f>HYPERLINK("https://www.mouser.com/ProductDetail/" &amp;MouserListTable12[[#This Row],[Mouser SKU]])</f>
        <v>https://www.mouser.com/ProductDetail/474-TOL-08964</v>
      </c>
      <c r="T572" s="121">
        <v>0</v>
      </c>
      <c r="U572" s="121">
        <v>0</v>
      </c>
      <c r="V572" s="121">
        <v>0</v>
      </c>
      <c r="W572" s="121">
        <f>MouserListTable12[[#This Row],['#/Unit]]*FilterSpecs!$C$3+MouserListTable12[[#This Row],[Extra]]</f>
        <v>0</v>
      </c>
      <c r="X572" s="121">
        <f>IF(MouserListTable12[[#This Row],[Tag]]=FilterSpecs!$F$7,MouserListTable12[[#This Row],['#/Unit]]*MouserListTable12[[#This Row],[Price (USD)]],0)</f>
        <v>0</v>
      </c>
      <c r="Y572" s="121">
        <f>MouserListTable12[[#This Row],[Tot '#]]*MouserListTable12[[#This Row],[Price (USD)]]</f>
        <v>0</v>
      </c>
      <c r="Z572"/>
    </row>
    <row r="573" spans="1:26" s="146" customFormat="1" x14ac:dyDescent="0.3">
      <c r="A573" s="103" t="s">
        <v>17</v>
      </c>
      <c r="B573" s="103" t="s">
        <v>1614</v>
      </c>
      <c r="C573" s="103" t="s">
        <v>1906</v>
      </c>
      <c r="D573" s="106" t="str">
        <f>IF(MouserListTable12[[#This Row],[Vendor]]=FilterSpecs!$A$8,MouserListTable12[[#This Row],[Mouser SKU]], MouserListTable12[[#This Row],[Supplier SKU]])</f>
        <v>474-TOL-12878</v>
      </c>
      <c r="E573" s="121">
        <f>MouserListTable12[[#This Row],[Tot '#]]-MouserListTable12[[#This Row],['# Initial]]</f>
        <v>0</v>
      </c>
      <c r="F573" s="121">
        <f>IF(AND(MouserListTable12[[#This Row],[Tag]]&lt;&gt;FilterSpecs!$F$12, MouserListTable12[[#This Row],[Tag]]&lt;&gt;FilterSpecs!$F$9), MouserListTable12[[#This Row],['#/Unit]]*FilterSpecs!$B$3+MouserListTable12[[#This Row],[Extra Initial]],0)</f>
        <v>1</v>
      </c>
      <c r="G573" s="103" t="s">
        <v>1442</v>
      </c>
      <c r="H573" s="103" t="s">
        <v>1443</v>
      </c>
      <c r="I573" s="103" t="s">
        <v>1444</v>
      </c>
      <c r="J573" s="103">
        <v>1</v>
      </c>
      <c r="K573" s="157">
        <v>16.95</v>
      </c>
      <c r="L573" s="103" t="s">
        <v>1914</v>
      </c>
      <c r="M573" s="106"/>
      <c r="N573" s="157">
        <f>MouserListTable12[[#This Row],['# Initial]]*MouserListTable12[[#This Row],[Price (USD)]]</f>
        <v>16.95</v>
      </c>
      <c r="O573" s="106" t="s">
        <v>1441</v>
      </c>
      <c r="P573" s="103">
        <f t="shared" si="12"/>
        <v>554</v>
      </c>
      <c r="Q573" s="103" t="s">
        <v>8</v>
      </c>
      <c r="R57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474-TOL-12878</v>
      </c>
      <c r="S573" s="195" t="str">
        <f>HYPERLINK("https://www.mouser.com/ProductDetail/" &amp;MouserListTable12[[#This Row],[Mouser SKU]])</f>
        <v>https://www.mouser.com/ProductDetail/474-TOL-12878</v>
      </c>
      <c r="T573" s="121">
        <v>0</v>
      </c>
      <c r="U573" s="121">
        <v>1</v>
      </c>
      <c r="V573" s="121">
        <v>1</v>
      </c>
      <c r="W573" s="121">
        <f>MouserListTable12[[#This Row],['#/Unit]]*FilterSpecs!$C$3+MouserListTable12[[#This Row],[Extra]]</f>
        <v>1</v>
      </c>
      <c r="X573" s="121">
        <f>IF(MouserListTable12[[#This Row],[Tag]]=FilterSpecs!$F$7,MouserListTable12[[#This Row],['#/Unit]]*MouserListTable12[[#This Row],[Price (USD)]],0)</f>
        <v>0</v>
      </c>
      <c r="Y573" s="121">
        <f>MouserListTable12[[#This Row],[Tot '#]]*MouserListTable12[[#This Row],[Price (USD)]]</f>
        <v>16.95</v>
      </c>
      <c r="Z573"/>
    </row>
    <row r="574" spans="1:26" s="146" customFormat="1" hidden="1" x14ac:dyDescent="0.3">
      <c r="A574" s="103" t="s">
        <v>17</v>
      </c>
      <c r="B574" s="103" t="s">
        <v>1614</v>
      </c>
      <c r="C574" s="103" t="s">
        <v>1906</v>
      </c>
      <c r="D574" s="106" t="str">
        <f>IF(MouserListTable12[[#This Row],[Vendor]]=FilterSpecs!$A$8,MouserListTable12[[#This Row],[Mouser SKU]], MouserListTable12[[#This Row],[Supplier SKU]])</f>
        <v>474-TOL-10706</v>
      </c>
      <c r="E574" s="121">
        <f>MouserListTable12[[#This Row],[Tot '#]]-MouserListTable12[[#This Row],['# Initial]]</f>
        <v>0</v>
      </c>
      <c r="F574" s="121">
        <f>IF(AND(MouserListTable12[[#This Row],[Tag]]&lt;&gt;FilterSpecs!$F$12, MouserListTable12[[#This Row],[Tag]]&lt;&gt;FilterSpecs!$F$9), MouserListTable12[[#This Row],['#/Unit]]*FilterSpecs!$B$3+MouserListTable12[[#This Row],[Extra Initial]],0)</f>
        <v>0</v>
      </c>
      <c r="G574" s="103" t="s">
        <v>858</v>
      </c>
      <c r="H574" s="103" t="s">
        <v>859</v>
      </c>
      <c r="I574" s="103" t="s">
        <v>860</v>
      </c>
      <c r="J574" s="103"/>
      <c r="K574" s="157">
        <v>114.95</v>
      </c>
      <c r="L574" s="103" t="s">
        <v>1914</v>
      </c>
      <c r="M574" s="103"/>
      <c r="N574" s="157">
        <f>MouserListTable12[[#This Row],['# Initial]]*MouserListTable12[[#This Row],[Price (USD)]]</f>
        <v>0</v>
      </c>
      <c r="O574" s="106" t="s">
        <v>857</v>
      </c>
      <c r="P574" s="103">
        <f t="shared" si="12"/>
        <v>555</v>
      </c>
      <c r="Q574" s="103" t="s">
        <v>8</v>
      </c>
      <c r="R57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474-TOL-10706</v>
      </c>
      <c r="S574" s="195" t="str">
        <f>HYPERLINK("https://www.mouser.com/ProductDetail/" &amp;MouserListTable12[[#This Row],[Mouser SKU]])</f>
        <v>https://www.mouser.com/ProductDetail/474-TOL-10706</v>
      </c>
      <c r="T574" s="121">
        <v>0</v>
      </c>
      <c r="U574" s="121">
        <v>0</v>
      </c>
      <c r="V574" s="121">
        <v>0</v>
      </c>
      <c r="W574" s="121">
        <f>MouserListTable12[[#This Row],['#/Unit]]*FilterSpecs!$C$3+MouserListTable12[[#This Row],[Extra]]</f>
        <v>0</v>
      </c>
      <c r="X574" s="121">
        <f>IF(MouserListTable12[[#This Row],[Tag]]=FilterSpecs!$F$7,MouserListTable12[[#This Row],['#/Unit]]*MouserListTable12[[#This Row],[Price (USD)]],0)</f>
        <v>0</v>
      </c>
      <c r="Y574" s="121">
        <f>MouserListTable12[[#This Row],[Tot '#]]*MouserListTable12[[#This Row],[Price (USD)]]</f>
        <v>0</v>
      </c>
      <c r="Z574"/>
    </row>
    <row r="575" spans="1:26" s="146" customFormat="1" hidden="1" x14ac:dyDescent="0.3">
      <c r="A575" s="103" t="s">
        <v>17</v>
      </c>
      <c r="B575" s="103" t="s">
        <v>1614</v>
      </c>
      <c r="C575" s="103" t="s">
        <v>1906</v>
      </c>
      <c r="D575" s="106" t="str">
        <f>IF(MouserListTable12[[#This Row],[Vendor]]=FilterSpecs!$A$8,MouserListTable12[[#This Row],[Mouser SKU]], MouserListTable12[[#This Row],[Supplier SKU]])</f>
        <v>485-1869</v>
      </c>
      <c r="E575" s="121">
        <f>MouserListTable12[[#This Row],[Tot '#]]-MouserListTable12[[#This Row],['# Initial]]</f>
        <v>0</v>
      </c>
      <c r="F575" s="121">
        <f>IF(AND(MouserListTable12[[#This Row],[Tag]]&lt;&gt;FilterSpecs!$F$12, MouserListTable12[[#This Row],[Tag]]&lt;&gt;FilterSpecs!$F$9), MouserListTable12[[#This Row],['#/Unit]]*FilterSpecs!$B$3+MouserListTable12[[#This Row],[Extra Initial]],0)</f>
        <v>0</v>
      </c>
      <c r="G575" s="103"/>
      <c r="H575" s="103"/>
      <c r="I575" s="126" t="s">
        <v>2393</v>
      </c>
      <c r="K575" s="158">
        <v>97.5</v>
      </c>
      <c r="L575" s="126" t="s">
        <v>1913</v>
      </c>
      <c r="N575" s="157">
        <f>MouserListTable12[[#This Row],['# Initial]]*MouserListTable12[[#This Row],[Price (USD)]]</f>
        <v>0</v>
      </c>
      <c r="O575" s="106" t="s">
        <v>2392</v>
      </c>
      <c r="P575" s="103">
        <f t="shared" si="12"/>
        <v>556</v>
      </c>
      <c r="Q575" s="103" t="s">
        <v>1898</v>
      </c>
      <c r="R57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485-1869</v>
      </c>
      <c r="S575" s="195" t="str">
        <f>HYPERLINK("https://www.mouser.com/ProductDetail/" &amp;MouserListTable12[[#This Row],[Mouser SKU]])</f>
        <v>https://www.mouser.com/ProductDetail/485-1869</v>
      </c>
      <c r="T575" s="121">
        <v>0</v>
      </c>
      <c r="U575" s="121">
        <v>0</v>
      </c>
      <c r="V575" s="121">
        <v>0</v>
      </c>
      <c r="W575" s="121">
        <f>MouserListTable12[[#This Row],['#/Unit]]*FilterSpecs!$C$3+MouserListTable12[[#This Row],[Extra]]</f>
        <v>0</v>
      </c>
      <c r="X575" s="121">
        <f>IF(MouserListTable12[[#This Row],[Tag]]=FilterSpecs!$F$7,MouserListTable12[[#This Row],['#/Unit]]*MouserListTable12[[#This Row],[Price (USD)]],0)</f>
        <v>0</v>
      </c>
      <c r="Y575" s="121">
        <f>MouserListTable12[[#This Row],[Tot '#]]*MouserListTable12[[#This Row],[Price (USD)]]</f>
        <v>0</v>
      </c>
      <c r="Z575"/>
    </row>
    <row r="576" spans="1:26" s="146" customFormat="1" hidden="1" x14ac:dyDescent="0.3">
      <c r="A576" s="103" t="s">
        <v>17</v>
      </c>
      <c r="B576" s="103" t="s">
        <v>1614</v>
      </c>
      <c r="C576" s="103" t="s">
        <v>1906</v>
      </c>
      <c r="D576" s="106" t="str">
        <f>IF(MouserListTable12[[#This Row],[Vendor]]=FilterSpecs!$A$8,MouserListTable12[[#This Row],[Mouser SKU]], MouserListTable12[[#This Row],[Supplier SKU]])</f>
        <v>474-TOL-07925</v>
      </c>
      <c r="E576" s="121">
        <f>MouserListTable12[[#This Row],[Tot '#]]-MouserListTable12[[#This Row],['# Initial]]</f>
        <v>0</v>
      </c>
      <c r="F576" s="121">
        <f>IF(AND(MouserListTable12[[#This Row],[Tag]]&lt;&gt;FilterSpecs!$F$12, MouserListTable12[[#This Row],[Tag]]&lt;&gt;FilterSpecs!$F$9), MouserListTable12[[#This Row],['#/Unit]]*FilterSpecs!$B$3+MouserListTable12[[#This Row],[Extra Initial]],0)</f>
        <v>0</v>
      </c>
      <c r="G576" s="103" t="s">
        <v>1639</v>
      </c>
      <c r="H576" s="103" t="s">
        <v>1640</v>
      </c>
      <c r="I576" s="103" t="s">
        <v>1641</v>
      </c>
      <c r="J576" s="103"/>
      <c r="K576" s="157">
        <v>14.95</v>
      </c>
      <c r="L576" s="103" t="s">
        <v>1914</v>
      </c>
      <c r="M576" s="106"/>
      <c r="N576" s="157">
        <f>MouserListTable12[[#This Row],['# Initial]]*MouserListTable12[[#This Row],[Price (USD)]]</f>
        <v>0</v>
      </c>
      <c r="O576" s="106" t="s">
        <v>1638</v>
      </c>
      <c r="P576" s="103">
        <f t="shared" si="12"/>
        <v>557</v>
      </c>
      <c r="Q576" s="103" t="s">
        <v>8</v>
      </c>
      <c r="R57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474-TOL-07925</v>
      </c>
      <c r="S576" s="195" t="str">
        <f>HYPERLINK("https://www.mouser.com/ProductDetail/" &amp;MouserListTable12[[#This Row],[Mouser SKU]])</f>
        <v>https://www.mouser.com/ProductDetail/474-TOL-07925</v>
      </c>
      <c r="T576" s="121">
        <v>0</v>
      </c>
      <c r="U576" s="121">
        <v>0</v>
      </c>
      <c r="V576" s="121">
        <v>0</v>
      </c>
      <c r="W576" s="121">
        <f>MouserListTable12[[#This Row],['#/Unit]]*FilterSpecs!$C$3+MouserListTable12[[#This Row],[Extra]]</f>
        <v>0</v>
      </c>
      <c r="X576" s="121">
        <f>IF(MouserListTable12[[#This Row],[Tag]]=FilterSpecs!$F$7,MouserListTable12[[#This Row],['#/Unit]]*MouserListTable12[[#This Row],[Price (USD)]],0)</f>
        <v>0</v>
      </c>
      <c r="Y576" s="121">
        <f>MouserListTable12[[#This Row],[Tot '#]]*MouserListTable12[[#This Row],[Price (USD)]]</f>
        <v>0</v>
      </c>
      <c r="Z576"/>
    </row>
    <row r="577" spans="1:26" s="146" customFormat="1" hidden="1" x14ac:dyDescent="0.3">
      <c r="A577" s="126" t="s">
        <v>17</v>
      </c>
      <c r="B577" s="126" t="s">
        <v>1614</v>
      </c>
      <c r="C577" s="103" t="s">
        <v>1906</v>
      </c>
      <c r="D577" s="106" t="str">
        <f>IF(MouserListTable12[[#This Row],[Vendor]]=FilterSpecs!$A$8,MouserListTable12[[#This Row],[Mouser SKU]], MouserListTable12[[#This Row],[Supplier SKU]])</f>
        <v>474-TOL-10326</v>
      </c>
      <c r="E577" s="121">
        <f>MouserListTable12[[#This Row],[Tot '#]]-MouserListTable12[[#This Row],['# Initial]]</f>
        <v>0</v>
      </c>
      <c r="F577" s="121">
        <f>IF(AND(MouserListTable12[[#This Row],[Tag]]&lt;&gt;FilterSpecs!$F$12, MouserListTable12[[#This Row],[Tag]]&lt;&gt;FilterSpecs!$F$9), MouserListTable12[[#This Row],['#/Unit]]*FilterSpecs!$B$3+MouserListTable12[[#This Row],[Extra Initial]],0)</f>
        <v>0</v>
      </c>
      <c r="G577" s="103" t="s">
        <v>850</v>
      </c>
      <c r="H577" s="103" t="s">
        <v>851</v>
      </c>
      <c r="I577" s="103" t="s">
        <v>852</v>
      </c>
      <c r="J577" s="103">
        <v>1</v>
      </c>
      <c r="K577" s="157">
        <v>13.95</v>
      </c>
      <c r="L577" s="103" t="s">
        <v>1914</v>
      </c>
      <c r="M577" s="146" t="s">
        <v>1308</v>
      </c>
      <c r="N577" s="157">
        <f>MouserListTable12[[#This Row],['# Initial]]*MouserListTable12[[#This Row],[Price (USD)]]</f>
        <v>0</v>
      </c>
      <c r="O577" s="106" t="s">
        <v>849</v>
      </c>
      <c r="P577" s="103">
        <f t="shared" si="12"/>
        <v>558</v>
      </c>
      <c r="Q577" s="103" t="s">
        <v>8</v>
      </c>
      <c r="R57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474-TOL-10326</v>
      </c>
      <c r="S577" s="195" t="str">
        <f>HYPERLINK("https://www.mouser.com/ProductDetail/" &amp;MouserListTable12[[#This Row],[Mouser SKU]])</f>
        <v>https://www.mouser.com/ProductDetail/474-TOL-10326</v>
      </c>
      <c r="T577" s="121">
        <v>0</v>
      </c>
      <c r="U577" s="121">
        <v>0</v>
      </c>
      <c r="V577" s="121">
        <v>0</v>
      </c>
      <c r="W577" s="121">
        <f>MouserListTable12[[#This Row],['#/Unit]]*FilterSpecs!$C$3+MouserListTable12[[#This Row],[Extra]]</f>
        <v>0</v>
      </c>
      <c r="X577" s="121">
        <f>IF(MouserListTable12[[#This Row],[Tag]]=FilterSpecs!$F$7,MouserListTable12[[#This Row],['#/Unit]]*MouserListTable12[[#This Row],[Price (USD)]],0)</f>
        <v>0</v>
      </c>
      <c r="Y577" s="121">
        <f>MouserListTable12[[#This Row],[Tot '#]]*MouserListTable12[[#This Row],[Price (USD)]]</f>
        <v>0</v>
      </c>
      <c r="Z577"/>
    </row>
    <row r="578" spans="1:26" s="146" customFormat="1" hidden="1" x14ac:dyDescent="0.3">
      <c r="A578" s="103" t="s">
        <v>17</v>
      </c>
      <c r="B578" s="103" t="s">
        <v>1614</v>
      </c>
      <c r="C578" s="103" t="s">
        <v>1906</v>
      </c>
      <c r="D578" s="106" t="str">
        <f>IF(MouserListTable12[[#This Row],[Vendor]]=FilterSpecs!$A$8,MouserListTable12[[#This Row],[Mouser SKU]], MouserListTable12[[#This Row],[Supplier SKU]])</f>
        <v>485-3536</v>
      </c>
      <c r="E578" s="121">
        <f>MouserListTable12[[#This Row],[Tot '#]]-MouserListTable12[[#This Row],['# Initial]]</f>
        <v>0</v>
      </c>
      <c r="F578" s="121">
        <f>IF(AND(MouserListTable12[[#This Row],[Tag]]&lt;&gt;FilterSpecs!$F$12, MouserListTable12[[#This Row],[Tag]]&lt;&gt;FilterSpecs!$F$9), MouserListTable12[[#This Row],['#/Unit]]*FilterSpecs!$B$3+MouserListTable12[[#This Row],[Extra Initial]],0)</f>
        <v>0</v>
      </c>
      <c r="G578" s="103"/>
      <c r="H578" s="103"/>
      <c r="I578" s="126" t="s">
        <v>2397</v>
      </c>
      <c r="K578" s="158">
        <v>9.9499999999999993</v>
      </c>
      <c r="L578" s="126" t="s">
        <v>1910</v>
      </c>
      <c r="N578" s="157">
        <f>MouserListTable12[[#This Row],['# Initial]]*MouserListTable12[[#This Row],[Price (USD)]]</f>
        <v>0</v>
      </c>
      <c r="O578" s="106" t="s">
        <v>2396</v>
      </c>
      <c r="P578" s="103">
        <f t="shared" si="12"/>
        <v>559</v>
      </c>
      <c r="Q578" s="103" t="s">
        <v>1898</v>
      </c>
      <c r="R57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485-3536</v>
      </c>
      <c r="S578" s="195" t="str">
        <f>HYPERLINK("https://www.mouser.com/ProductDetail/" &amp;MouserListTable12[[#This Row],[Mouser SKU]])</f>
        <v>https://www.mouser.com/ProductDetail/485-3536</v>
      </c>
      <c r="T578" s="121">
        <v>0</v>
      </c>
      <c r="U578" s="121">
        <v>0</v>
      </c>
      <c r="V578" s="121">
        <v>0</v>
      </c>
      <c r="W578" s="121">
        <f>MouserListTable12[[#This Row],['#/Unit]]*FilterSpecs!$C$3+MouserListTable12[[#This Row],[Extra]]</f>
        <v>0</v>
      </c>
      <c r="X578" s="121">
        <f>IF(MouserListTable12[[#This Row],[Tag]]=FilterSpecs!$F$7,MouserListTable12[[#This Row],['#/Unit]]*MouserListTable12[[#This Row],[Price (USD)]],0)</f>
        <v>0</v>
      </c>
      <c r="Y578" s="121">
        <f>MouserListTable12[[#This Row],[Tot '#]]*MouserListTable12[[#This Row],[Price (USD)]]</f>
        <v>0</v>
      </c>
      <c r="Z578"/>
    </row>
    <row r="579" spans="1:26" s="146" customFormat="1" x14ac:dyDescent="0.3">
      <c r="A579" s="126" t="s">
        <v>17</v>
      </c>
      <c r="B579" s="126" t="s">
        <v>1615</v>
      </c>
      <c r="C579" s="103" t="s">
        <v>1906</v>
      </c>
      <c r="D579" s="106" t="str">
        <f>IF(MouserListTable12[[#This Row],[Vendor]]=FilterSpecs!$A$8,MouserListTable12[[#This Row],[Mouser SKU]], MouserListTable12[[#This Row],[Supplier SKU]])</f>
        <v>474-TOL-10410</v>
      </c>
      <c r="E579" s="121">
        <f>MouserListTable12[[#This Row],[Tot '#]]-MouserListTable12[[#This Row],['# Initial]]</f>
        <v>0</v>
      </c>
      <c r="F579" s="121">
        <f>IF(AND(MouserListTable12[[#This Row],[Tag]]&lt;&gt;FilterSpecs!$F$12, MouserListTable12[[#This Row],[Tag]]&lt;&gt;FilterSpecs!$F$9), MouserListTable12[[#This Row],['#/Unit]]*FilterSpecs!$B$3+MouserListTable12[[#This Row],[Extra Initial]],0)</f>
        <v>1</v>
      </c>
      <c r="G579" s="103" t="s">
        <v>882</v>
      </c>
      <c r="H579" s="103" t="s">
        <v>883</v>
      </c>
      <c r="I579" s="103" t="s">
        <v>884</v>
      </c>
      <c r="J579" s="103"/>
      <c r="K579" s="157">
        <v>33.75</v>
      </c>
      <c r="L579" s="103" t="s">
        <v>1914</v>
      </c>
      <c r="N579" s="157">
        <f>MouserListTable12[[#This Row],['# Initial]]*MouserListTable12[[#This Row],[Price (USD)]]</f>
        <v>33.75</v>
      </c>
      <c r="O579" s="106" t="s">
        <v>881</v>
      </c>
      <c r="P579" s="103">
        <f t="shared" si="12"/>
        <v>560</v>
      </c>
      <c r="Q579" s="103" t="s">
        <v>8</v>
      </c>
      <c r="R57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474-TOL-10410</v>
      </c>
      <c r="S579" s="195" t="str">
        <f>HYPERLINK("https://www.mouser.com/ProductDetail/" &amp;MouserListTable12[[#This Row],[Mouser SKU]])</f>
        <v>https://www.mouser.com/ProductDetail/474-TOL-10410</v>
      </c>
      <c r="T579" s="121">
        <v>0</v>
      </c>
      <c r="U579" s="121">
        <v>1</v>
      </c>
      <c r="V579" s="121">
        <v>1</v>
      </c>
      <c r="W579" s="121">
        <f>MouserListTable12[[#This Row],['#/Unit]]*FilterSpecs!$C$3+MouserListTable12[[#This Row],[Extra]]</f>
        <v>1</v>
      </c>
      <c r="X579" s="121">
        <f>IF(MouserListTable12[[#This Row],[Tag]]=FilterSpecs!$F$7,MouserListTable12[[#This Row],['#/Unit]]*MouserListTable12[[#This Row],[Price (USD)]],0)</f>
        <v>0</v>
      </c>
      <c r="Y579" s="121">
        <f>MouserListTable12[[#This Row],[Tot '#]]*MouserListTable12[[#This Row],[Price (USD)]]</f>
        <v>33.75</v>
      </c>
      <c r="Z579"/>
    </row>
    <row r="580" spans="1:26" s="146" customFormat="1" hidden="1" x14ac:dyDescent="0.3">
      <c r="A580" s="126" t="s">
        <v>17</v>
      </c>
      <c r="B580" s="126" t="s">
        <v>1615</v>
      </c>
      <c r="C580" s="103" t="s">
        <v>1906</v>
      </c>
      <c r="D580" s="106" t="str">
        <f>IF(MouserListTable12[[#This Row],[Vendor]]=FilterSpecs!$A$8,MouserListTable12[[#This Row],[Mouser SKU]], MouserListTable12[[#This Row],[Supplier SKU]])</f>
        <v>474-TOL-11784</v>
      </c>
      <c r="E580" s="121">
        <f>MouserListTable12[[#This Row],[Tot '#]]-MouserListTable12[[#This Row],['# Initial]]</f>
        <v>0</v>
      </c>
      <c r="F580" s="121">
        <f>IF(AND(MouserListTable12[[#This Row],[Tag]]&lt;&gt;FilterSpecs!$F$12, MouserListTable12[[#This Row],[Tag]]&lt;&gt;FilterSpecs!$F$9), MouserListTable12[[#This Row],['#/Unit]]*FilterSpecs!$B$3+MouserListTable12[[#This Row],[Extra Initial]],0)</f>
        <v>0</v>
      </c>
      <c r="G580" s="103" t="s">
        <v>1145</v>
      </c>
      <c r="H580" s="103" t="s">
        <v>1146</v>
      </c>
      <c r="I580" s="103" t="s">
        <v>1147</v>
      </c>
      <c r="J580" s="103">
        <v>1</v>
      </c>
      <c r="K580" s="157">
        <v>29.95</v>
      </c>
      <c r="L580" s="103" t="s">
        <v>1914</v>
      </c>
      <c r="N580" s="157">
        <f>MouserListTable12[[#This Row],['# Initial]]*MouserListTable12[[#This Row],[Price (USD)]]</f>
        <v>0</v>
      </c>
      <c r="O580" s="106" t="s">
        <v>1144</v>
      </c>
      <c r="P580" s="103">
        <f t="shared" si="12"/>
        <v>561</v>
      </c>
      <c r="Q580" s="103" t="s">
        <v>8</v>
      </c>
      <c r="R58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474-TOL-11784</v>
      </c>
      <c r="S580" s="195" t="str">
        <f>HYPERLINK("https://www.mouser.com/ProductDetail/" &amp;MouserListTable12[[#This Row],[Mouser SKU]])</f>
        <v>https://www.mouser.com/ProductDetail/474-TOL-11784</v>
      </c>
      <c r="T580" s="121">
        <v>0</v>
      </c>
      <c r="U580" s="121">
        <v>0</v>
      </c>
      <c r="V580" s="121">
        <v>0</v>
      </c>
      <c r="W580" s="121">
        <f>MouserListTable12[[#This Row],['#/Unit]]*FilterSpecs!$C$3+MouserListTable12[[#This Row],[Extra]]</f>
        <v>0</v>
      </c>
      <c r="X580" s="121">
        <f>IF(MouserListTable12[[#This Row],[Tag]]=FilterSpecs!$F$7,MouserListTable12[[#This Row],['#/Unit]]*MouserListTable12[[#This Row],[Price (USD)]],0)</f>
        <v>0</v>
      </c>
      <c r="Y580" s="121">
        <f>MouserListTable12[[#This Row],[Tot '#]]*MouserListTable12[[#This Row],[Price (USD)]]</f>
        <v>0</v>
      </c>
      <c r="Z580"/>
    </row>
    <row r="581" spans="1:26" s="146" customFormat="1" hidden="1" x14ac:dyDescent="0.3">
      <c r="A581" s="126" t="s">
        <v>17</v>
      </c>
      <c r="B581" s="126" t="s">
        <v>1615</v>
      </c>
      <c r="C581" s="103" t="s">
        <v>1906</v>
      </c>
      <c r="D581" s="106" t="str">
        <f>IF(MouserListTable12[[#This Row],[Vendor]]=FilterSpecs!$A$8,MouserListTable12[[#This Row],[Mouser SKU]], MouserListTable12[[#This Row],[Supplier SKU]])</f>
        <v>474-TOL-09317</v>
      </c>
      <c r="E581" s="121">
        <f>MouserListTable12[[#This Row],[Tot '#]]-MouserListTable12[[#This Row],['# Initial]]</f>
        <v>0</v>
      </c>
      <c r="F581" s="121">
        <f>IF(AND(MouserListTable12[[#This Row],[Tag]]&lt;&gt;FilterSpecs!$F$12, MouserListTable12[[#This Row],[Tag]]&lt;&gt;FilterSpecs!$F$9), MouserListTable12[[#This Row],['#/Unit]]*FilterSpecs!$B$3+MouserListTable12[[#This Row],[Extra Initial]],0)</f>
        <v>0</v>
      </c>
      <c r="G581" s="103" t="s">
        <v>854</v>
      </c>
      <c r="H581" s="103" t="s">
        <v>855</v>
      </c>
      <c r="I581" s="103" t="s">
        <v>856</v>
      </c>
      <c r="J581" s="103">
        <v>1</v>
      </c>
      <c r="K581" s="157">
        <v>9.9499999999999993</v>
      </c>
      <c r="L581" s="103" t="s">
        <v>1914</v>
      </c>
      <c r="N581" s="157">
        <f>MouserListTable12[[#This Row],['# Initial]]*MouserListTable12[[#This Row],[Price (USD)]]</f>
        <v>0</v>
      </c>
      <c r="O581" s="106" t="s">
        <v>853</v>
      </c>
      <c r="P581" s="103">
        <f t="shared" si="12"/>
        <v>562</v>
      </c>
      <c r="Q581" s="103" t="s">
        <v>8</v>
      </c>
      <c r="R58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474-TOL-09317</v>
      </c>
      <c r="S581" s="195" t="str">
        <f>HYPERLINK("https://www.mouser.com/ProductDetail/" &amp;MouserListTable12[[#This Row],[Mouser SKU]])</f>
        <v>https://www.mouser.com/ProductDetail/474-TOL-09317</v>
      </c>
      <c r="T581" s="121">
        <v>0</v>
      </c>
      <c r="U581" s="121">
        <v>0</v>
      </c>
      <c r="V581" s="121">
        <v>0</v>
      </c>
      <c r="W581" s="121">
        <f>MouserListTable12[[#This Row],['#/Unit]]*FilterSpecs!$C$3+MouserListTable12[[#This Row],[Extra]]</f>
        <v>0</v>
      </c>
      <c r="X581" s="121">
        <f>IF(MouserListTable12[[#This Row],[Tag]]=FilterSpecs!$F$7,MouserListTable12[[#This Row],['#/Unit]]*MouserListTable12[[#This Row],[Price (USD)]],0)</f>
        <v>0</v>
      </c>
      <c r="Y581" s="121">
        <f>MouserListTable12[[#This Row],[Tot '#]]*MouserListTable12[[#This Row],[Price (USD)]]</f>
        <v>0</v>
      </c>
      <c r="Z581"/>
    </row>
    <row r="582" spans="1:26" s="146" customFormat="1" x14ac:dyDescent="0.3">
      <c r="A582" s="103" t="s">
        <v>17</v>
      </c>
      <c r="B582" s="103" t="s">
        <v>1615</v>
      </c>
      <c r="C582" s="103" t="s">
        <v>1906</v>
      </c>
      <c r="D582" s="106" t="str">
        <f>IF(MouserListTable12[[#This Row],[Vendor]]=FilterSpecs!$A$8,MouserListTable12[[#This Row],[Mouser SKU]], MouserListTable12[[#This Row],[Supplier SKU]])</f>
        <v>485-3019</v>
      </c>
      <c r="E582" s="121">
        <f>MouserListTable12[[#This Row],[Tot '#]]-MouserListTable12[[#This Row],['# Initial]]</f>
        <v>0</v>
      </c>
      <c r="F582" s="121">
        <f>IF(AND(MouserListTable12[[#This Row],[Tag]]&lt;&gt;FilterSpecs!$F$12, MouserListTable12[[#This Row],[Tag]]&lt;&gt;FilterSpecs!$F$9), MouserListTable12[[#This Row],['#/Unit]]*FilterSpecs!$B$3+MouserListTable12[[#This Row],[Extra Initial]],0)</f>
        <v>1</v>
      </c>
      <c r="G582" s="103"/>
      <c r="H582" s="103"/>
      <c r="I582" s="103" t="s">
        <v>2395</v>
      </c>
      <c r="K582" s="157">
        <v>68.69</v>
      </c>
      <c r="L582" s="103" t="s">
        <v>1914</v>
      </c>
      <c r="M582" s="106"/>
      <c r="N582" s="157">
        <f>MouserListTable12[[#This Row],['# Initial]]*MouserListTable12[[#This Row],[Price (USD)]]</f>
        <v>68.69</v>
      </c>
      <c r="O582" s="106" t="s">
        <v>2394</v>
      </c>
      <c r="P582" s="103">
        <f t="shared" si="12"/>
        <v>563</v>
      </c>
      <c r="Q582" s="103" t="s">
        <v>1898</v>
      </c>
      <c r="R58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485-3019</v>
      </c>
      <c r="S582" s="195" t="str">
        <f>HYPERLINK("https://www.mouser.com/ProductDetail/" &amp;MouserListTable12[[#This Row],[Mouser SKU]])</f>
        <v>https://www.mouser.com/ProductDetail/485-3019</v>
      </c>
      <c r="T582" s="121">
        <v>0</v>
      </c>
      <c r="U582" s="121">
        <v>1</v>
      </c>
      <c r="V582" s="121">
        <v>1</v>
      </c>
      <c r="W582" s="121">
        <f>MouserListTable12[[#This Row],['#/Unit]]*FilterSpecs!$C$3+MouserListTable12[[#This Row],[Extra]]</f>
        <v>1</v>
      </c>
      <c r="X582" s="121">
        <f>IF(MouserListTable12[[#This Row],[Tag]]=FilterSpecs!$F$7,MouserListTable12[[#This Row],['#/Unit]]*MouserListTable12[[#This Row],[Price (USD)]],0)</f>
        <v>0</v>
      </c>
      <c r="Y582" s="121">
        <f>MouserListTable12[[#This Row],[Tot '#]]*MouserListTable12[[#This Row],[Price (USD)]]</f>
        <v>68.69</v>
      </c>
      <c r="Z582"/>
    </row>
    <row r="583" spans="1:26" s="146" customFormat="1" x14ac:dyDescent="0.3">
      <c r="A583" s="103" t="s">
        <v>17</v>
      </c>
      <c r="B583" s="103" t="s">
        <v>1615</v>
      </c>
      <c r="C583" s="103" t="s">
        <v>1906</v>
      </c>
      <c r="D583" s="106" t="str">
        <f>IF(MouserListTable12[[#This Row],[Vendor]]=FilterSpecs!$A$8,MouserListTable12[[#This Row],[Mouser SKU]], MouserListTable12[[#This Row],[Supplier SKU]])</f>
        <v>474-TOL-09316</v>
      </c>
      <c r="E583" s="121">
        <f>MouserListTable12[[#This Row],[Tot '#]]-MouserListTable12[[#This Row],['# Initial]]</f>
        <v>0</v>
      </c>
      <c r="F583" s="121">
        <f>IF(AND(MouserListTable12[[#This Row],[Tag]]&lt;&gt;FilterSpecs!$F$12, MouserListTable12[[#This Row],[Tag]]&lt;&gt;FilterSpecs!$F$9), MouserListTable12[[#This Row],['#/Unit]]*FilterSpecs!$B$3+MouserListTable12[[#This Row],[Extra Initial]],0)</f>
        <v>1</v>
      </c>
      <c r="G583" s="103" t="s">
        <v>874</v>
      </c>
      <c r="H583" s="103" t="s">
        <v>875</v>
      </c>
      <c r="I583" s="103" t="s">
        <v>876</v>
      </c>
      <c r="J583" s="103">
        <v>1</v>
      </c>
      <c r="K583" s="157">
        <v>9.9499999999999993</v>
      </c>
      <c r="L583" s="103" t="s">
        <v>1914</v>
      </c>
      <c r="M583" s="106"/>
      <c r="N583" s="157">
        <f>MouserListTable12[[#This Row],['# Initial]]*MouserListTable12[[#This Row],[Price (USD)]]</f>
        <v>9.9499999999999993</v>
      </c>
      <c r="O583" s="106" t="s">
        <v>873</v>
      </c>
      <c r="P583" s="103">
        <f t="shared" si="12"/>
        <v>564</v>
      </c>
      <c r="Q583" s="103" t="s">
        <v>8</v>
      </c>
      <c r="R58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474-TOL-09316</v>
      </c>
      <c r="S583" s="195" t="str">
        <f>HYPERLINK("https://www.mouser.com/ProductDetail/" &amp;MouserListTable12[[#This Row],[Mouser SKU]])</f>
        <v>https://www.mouser.com/ProductDetail/474-TOL-09316</v>
      </c>
      <c r="T583" s="121">
        <v>0</v>
      </c>
      <c r="U583" s="121">
        <v>1</v>
      </c>
      <c r="V583" s="121">
        <v>1</v>
      </c>
      <c r="W583" s="121">
        <f>MouserListTable12[[#This Row],['#/Unit]]*FilterSpecs!$C$3+MouserListTable12[[#This Row],[Extra]]</f>
        <v>1</v>
      </c>
      <c r="X583" s="121">
        <f>IF(MouserListTable12[[#This Row],[Tag]]=FilterSpecs!$F$7,MouserListTable12[[#This Row],['#/Unit]]*MouserListTable12[[#This Row],[Price (USD)]],0)</f>
        <v>0</v>
      </c>
      <c r="Y583" s="121">
        <f>MouserListTable12[[#This Row],[Tot '#]]*MouserListTable12[[#This Row],[Price (USD)]]</f>
        <v>9.9499999999999993</v>
      </c>
      <c r="Z583"/>
    </row>
    <row r="584" spans="1:26" s="146" customFormat="1" hidden="1" x14ac:dyDescent="0.3">
      <c r="A584" s="103" t="s">
        <v>17</v>
      </c>
      <c r="B584" s="103" t="s">
        <v>1615</v>
      </c>
      <c r="C584" s="103" t="s">
        <v>1906</v>
      </c>
      <c r="D584" s="106" t="str">
        <f>IF(MouserListTable12[[#This Row],[Vendor]]=FilterSpecs!$A$8,MouserListTable12[[#This Row],[Mouser SKU]], MouserListTable12[[#This Row],[Supplier SKU]])</f>
        <v>474-COM-09906</v>
      </c>
      <c r="E584" s="121">
        <f>MouserListTable12[[#This Row],[Tot '#]]-MouserListTable12[[#This Row],['# Initial]]</f>
        <v>1</v>
      </c>
      <c r="F584" s="121">
        <f>IF(AND(MouserListTable12[[#This Row],[Tag]]&lt;&gt;FilterSpecs!$F$12, MouserListTable12[[#This Row],[Tag]]&lt;&gt;FilterSpecs!$F$9), MouserListTable12[[#This Row],['#/Unit]]*FilterSpecs!$B$3+MouserListTable12[[#This Row],[Extra Initial]],0)</f>
        <v>0</v>
      </c>
      <c r="G584" s="103" t="s">
        <v>129</v>
      </c>
      <c r="H584" s="103" t="s">
        <v>130</v>
      </c>
      <c r="I584" s="103" t="s">
        <v>131</v>
      </c>
      <c r="J584" s="103"/>
      <c r="K584" s="157">
        <v>14.95</v>
      </c>
      <c r="L584" s="103" t="s">
        <v>1913</v>
      </c>
      <c r="M584" s="106"/>
      <c r="N584" s="157">
        <f>MouserListTable12[[#This Row],['# Initial]]*MouserListTable12[[#This Row],[Price (USD)]]</f>
        <v>0</v>
      </c>
      <c r="O584" s="106" t="s">
        <v>128</v>
      </c>
      <c r="P584" s="103">
        <f t="shared" si="12"/>
        <v>565</v>
      </c>
      <c r="Q584" s="103" t="s">
        <v>8</v>
      </c>
      <c r="R58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474-COM-09906</v>
      </c>
      <c r="S584" s="195" t="str">
        <f>HYPERLINK("https://www.mouser.com/ProductDetail/" &amp;MouserListTable12[[#This Row],[Mouser SKU]])</f>
        <v>https://www.mouser.com/ProductDetail/474-COM-09906</v>
      </c>
      <c r="T584" s="121">
        <v>0</v>
      </c>
      <c r="U584" s="121">
        <v>1</v>
      </c>
      <c r="V584" s="121">
        <v>0</v>
      </c>
      <c r="W584" s="121">
        <f>MouserListTable12[[#This Row],['#/Unit]]*FilterSpecs!$C$3+MouserListTable12[[#This Row],[Extra]]</f>
        <v>1</v>
      </c>
      <c r="X584" s="121">
        <f>IF(MouserListTable12[[#This Row],[Tag]]=FilterSpecs!$F$7,MouserListTable12[[#This Row],['#/Unit]]*MouserListTable12[[#This Row],[Price (USD)]],0)</f>
        <v>0</v>
      </c>
      <c r="Y584" s="121">
        <f>MouserListTable12[[#This Row],[Tot '#]]*MouserListTable12[[#This Row],[Price (USD)]]</f>
        <v>14.95</v>
      </c>
      <c r="Z584"/>
    </row>
    <row r="585" spans="1:26" s="146" customFormat="1" hidden="1" x14ac:dyDescent="0.3">
      <c r="A585" s="103" t="s">
        <v>17</v>
      </c>
      <c r="B585" s="103" t="s">
        <v>1615</v>
      </c>
      <c r="C585" s="103" t="s">
        <v>1906</v>
      </c>
      <c r="D585" s="106" t="str">
        <f>IF(MouserListTable12[[#This Row],[Vendor]]=FilterSpecs!$A$8,MouserListTable12[[#This Row],[Mouser SKU]], MouserListTable12[[#This Row],[Supplier SKU]])</f>
        <v>474-COM-08674</v>
      </c>
      <c r="E585" s="121">
        <f>MouserListTable12[[#This Row],[Tot '#]]-MouserListTable12[[#This Row],['# Initial]]</f>
        <v>1</v>
      </c>
      <c r="F585" s="121">
        <f>IF(AND(MouserListTable12[[#This Row],[Tag]]&lt;&gt;FilterSpecs!$F$12, MouserListTable12[[#This Row],[Tag]]&lt;&gt;FilterSpecs!$F$9), MouserListTable12[[#This Row],['#/Unit]]*FilterSpecs!$B$3+MouserListTable12[[#This Row],[Extra Initial]],0)</f>
        <v>0</v>
      </c>
      <c r="G585" s="103" t="s">
        <v>133</v>
      </c>
      <c r="H585" s="103" t="s">
        <v>134</v>
      </c>
      <c r="I585" s="103" t="s">
        <v>135</v>
      </c>
      <c r="J585" s="103">
        <v>1</v>
      </c>
      <c r="K585" s="157">
        <v>0.1</v>
      </c>
      <c r="L585" s="103" t="s">
        <v>1910</v>
      </c>
      <c r="M585" s="106"/>
      <c r="N585" s="157">
        <f>MouserListTable12[[#This Row],['# Initial]]*MouserListTable12[[#This Row],[Price (USD)]]</f>
        <v>0</v>
      </c>
      <c r="O585" s="106" t="s">
        <v>132</v>
      </c>
      <c r="P585" s="103">
        <f t="shared" si="12"/>
        <v>566</v>
      </c>
      <c r="Q585" s="103" t="s">
        <v>8</v>
      </c>
      <c r="R58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474-COM-08674</v>
      </c>
      <c r="S585" s="195" t="str">
        <f>HYPERLINK("https://www.mouser.com/ProductDetail/" &amp;MouserListTable12[[#This Row],[Mouser SKU]])</f>
        <v>https://www.mouser.com/ProductDetail/474-COM-08674</v>
      </c>
      <c r="T585" s="121">
        <v>0</v>
      </c>
      <c r="U585" s="121">
        <v>1</v>
      </c>
      <c r="V585" s="121">
        <v>0</v>
      </c>
      <c r="W585" s="121">
        <f>MouserListTable12[[#This Row],['#/Unit]]*FilterSpecs!$C$3+MouserListTable12[[#This Row],[Extra]]</f>
        <v>1</v>
      </c>
      <c r="X585" s="121">
        <f>IF(MouserListTable12[[#This Row],[Tag]]=FilterSpecs!$F$7,MouserListTable12[[#This Row],['#/Unit]]*MouserListTable12[[#This Row],[Price (USD)]],0)</f>
        <v>0</v>
      </c>
      <c r="Y585" s="121">
        <f>MouserListTable12[[#This Row],[Tot '#]]*MouserListTable12[[#This Row],[Price (USD)]]</f>
        <v>0.1</v>
      </c>
      <c r="Z585"/>
    </row>
    <row r="586" spans="1:26" s="146" customFormat="1" hidden="1" x14ac:dyDescent="0.3">
      <c r="A586" s="103" t="s">
        <v>17</v>
      </c>
      <c r="B586" s="103" t="s">
        <v>1613</v>
      </c>
      <c r="C586" s="103" t="s">
        <v>1906</v>
      </c>
      <c r="D586" s="106" t="str">
        <f>IF(MouserListTable12[[#This Row],[Vendor]]=FilterSpecs!$A$8,MouserListTable12[[#This Row],[Mouser SKU]], MouserListTable12[[#This Row],[Supplier SKU]])</f>
        <v>474-TOL-12078</v>
      </c>
      <c r="E586" s="121">
        <f>MouserListTable12[[#This Row],[Tot '#]]-MouserListTable12[[#This Row],['# Initial]]</f>
        <v>1</v>
      </c>
      <c r="F586" s="121">
        <f>IF(AND(MouserListTable12[[#This Row],[Tag]]&lt;&gt;FilterSpecs!$F$12, MouserListTable12[[#This Row],[Tag]]&lt;&gt;FilterSpecs!$F$9), MouserListTable12[[#This Row],['#/Unit]]*FilterSpecs!$B$3+MouserListTable12[[#This Row],[Extra Initial]],0)</f>
        <v>0</v>
      </c>
      <c r="G586" s="103" t="s">
        <v>1627</v>
      </c>
      <c r="H586" s="103" t="s">
        <v>1628</v>
      </c>
      <c r="I586" s="103" t="s">
        <v>1629</v>
      </c>
      <c r="J586" s="103"/>
      <c r="K586" s="157">
        <v>4.95</v>
      </c>
      <c r="L586" s="103" t="s">
        <v>1914</v>
      </c>
      <c r="M586" s="106"/>
      <c r="N586" s="157">
        <f>MouserListTable12[[#This Row],['# Initial]]*MouserListTable12[[#This Row],[Price (USD)]]</f>
        <v>0</v>
      </c>
      <c r="O586" s="106" t="s">
        <v>1626</v>
      </c>
      <c r="P586" s="103">
        <f t="shared" si="12"/>
        <v>567</v>
      </c>
      <c r="Q586" s="103" t="s">
        <v>8</v>
      </c>
      <c r="R58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474-TOL-12078</v>
      </c>
      <c r="S586" s="195" t="str">
        <f>HYPERLINK("https://www.mouser.com/ProductDetail/" &amp;MouserListTable12[[#This Row],[Mouser SKU]])</f>
        <v>https://www.mouser.com/ProductDetail/474-TOL-12078</v>
      </c>
      <c r="T586" s="121">
        <v>0</v>
      </c>
      <c r="U586" s="121">
        <v>1</v>
      </c>
      <c r="V586" s="121">
        <v>0</v>
      </c>
      <c r="W586" s="121">
        <f>MouserListTable12[[#This Row],['#/Unit]]*FilterSpecs!$C$3+MouserListTable12[[#This Row],[Extra]]</f>
        <v>1</v>
      </c>
      <c r="X586" s="121">
        <f>IF(MouserListTable12[[#This Row],[Tag]]=FilterSpecs!$F$7,MouserListTable12[[#This Row],['#/Unit]]*MouserListTable12[[#This Row],[Price (USD)]],0)</f>
        <v>0</v>
      </c>
      <c r="Y586" s="121">
        <f>MouserListTable12[[#This Row],[Tot '#]]*MouserListTable12[[#This Row],[Price (USD)]]</f>
        <v>4.95</v>
      </c>
      <c r="Z586"/>
    </row>
    <row r="587" spans="1:26" s="146" customFormat="1" x14ac:dyDescent="0.3">
      <c r="A587" s="103" t="s">
        <v>17</v>
      </c>
      <c r="B587" s="103" t="s">
        <v>1613</v>
      </c>
      <c r="C587" s="103" t="s">
        <v>1906</v>
      </c>
      <c r="D587" s="106" t="str">
        <f>IF(MouserListTable12[[#This Row],[Vendor]]=FilterSpecs!$A$8,MouserListTable12[[#This Row],[Mouser SKU]], MouserListTable12[[#This Row],[Supplier SKU]])</f>
        <v>474-TOL-11060</v>
      </c>
      <c r="E587" s="121">
        <f>MouserListTable12[[#This Row],[Tot '#]]-MouserListTable12[[#This Row],['# Initial]]</f>
        <v>0</v>
      </c>
      <c r="F587" s="121">
        <f>IF(AND(MouserListTable12[[#This Row],[Tag]]&lt;&gt;FilterSpecs!$F$12, MouserListTable12[[#This Row],[Tag]]&lt;&gt;FilterSpecs!$F$9), MouserListTable12[[#This Row],['#/Unit]]*FilterSpecs!$B$3+MouserListTable12[[#This Row],[Extra Initial]],0)</f>
        <v>1</v>
      </c>
      <c r="G587" s="103" t="s">
        <v>838</v>
      </c>
      <c r="H587" s="103" t="s">
        <v>839</v>
      </c>
      <c r="I587" s="103" t="s">
        <v>840</v>
      </c>
      <c r="J587" s="103"/>
      <c r="K587" s="157">
        <v>4.95</v>
      </c>
      <c r="L587" s="103" t="s">
        <v>1914</v>
      </c>
      <c r="M587" s="106"/>
      <c r="N587" s="157">
        <f>MouserListTable12[[#This Row],['# Initial]]*MouserListTable12[[#This Row],[Price (USD)]]</f>
        <v>4.95</v>
      </c>
      <c r="O587" s="106" t="s">
        <v>837</v>
      </c>
      <c r="P587" s="103">
        <f t="shared" si="12"/>
        <v>568</v>
      </c>
      <c r="Q587" s="103" t="s">
        <v>8</v>
      </c>
      <c r="R58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474-TOL-11060</v>
      </c>
      <c r="S587" s="195" t="str">
        <f>HYPERLINK("https://www.mouser.com/ProductDetail/" &amp;MouserListTable12[[#This Row],[Mouser SKU]])</f>
        <v>https://www.mouser.com/ProductDetail/474-TOL-11060</v>
      </c>
      <c r="T587" s="121">
        <v>0</v>
      </c>
      <c r="U587" s="121">
        <v>1</v>
      </c>
      <c r="V587" s="121">
        <v>1</v>
      </c>
      <c r="W587" s="121">
        <f>MouserListTable12[[#This Row],['#/Unit]]*FilterSpecs!$C$3+MouserListTable12[[#This Row],[Extra]]</f>
        <v>1</v>
      </c>
      <c r="X587" s="121">
        <f>IF(MouserListTable12[[#This Row],[Tag]]=FilterSpecs!$F$7,MouserListTable12[[#This Row],['#/Unit]]*MouserListTable12[[#This Row],[Price (USD)]],0)</f>
        <v>0</v>
      </c>
      <c r="Y587" s="121">
        <f>MouserListTable12[[#This Row],[Tot '#]]*MouserListTable12[[#This Row],[Price (USD)]]</f>
        <v>4.95</v>
      </c>
      <c r="Z587"/>
    </row>
    <row r="588" spans="1:26" s="146" customFormat="1" hidden="1" x14ac:dyDescent="0.3">
      <c r="A588" s="103" t="s">
        <v>17</v>
      </c>
      <c r="B588" s="103" t="s">
        <v>1613</v>
      </c>
      <c r="C588" s="103" t="s">
        <v>1906</v>
      </c>
      <c r="D588" s="106" t="str">
        <f>IF(MouserListTable12[[#This Row],[Vendor]]=FilterSpecs!$A$8,MouserListTable12[[#This Row],[Mouser SKU]], MouserListTable12[[#This Row],[Supplier SKU]])</f>
        <v>474-TOL-12573</v>
      </c>
      <c r="E588" s="121">
        <f>MouserListTable12[[#This Row],[Tot '#]]-MouserListTable12[[#This Row],['# Initial]]</f>
        <v>0</v>
      </c>
      <c r="F588" s="121">
        <f>IF(AND(MouserListTable12[[#This Row],[Tag]]&lt;&gt;FilterSpecs!$F$12, MouserListTable12[[#This Row],[Tag]]&lt;&gt;FilterSpecs!$F$9), MouserListTable12[[#This Row],['#/Unit]]*FilterSpecs!$B$3+MouserListTable12[[#This Row],[Extra Initial]],0)</f>
        <v>0</v>
      </c>
      <c r="G588" s="103" t="s">
        <v>870</v>
      </c>
      <c r="H588" s="103" t="s">
        <v>871</v>
      </c>
      <c r="I588" s="103" t="s">
        <v>872</v>
      </c>
      <c r="J588" s="103">
        <v>1</v>
      </c>
      <c r="K588" s="157">
        <v>3.95</v>
      </c>
      <c r="L588" s="103" t="s">
        <v>1914</v>
      </c>
      <c r="M588" s="106"/>
      <c r="N588" s="157">
        <f>MouserListTable12[[#This Row],['# Initial]]*MouserListTable12[[#This Row],[Price (USD)]]</f>
        <v>0</v>
      </c>
      <c r="O588" s="106" t="s">
        <v>869</v>
      </c>
      <c r="P588" s="103">
        <f t="shared" si="12"/>
        <v>569</v>
      </c>
      <c r="Q588" s="103" t="s">
        <v>8</v>
      </c>
      <c r="R58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474-TOL-12573</v>
      </c>
      <c r="S588" s="195" t="str">
        <f>HYPERLINK("https://www.mouser.com/ProductDetail/" &amp;MouserListTable12[[#This Row],[Mouser SKU]])</f>
        <v>https://www.mouser.com/ProductDetail/474-TOL-12573</v>
      </c>
      <c r="T588" s="121">
        <v>0</v>
      </c>
      <c r="U588" s="121">
        <v>0</v>
      </c>
      <c r="V588" s="121">
        <v>0</v>
      </c>
      <c r="W588" s="121">
        <f>MouserListTable12[[#This Row],['#/Unit]]*FilterSpecs!$C$3+MouserListTable12[[#This Row],[Extra]]</f>
        <v>0</v>
      </c>
      <c r="X588" s="121">
        <f>IF(MouserListTable12[[#This Row],[Tag]]=FilterSpecs!$F$7,MouserListTable12[[#This Row],['#/Unit]]*MouserListTable12[[#This Row],[Price (USD)]],0)</f>
        <v>0</v>
      </c>
      <c r="Y588" s="121">
        <f>MouserListTable12[[#This Row],[Tot '#]]*MouserListTable12[[#This Row],[Price (USD)]]</f>
        <v>0</v>
      </c>
      <c r="Z588"/>
    </row>
    <row r="589" spans="1:26" s="146" customFormat="1" hidden="1" x14ac:dyDescent="0.3">
      <c r="A589" s="103" t="s">
        <v>17</v>
      </c>
      <c r="B589" s="103" t="s">
        <v>1613</v>
      </c>
      <c r="C589" s="103" t="s">
        <v>1906</v>
      </c>
      <c r="D589" s="106" t="str">
        <f>IF(MouserListTable12[[#This Row],[Vendor]]=FilterSpecs!$A$8,MouserListTable12[[#This Row],[Mouser SKU]], MouserListTable12[[#This Row],[Supplier SKU]])</f>
        <v>474-TOL-10602</v>
      </c>
      <c r="E589" s="121">
        <f>MouserListTable12[[#This Row],[Tot '#]]-MouserListTable12[[#This Row],['# Initial]]</f>
        <v>0</v>
      </c>
      <c r="F589" s="121">
        <f>IF(AND(MouserListTable12[[#This Row],[Tag]]&lt;&gt;FilterSpecs!$F$12, MouserListTable12[[#This Row],[Tag]]&lt;&gt;FilterSpecs!$F$9), MouserListTable12[[#This Row],['#/Unit]]*FilterSpecs!$B$3+MouserListTable12[[#This Row],[Extra Initial]],0)</f>
        <v>0</v>
      </c>
      <c r="G589" s="103" t="s">
        <v>862</v>
      </c>
      <c r="H589" s="103" t="s">
        <v>863</v>
      </c>
      <c r="I589" s="103" t="s">
        <v>864</v>
      </c>
      <c r="J589" s="103">
        <v>1</v>
      </c>
      <c r="K589" s="157">
        <v>3.95</v>
      </c>
      <c r="L589" s="103" t="s">
        <v>1914</v>
      </c>
      <c r="M589" s="106"/>
      <c r="N589" s="157">
        <f>MouserListTable12[[#This Row],['# Initial]]*MouserListTable12[[#This Row],[Price (USD)]]</f>
        <v>0</v>
      </c>
      <c r="O589" s="106" t="s">
        <v>861</v>
      </c>
      <c r="P589" s="103">
        <f t="shared" si="12"/>
        <v>570</v>
      </c>
      <c r="Q589" s="103" t="s">
        <v>8</v>
      </c>
      <c r="R58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474-TOL-10602</v>
      </c>
      <c r="S589" s="195" t="str">
        <f>HYPERLINK("https://www.mouser.com/ProductDetail/" &amp;MouserListTable12[[#This Row],[Mouser SKU]])</f>
        <v>https://www.mouser.com/ProductDetail/474-TOL-10602</v>
      </c>
      <c r="T589" s="121">
        <v>0</v>
      </c>
      <c r="U589" s="121">
        <v>0</v>
      </c>
      <c r="V589" s="121">
        <v>0</v>
      </c>
      <c r="W589" s="121">
        <f>MouserListTable12[[#This Row],['#/Unit]]*FilterSpecs!$C$3+MouserListTable12[[#This Row],[Extra]]</f>
        <v>0</v>
      </c>
      <c r="X589" s="121">
        <f>IF(MouserListTable12[[#This Row],[Tag]]=FilterSpecs!$F$7,MouserListTable12[[#This Row],['#/Unit]]*MouserListTable12[[#This Row],[Price (USD)]],0)</f>
        <v>0</v>
      </c>
      <c r="Y589" s="121">
        <f>MouserListTable12[[#This Row],[Tot '#]]*MouserListTable12[[#This Row],[Price (USD)]]</f>
        <v>0</v>
      </c>
      <c r="Z589"/>
    </row>
    <row r="590" spans="1:26" s="146" customFormat="1" hidden="1" x14ac:dyDescent="0.3">
      <c r="A590" s="103" t="s">
        <v>17</v>
      </c>
      <c r="B590" s="103" t="s">
        <v>1613</v>
      </c>
      <c r="C590" s="103" t="s">
        <v>1906</v>
      </c>
      <c r="D590" s="106" t="str">
        <f>IF(MouserListTable12[[#This Row],[Vendor]]=FilterSpecs!$A$8,MouserListTable12[[#This Row],[Mouser SKU]], MouserListTable12[[#This Row],[Supplier SKU]])</f>
        <v>474-TOL-12572</v>
      </c>
      <c r="E590" s="121">
        <f>MouserListTable12[[#This Row],[Tot '#]]-MouserListTable12[[#This Row],['# Initial]]</f>
        <v>0</v>
      </c>
      <c r="F590" s="121">
        <f>IF(AND(MouserListTable12[[#This Row],[Tag]]&lt;&gt;FilterSpecs!$F$12, MouserListTable12[[#This Row],[Tag]]&lt;&gt;FilterSpecs!$F$9), MouserListTable12[[#This Row],['#/Unit]]*FilterSpecs!$B$3+MouserListTable12[[#This Row],[Extra Initial]],0)</f>
        <v>0</v>
      </c>
      <c r="G590" s="103" t="s">
        <v>846</v>
      </c>
      <c r="H590" s="103" t="s">
        <v>847</v>
      </c>
      <c r="I590" s="103" t="s">
        <v>848</v>
      </c>
      <c r="J590" s="103">
        <v>1</v>
      </c>
      <c r="K590" s="157">
        <v>3.95</v>
      </c>
      <c r="L590" s="103" t="s">
        <v>1914</v>
      </c>
      <c r="M590" s="106"/>
      <c r="N590" s="157">
        <f>MouserListTable12[[#This Row],['# Initial]]*MouserListTable12[[#This Row],[Price (USD)]]</f>
        <v>0</v>
      </c>
      <c r="O590" s="106" t="s">
        <v>845</v>
      </c>
      <c r="P590" s="103">
        <f t="shared" si="12"/>
        <v>571</v>
      </c>
      <c r="Q590" s="103" t="s">
        <v>8</v>
      </c>
      <c r="R59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474-TOL-12572</v>
      </c>
      <c r="S590" s="195" t="str">
        <f>HYPERLINK("https://www.mouser.com/ProductDetail/" &amp;MouserListTable12[[#This Row],[Mouser SKU]])</f>
        <v>https://www.mouser.com/ProductDetail/474-TOL-12572</v>
      </c>
      <c r="T590" s="121">
        <v>0</v>
      </c>
      <c r="U590" s="121">
        <v>0</v>
      </c>
      <c r="V590" s="121">
        <v>0</v>
      </c>
      <c r="W590" s="121">
        <f>MouserListTable12[[#This Row],['#/Unit]]*FilterSpecs!$C$3+MouserListTable12[[#This Row],[Extra]]</f>
        <v>0</v>
      </c>
      <c r="X590" s="121">
        <f>IF(MouserListTable12[[#This Row],[Tag]]=FilterSpecs!$F$7,MouserListTable12[[#This Row],['#/Unit]]*MouserListTable12[[#This Row],[Price (USD)]],0)</f>
        <v>0</v>
      </c>
      <c r="Y590" s="121">
        <f>MouserListTable12[[#This Row],[Tot '#]]*MouserListTable12[[#This Row],[Price (USD)]]</f>
        <v>0</v>
      </c>
      <c r="Z590"/>
    </row>
    <row r="591" spans="1:26" s="146" customFormat="1" hidden="1" x14ac:dyDescent="0.3">
      <c r="A591" s="103" t="s">
        <v>17</v>
      </c>
      <c r="B591" s="103" t="s">
        <v>1613</v>
      </c>
      <c r="C591" s="103" t="s">
        <v>1906</v>
      </c>
      <c r="D591" s="106" t="str">
        <f>IF(MouserListTable12[[#This Row],[Vendor]]=FilterSpecs!$A$8,MouserListTable12[[#This Row],[Mouser SKU]], MouserListTable12[[#This Row],[Supplier SKU]])</f>
        <v>474-TOL-08793</v>
      </c>
      <c r="E591" s="121">
        <f>MouserListTable12[[#This Row],[Tot '#]]-MouserListTable12[[#This Row],['# Initial]]</f>
        <v>1</v>
      </c>
      <c r="F591" s="121">
        <f>IF(AND(MouserListTable12[[#This Row],[Tag]]&lt;&gt;FilterSpecs!$F$12, MouserListTable12[[#This Row],[Tag]]&lt;&gt;FilterSpecs!$F$9), MouserListTable12[[#This Row],['#/Unit]]*FilterSpecs!$B$3+MouserListTable12[[#This Row],[Extra Initial]],0)</f>
        <v>0</v>
      </c>
      <c r="G591" s="103" t="s">
        <v>1647</v>
      </c>
      <c r="H591" s="103" t="s">
        <v>1648</v>
      </c>
      <c r="I591" s="103" t="s">
        <v>1649</v>
      </c>
      <c r="J591" s="103">
        <v>1</v>
      </c>
      <c r="K591" s="157">
        <v>1.95</v>
      </c>
      <c r="L591" s="103" t="s">
        <v>1914</v>
      </c>
      <c r="M591" s="106"/>
      <c r="N591" s="157">
        <f>MouserListTable12[[#This Row],['# Initial]]*MouserListTable12[[#This Row],[Price (USD)]]</f>
        <v>0</v>
      </c>
      <c r="O591" s="106" t="s">
        <v>1646</v>
      </c>
      <c r="P591" s="103">
        <f t="shared" si="12"/>
        <v>572</v>
      </c>
      <c r="Q591" s="103" t="s">
        <v>8</v>
      </c>
      <c r="R59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474-TOL-08793</v>
      </c>
      <c r="S591" s="195" t="str">
        <f>HYPERLINK("https://www.mouser.com/ProductDetail/" &amp;MouserListTable12[[#This Row],[Mouser SKU]])</f>
        <v>https://www.mouser.com/ProductDetail/474-TOL-08793</v>
      </c>
      <c r="T591" s="121">
        <v>0</v>
      </c>
      <c r="U591" s="121">
        <v>1</v>
      </c>
      <c r="V591" s="121">
        <v>0</v>
      </c>
      <c r="W591" s="121">
        <f>MouserListTable12[[#This Row],['#/Unit]]*FilterSpecs!$C$3+MouserListTable12[[#This Row],[Extra]]</f>
        <v>1</v>
      </c>
      <c r="X591" s="121">
        <f>IF(MouserListTable12[[#This Row],[Tag]]=FilterSpecs!$F$7,MouserListTable12[[#This Row],['#/Unit]]*MouserListTable12[[#This Row],[Price (USD)]],0)</f>
        <v>0</v>
      </c>
      <c r="Y591" s="121">
        <f>MouserListTable12[[#This Row],[Tot '#]]*MouserListTable12[[#This Row],[Price (USD)]]</f>
        <v>1.95</v>
      </c>
      <c r="Z591"/>
    </row>
    <row r="592" spans="1:26" s="146" customFormat="1" hidden="1" x14ac:dyDescent="0.3">
      <c r="A592" s="128" t="s">
        <v>17</v>
      </c>
      <c r="B592" s="128" t="s">
        <v>1613</v>
      </c>
      <c r="C592" s="103" t="s">
        <v>1906</v>
      </c>
      <c r="D592" s="106" t="str">
        <f>IF(MouserListTable12[[#This Row],[Vendor]]=FilterSpecs!$A$8,MouserListTable12[[#This Row],[Mouser SKU]], MouserListTable12[[#This Row],[Supplier SKU]])</f>
        <v>485-1368</v>
      </c>
      <c r="E592" s="121">
        <f>MouserListTable12[[#This Row],[Tot '#]]-MouserListTable12[[#This Row],['# Initial]]</f>
        <v>0</v>
      </c>
      <c r="F592" s="121">
        <f>IF(AND(MouserListTable12[[#This Row],[Tag]]&lt;&gt;FilterSpecs!$F$12, MouserListTable12[[#This Row],[Tag]]&lt;&gt;FilterSpecs!$F$9), MouserListTable12[[#This Row],['#/Unit]]*FilterSpecs!$B$3+MouserListTable12[[#This Row],[Extra Initial]],0)</f>
        <v>0</v>
      </c>
      <c r="I592" s="128" t="s">
        <v>2474</v>
      </c>
      <c r="J592" s="153">
        <v>113</v>
      </c>
      <c r="K592" s="159">
        <v>11.95</v>
      </c>
      <c r="L592" s="126" t="s">
        <v>1910</v>
      </c>
      <c r="N592" s="157">
        <f>MouserListTable12[[#This Row],['# Initial]]*MouserListTable12[[#This Row],[Price (USD)]]</f>
        <v>0</v>
      </c>
      <c r="O592" s="153" t="s">
        <v>2475</v>
      </c>
      <c r="P592" s="103">
        <f t="shared" si="12"/>
        <v>573</v>
      </c>
      <c r="Q592" s="103" t="s">
        <v>1898</v>
      </c>
      <c r="R59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485-1368</v>
      </c>
      <c r="S592" s="195" t="str">
        <f>HYPERLINK("https://www.mouser.com/ProductDetail/" &amp;MouserListTable12[[#This Row],[Mouser SKU]])</f>
        <v>https://www.mouser.com/ProductDetail/485-1368</v>
      </c>
      <c r="T592" s="121">
        <v>0</v>
      </c>
      <c r="U592" s="121">
        <v>0</v>
      </c>
      <c r="V592" s="121">
        <v>0</v>
      </c>
      <c r="W592" s="121">
        <f>MouserListTable12[[#This Row],['#/Unit]]*FilterSpecs!$C$3+MouserListTable12[[#This Row],[Extra]]</f>
        <v>0</v>
      </c>
      <c r="X592" s="121">
        <f>IF(MouserListTable12[[#This Row],[Tag]]=FilterSpecs!$F$7,MouserListTable12[[#This Row],['#/Unit]]*MouserListTable12[[#This Row],[Price (USD)]],0)</f>
        <v>0</v>
      </c>
      <c r="Y592" s="121">
        <f>MouserListTable12[[#This Row],[Tot '#]]*MouserListTable12[[#This Row],[Price (USD)]]</f>
        <v>0</v>
      </c>
      <c r="Z592"/>
    </row>
    <row r="593" spans="1:27" s="146" customFormat="1" hidden="1" x14ac:dyDescent="0.3">
      <c r="A593" s="128" t="s">
        <v>17</v>
      </c>
      <c r="B593" s="128" t="s">
        <v>1613</v>
      </c>
      <c r="C593" s="103" t="s">
        <v>1906</v>
      </c>
      <c r="D593" s="106" t="str">
        <f>IF(MouserListTable12[[#This Row],[Vendor]]=FilterSpecs!$A$8,MouserListTable12[[#This Row],[Mouser SKU]], MouserListTable12[[#This Row],[Supplier SKU]])</f>
        <v>485-1598</v>
      </c>
      <c r="E593" s="121">
        <f>MouserListTable12[[#This Row],[Tot '#]]-MouserListTable12[[#This Row],['# Initial]]</f>
        <v>0</v>
      </c>
      <c r="F593" s="121">
        <f>IF(AND(MouserListTable12[[#This Row],[Tag]]&lt;&gt;FilterSpecs!$F$12, MouserListTable12[[#This Row],[Tag]]&lt;&gt;FilterSpecs!$F$9), MouserListTable12[[#This Row],['#/Unit]]*FilterSpecs!$B$3+MouserListTable12[[#This Row],[Extra Initial]],0)</f>
        <v>0</v>
      </c>
      <c r="I593" s="128" t="s">
        <v>2472</v>
      </c>
      <c r="J593" s="153">
        <v>112</v>
      </c>
      <c r="K593" s="159">
        <v>14.95</v>
      </c>
      <c r="L593" s="126" t="s">
        <v>1910</v>
      </c>
      <c r="N593" s="157">
        <f>MouserListTable12[[#This Row],['# Initial]]*MouserListTable12[[#This Row],[Price (USD)]]</f>
        <v>0</v>
      </c>
      <c r="O593" s="153" t="s">
        <v>2473</v>
      </c>
      <c r="P593" s="103">
        <f t="shared" si="12"/>
        <v>574</v>
      </c>
      <c r="Q593" s="103" t="s">
        <v>1898</v>
      </c>
      <c r="R59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485-1598</v>
      </c>
      <c r="S593" s="195" t="str">
        <f>HYPERLINK("https://www.mouser.com/ProductDetail/" &amp;MouserListTable12[[#This Row],[Mouser SKU]])</f>
        <v>https://www.mouser.com/ProductDetail/485-1598</v>
      </c>
      <c r="T593" s="121">
        <v>0</v>
      </c>
      <c r="U593" s="121">
        <v>0</v>
      </c>
      <c r="V593" s="121">
        <v>0</v>
      </c>
      <c r="W593" s="121">
        <f>MouserListTable12[[#This Row],['#/Unit]]*FilterSpecs!$C$3+MouserListTable12[[#This Row],[Extra]]</f>
        <v>0</v>
      </c>
      <c r="X593" s="121">
        <f>IF(MouserListTable12[[#This Row],[Tag]]=FilterSpecs!$F$7,MouserListTable12[[#This Row],['#/Unit]]*MouserListTable12[[#This Row],[Price (USD)]],0)</f>
        <v>0</v>
      </c>
      <c r="Y593" s="121">
        <f>MouserListTable12[[#This Row],[Tot '#]]*MouserListTable12[[#This Row],[Price (USD)]]</f>
        <v>0</v>
      </c>
      <c r="Z593"/>
    </row>
    <row r="594" spans="1:27" s="146" customFormat="1" hidden="1" x14ac:dyDescent="0.3">
      <c r="A594" s="103" t="s">
        <v>17</v>
      </c>
      <c r="B594" s="103" t="s">
        <v>1613</v>
      </c>
      <c r="C594" s="103" t="s">
        <v>1906</v>
      </c>
      <c r="D594" s="106" t="str">
        <f>IF(MouserListTable12[[#This Row],[Vendor]]=FilterSpecs!$A$8,MouserListTable12[[#This Row],[Mouser SKU]], MouserListTable12[[#This Row],[Supplier SKU]])</f>
        <v>474-TOL-12630</v>
      </c>
      <c r="E594" s="121">
        <f>MouserListTable12[[#This Row],[Tot '#]]-MouserListTable12[[#This Row],['# Initial]]</f>
        <v>1</v>
      </c>
      <c r="F594" s="121">
        <f>IF(AND(MouserListTable12[[#This Row],[Tag]]&lt;&gt;FilterSpecs!$F$12, MouserListTable12[[#This Row],[Tag]]&lt;&gt;FilterSpecs!$F$9), MouserListTable12[[#This Row],['#/Unit]]*FilterSpecs!$B$3+MouserListTable12[[#This Row],[Extra Initial]],0)</f>
        <v>0</v>
      </c>
      <c r="G594" s="103" t="s">
        <v>2446</v>
      </c>
      <c r="H594" s="103" t="s">
        <v>2447</v>
      </c>
      <c r="I594" s="103" t="s">
        <v>2448</v>
      </c>
      <c r="J594" s="103">
        <v>1</v>
      </c>
      <c r="K594" s="157">
        <v>9.9499999999999993</v>
      </c>
      <c r="L594" s="103" t="s">
        <v>1914</v>
      </c>
      <c r="M594" s="103"/>
      <c r="N594" s="157">
        <f>MouserListTable12[[#This Row],['# Initial]]*MouserListTable12[[#This Row],[Price (USD)]]</f>
        <v>0</v>
      </c>
      <c r="O594" s="106" t="s">
        <v>2445</v>
      </c>
      <c r="P594" s="103">
        <f t="shared" si="12"/>
        <v>575</v>
      </c>
      <c r="Q594" s="103" t="s">
        <v>8</v>
      </c>
      <c r="R59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474-TOL-12630</v>
      </c>
      <c r="S594" s="195" t="str">
        <f>HYPERLINK("https://www.mouser.com/ProductDetail/" &amp;MouserListTable12[[#This Row],[Mouser SKU]])</f>
        <v>https://www.mouser.com/ProductDetail/474-TOL-12630</v>
      </c>
      <c r="T594" s="121">
        <v>0</v>
      </c>
      <c r="U594" s="121">
        <v>1</v>
      </c>
      <c r="V594" s="121">
        <v>0</v>
      </c>
      <c r="W594" s="121">
        <f>MouserListTable12[[#This Row],['#/Unit]]*FilterSpecs!$C$3+MouserListTable12[[#This Row],[Extra]]</f>
        <v>1</v>
      </c>
      <c r="X594" s="121">
        <f>IF(MouserListTable12[[#This Row],[Tag]]=FilterSpecs!$F$7,MouserListTable12[[#This Row],['#/Unit]]*MouserListTable12[[#This Row],[Price (USD)]],0)</f>
        <v>0</v>
      </c>
      <c r="Y594" s="121">
        <f>MouserListTable12[[#This Row],[Tot '#]]*MouserListTable12[[#This Row],[Price (USD)]]</f>
        <v>9.9499999999999993</v>
      </c>
      <c r="Z594"/>
    </row>
    <row r="595" spans="1:27" s="146" customFormat="1" hidden="1" x14ac:dyDescent="0.3">
      <c r="A595" s="128" t="s">
        <v>17</v>
      </c>
      <c r="B595" s="128" t="s">
        <v>1613</v>
      </c>
      <c r="C595" s="103" t="s">
        <v>1906</v>
      </c>
      <c r="D595" s="106" t="str">
        <f>IF(MouserListTable12[[#This Row],[Vendor]]=FilterSpecs!$A$8,MouserListTable12[[#This Row],[Mouser SKU]], MouserListTable12[[#This Row],[Supplier SKU]])</f>
        <v>485-527</v>
      </c>
      <c r="E595" s="121">
        <f>MouserListTable12[[#This Row],[Tot '#]]-MouserListTable12[[#This Row],['# Initial]]</f>
        <v>0</v>
      </c>
      <c r="F595" s="121">
        <f>IF(AND(MouserListTable12[[#This Row],[Tag]]&lt;&gt;FilterSpecs!$F$12, MouserListTable12[[#This Row],[Tag]]&lt;&gt;FilterSpecs!$F$9), MouserListTable12[[#This Row],['#/Unit]]*FilterSpecs!$B$3+MouserListTable12[[#This Row],[Extra Initial]],0)</f>
        <v>0</v>
      </c>
      <c r="I595" s="128" t="s">
        <v>2470</v>
      </c>
      <c r="J595" s="153">
        <v>111</v>
      </c>
      <c r="K595" s="159">
        <v>14.95</v>
      </c>
      <c r="L595" s="126" t="s">
        <v>1910</v>
      </c>
      <c r="N595" s="157">
        <f>MouserListTable12[[#This Row],['# Initial]]*MouserListTable12[[#This Row],[Price (USD)]]</f>
        <v>0</v>
      </c>
      <c r="O595" s="153" t="s">
        <v>2471</v>
      </c>
      <c r="P595" s="103">
        <f t="shared" ref="P595:P607" si="13">IF($P594="List #",1,$P594+1)</f>
        <v>576</v>
      </c>
      <c r="Q595" s="103" t="s">
        <v>1898</v>
      </c>
      <c r="R59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485-527</v>
      </c>
      <c r="S595" s="195" t="str">
        <f>HYPERLINK("https://www.mouser.com/ProductDetail/" &amp;MouserListTable12[[#This Row],[Mouser SKU]])</f>
        <v>https://www.mouser.com/ProductDetail/485-527</v>
      </c>
      <c r="T595" s="121">
        <v>0</v>
      </c>
      <c r="U595" s="121">
        <v>0</v>
      </c>
      <c r="V595" s="121">
        <v>0</v>
      </c>
      <c r="W595" s="121">
        <f>MouserListTable12[[#This Row],['#/Unit]]*FilterSpecs!$C$3+MouserListTable12[[#This Row],[Extra]]</f>
        <v>0</v>
      </c>
      <c r="X595" s="121">
        <f>IF(MouserListTable12[[#This Row],[Tag]]=FilterSpecs!$F$7,MouserListTable12[[#This Row],['#/Unit]]*MouserListTable12[[#This Row],[Price (USD)]],0)</f>
        <v>0</v>
      </c>
      <c r="Y595" s="121">
        <f>MouserListTable12[[#This Row],[Tot '#]]*MouserListTable12[[#This Row],[Price (USD)]]</f>
        <v>0</v>
      </c>
      <c r="Z595"/>
    </row>
    <row r="596" spans="1:27" s="146" customFormat="1" hidden="1" x14ac:dyDescent="0.3">
      <c r="A596" s="103" t="s">
        <v>17</v>
      </c>
      <c r="B596" s="103" t="s">
        <v>1613</v>
      </c>
      <c r="C596" s="103" t="s">
        <v>1906</v>
      </c>
      <c r="D596" s="106" t="str">
        <f>IF(MouserListTable12[[#This Row],[Vendor]]=FilterSpecs!$A$8,MouserListTable12[[#This Row],[Mouser SKU]], MouserListTable12[[#This Row],[Supplier SKU]])</f>
        <v>474-TOL-08794</v>
      </c>
      <c r="E596" s="121">
        <f>MouserListTable12[[#This Row],[Tot '#]]-MouserListTable12[[#This Row],['# Initial]]</f>
        <v>1</v>
      </c>
      <c r="F596" s="121">
        <f>IF(AND(MouserListTable12[[#This Row],[Tag]]&lt;&gt;FilterSpecs!$F$12, MouserListTable12[[#This Row],[Tag]]&lt;&gt;FilterSpecs!$F$9), MouserListTable12[[#This Row],['#/Unit]]*FilterSpecs!$B$3+MouserListTable12[[#This Row],[Extra Initial]],0)</f>
        <v>0</v>
      </c>
      <c r="G596" s="103" t="s">
        <v>842</v>
      </c>
      <c r="H596" s="103" t="s">
        <v>843</v>
      </c>
      <c r="I596" s="103" t="s">
        <v>844</v>
      </c>
      <c r="J596" s="103">
        <v>1</v>
      </c>
      <c r="K596" s="157">
        <v>1.95</v>
      </c>
      <c r="L596" s="103" t="s">
        <v>1914</v>
      </c>
      <c r="M596" s="103"/>
      <c r="N596" s="157">
        <f>MouserListTable12[[#This Row],['# Initial]]*MouserListTable12[[#This Row],[Price (USD)]]</f>
        <v>0</v>
      </c>
      <c r="O596" s="106" t="s">
        <v>841</v>
      </c>
      <c r="P596" s="103">
        <f t="shared" si="13"/>
        <v>577</v>
      </c>
      <c r="Q596" s="103" t="s">
        <v>8</v>
      </c>
      <c r="R59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474-TOL-08794</v>
      </c>
      <c r="S596" s="195" t="str">
        <f>HYPERLINK("https://www.mouser.com/ProductDetail/" &amp;MouserListTable12[[#This Row],[Mouser SKU]])</f>
        <v>https://www.mouser.com/ProductDetail/474-TOL-08794</v>
      </c>
      <c r="T596" s="121">
        <v>0</v>
      </c>
      <c r="U596" s="121">
        <v>1</v>
      </c>
      <c r="V596" s="121">
        <v>0</v>
      </c>
      <c r="W596" s="121">
        <f>MouserListTable12[[#This Row],['#/Unit]]*FilterSpecs!$C$3+MouserListTable12[[#This Row],[Extra]]</f>
        <v>1</v>
      </c>
      <c r="X596" s="121">
        <f>IF(MouserListTable12[[#This Row],[Tag]]=FilterSpecs!$F$7,MouserListTable12[[#This Row],['#/Unit]]*MouserListTable12[[#This Row],[Price (USD)]],0)</f>
        <v>0</v>
      </c>
      <c r="Y596" s="121">
        <f>MouserListTable12[[#This Row],[Tot '#]]*MouserListTable12[[#This Row],[Price (USD)]]</f>
        <v>1.95</v>
      </c>
      <c r="Z596"/>
    </row>
    <row r="597" spans="1:27" s="146" customFormat="1" hidden="1" x14ac:dyDescent="0.3">
      <c r="A597" s="126" t="s">
        <v>17</v>
      </c>
      <c r="B597" s="126" t="s">
        <v>1613</v>
      </c>
      <c r="C597" s="103" t="s">
        <v>1906</v>
      </c>
      <c r="D597" s="106" t="str">
        <f>IF(MouserListTable12[[#This Row],[Vendor]]=FilterSpecs!$A$8,MouserListTable12[[#This Row],[Mouser SKU]], MouserListTable12[[#This Row],[Supplier SKU]])</f>
        <v>474-TOL-11952</v>
      </c>
      <c r="E597" s="121">
        <f>MouserListTable12[[#This Row],[Tot '#]]-MouserListTable12[[#This Row],['# Initial]]</f>
        <v>0</v>
      </c>
      <c r="F597" s="121">
        <f>IF(AND(MouserListTable12[[#This Row],[Tag]]&lt;&gt;FilterSpecs!$F$12, MouserListTable12[[#This Row],[Tag]]&lt;&gt;FilterSpecs!$F$9), MouserListTable12[[#This Row],['#/Unit]]*FilterSpecs!$B$3+MouserListTable12[[#This Row],[Extra Initial]],0)</f>
        <v>0</v>
      </c>
      <c r="G597" s="103" t="s">
        <v>878</v>
      </c>
      <c r="H597" s="103" t="s">
        <v>879</v>
      </c>
      <c r="I597" s="103" t="s">
        <v>880</v>
      </c>
      <c r="J597" s="103">
        <v>1</v>
      </c>
      <c r="K597" s="157">
        <v>6.95</v>
      </c>
      <c r="L597" s="103" t="s">
        <v>1914</v>
      </c>
      <c r="M597" s="103" t="s">
        <v>1209</v>
      </c>
      <c r="N597" s="157">
        <f>MouserListTable12[[#This Row],['# Initial]]*MouserListTable12[[#This Row],[Price (USD)]]</f>
        <v>0</v>
      </c>
      <c r="O597" s="106" t="s">
        <v>877</v>
      </c>
      <c r="P597" s="103">
        <f t="shared" si="13"/>
        <v>578</v>
      </c>
      <c r="Q597" s="103" t="s">
        <v>8</v>
      </c>
      <c r="R59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474-TOL-11952</v>
      </c>
      <c r="S597" s="195" t="str">
        <f>HYPERLINK("https://www.mouser.com/ProductDetail/" &amp;MouserListTable12[[#This Row],[Mouser SKU]])</f>
        <v>https://www.mouser.com/ProductDetail/474-TOL-11952</v>
      </c>
      <c r="T597" s="121">
        <v>0</v>
      </c>
      <c r="U597" s="121">
        <v>0</v>
      </c>
      <c r="V597" s="121">
        <v>0</v>
      </c>
      <c r="W597" s="121">
        <f>MouserListTable12[[#This Row],['#/Unit]]*FilterSpecs!$C$3+MouserListTable12[[#This Row],[Extra]]</f>
        <v>0</v>
      </c>
      <c r="X597" s="121">
        <f>IF(MouserListTable12[[#This Row],[Tag]]=FilterSpecs!$F$7,MouserListTable12[[#This Row],['#/Unit]]*MouserListTable12[[#This Row],[Price (USD)]],0)</f>
        <v>0</v>
      </c>
      <c r="Y597" s="121">
        <f>MouserListTable12[[#This Row],[Tot '#]]*MouserListTable12[[#This Row],[Price (USD)]]</f>
        <v>0</v>
      </c>
      <c r="Z597"/>
    </row>
    <row r="598" spans="1:27" s="146" customFormat="1" x14ac:dyDescent="0.3">
      <c r="A598" s="103" t="s">
        <v>17</v>
      </c>
      <c r="B598" s="103" t="s">
        <v>1613</v>
      </c>
      <c r="C598" s="103" t="s">
        <v>1906</v>
      </c>
      <c r="D598" s="106" t="str">
        <f>IF(MouserListTable12[[#This Row],[Vendor]]=FilterSpecs!$A$8,MouserListTable12[[#This Row],[Mouser SKU]], MouserListTable12[[#This Row],[Supplier SKU]])</f>
        <v>474-TOL-09200</v>
      </c>
      <c r="E598" s="121">
        <f>MouserListTable12[[#This Row],[Tot '#]]-MouserListTable12[[#This Row],['# Initial]]</f>
        <v>0</v>
      </c>
      <c r="F598" s="121">
        <f>IF(AND(MouserListTable12[[#This Row],[Tag]]&lt;&gt;FilterSpecs!$F$12, MouserListTable12[[#This Row],[Tag]]&lt;&gt;FilterSpecs!$F$9), MouserListTable12[[#This Row],['#/Unit]]*FilterSpecs!$B$3+MouserListTable12[[#This Row],[Extra Initial]],0)</f>
        <v>1</v>
      </c>
      <c r="G598" s="103" t="s">
        <v>866</v>
      </c>
      <c r="H598" s="103" t="s">
        <v>867</v>
      </c>
      <c r="I598" s="103" t="s">
        <v>868</v>
      </c>
      <c r="J598" s="103">
        <v>1</v>
      </c>
      <c r="K598" s="157">
        <v>2.95</v>
      </c>
      <c r="L598" s="103" t="s">
        <v>1914</v>
      </c>
      <c r="M598" s="106"/>
      <c r="N598" s="157">
        <f>MouserListTable12[[#This Row],['# Initial]]*MouserListTable12[[#This Row],[Price (USD)]]</f>
        <v>2.95</v>
      </c>
      <c r="O598" s="106" t="s">
        <v>865</v>
      </c>
      <c r="P598" s="103">
        <f t="shared" si="13"/>
        <v>579</v>
      </c>
      <c r="Q598" s="103" t="s">
        <v>8</v>
      </c>
      <c r="R598"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474-TOL-09200</v>
      </c>
      <c r="S598" s="195" t="str">
        <f>HYPERLINK("https://www.mouser.com/ProductDetail/" &amp;MouserListTable12[[#This Row],[Mouser SKU]])</f>
        <v>https://www.mouser.com/ProductDetail/474-TOL-09200</v>
      </c>
      <c r="T598" s="121">
        <v>0</v>
      </c>
      <c r="U598" s="121">
        <v>1</v>
      </c>
      <c r="V598" s="121">
        <v>1</v>
      </c>
      <c r="W598" s="121">
        <f>MouserListTable12[[#This Row],['#/Unit]]*FilterSpecs!$C$3+MouserListTable12[[#This Row],[Extra]]</f>
        <v>1</v>
      </c>
      <c r="X598" s="121">
        <f>IF(MouserListTable12[[#This Row],[Tag]]=FilterSpecs!$F$7,MouserListTable12[[#This Row],['#/Unit]]*MouserListTable12[[#This Row],[Price (USD)]],0)</f>
        <v>0</v>
      </c>
      <c r="Y598" s="121">
        <f>MouserListTable12[[#This Row],[Tot '#]]*MouserListTable12[[#This Row],[Price (USD)]]</f>
        <v>2.95</v>
      </c>
      <c r="Z598"/>
    </row>
    <row r="599" spans="1:27" s="146" customFormat="1" x14ac:dyDescent="0.3">
      <c r="A599" s="103" t="s">
        <v>17</v>
      </c>
      <c r="B599" s="103" t="s">
        <v>1613</v>
      </c>
      <c r="C599" s="103" t="s">
        <v>1906</v>
      </c>
      <c r="D599" s="106" t="str">
        <f>IF(MouserListTable12[[#This Row],[Vendor]]=FilterSpecs!$A$8,MouserListTable12[[#This Row],[Mouser SKU]], MouserListTable12[[#This Row],[Supplier SKU]])</f>
        <v>474-TOL-10325</v>
      </c>
      <c r="E599" s="121">
        <f>MouserListTable12[[#This Row],[Tot '#]]-MouserListTable12[[#This Row],['# Initial]]</f>
        <v>0</v>
      </c>
      <c r="F599" s="121">
        <f>IF(AND(MouserListTable12[[#This Row],[Tag]]&lt;&gt;FilterSpecs!$F$12, MouserListTable12[[#This Row],[Tag]]&lt;&gt;FilterSpecs!$F$9), MouserListTable12[[#This Row],['#/Unit]]*FilterSpecs!$B$3+MouserListTable12[[#This Row],[Extra Initial]],0)</f>
        <v>1</v>
      </c>
      <c r="G599" s="103" t="s">
        <v>1177</v>
      </c>
      <c r="H599" s="103" t="s">
        <v>1178</v>
      </c>
      <c r="I599" s="103" t="s">
        <v>1179</v>
      </c>
      <c r="J599" s="103"/>
      <c r="K599" s="157">
        <v>1.95</v>
      </c>
      <c r="L599" s="103" t="s">
        <v>1914</v>
      </c>
      <c r="M599" s="106"/>
      <c r="N599" s="157">
        <f>MouserListTable12[[#This Row],['# Initial]]*MouserListTable12[[#This Row],[Price (USD)]]</f>
        <v>1.95</v>
      </c>
      <c r="O599" s="106" t="s">
        <v>1176</v>
      </c>
      <c r="P599" s="103">
        <f t="shared" si="13"/>
        <v>580</v>
      </c>
      <c r="Q599" s="103" t="s">
        <v>8</v>
      </c>
      <c r="R599"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474-TOL-10325</v>
      </c>
      <c r="S599" s="195" t="str">
        <f>HYPERLINK("https://www.mouser.com/ProductDetail/" &amp;MouserListTable12[[#This Row],[Mouser SKU]])</f>
        <v>https://www.mouser.com/ProductDetail/474-TOL-10325</v>
      </c>
      <c r="T599" s="121">
        <v>0</v>
      </c>
      <c r="U599" s="121">
        <v>1</v>
      </c>
      <c r="V599" s="121">
        <v>1</v>
      </c>
      <c r="W599" s="121">
        <f>MouserListTable12[[#This Row],['#/Unit]]*FilterSpecs!$C$3+MouserListTable12[[#This Row],[Extra]]</f>
        <v>1</v>
      </c>
      <c r="X599" s="121">
        <f>IF(MouserListTable12[[#This Row],[Tag]]=FilterSpecs!$F$7,MouserListTable12[[#This Row],['#/Unit]]*MouserListTable12[[#This Row],[Price (USD)]],0)</f>
        <v>0</v>
      </c>
      <c r="Y599" s="121">
        <f>MouserListTable12[[#This Row],[Tot '#]]*MouserListTable12[[#This Row],[Price (USD)]]</f>
        <v>1.95</v>
      </c>
      <c r="Z599"/>
    </row>
    <row r="600" spans="1:27" s="146" customFormat="1" x14ac:dyDescent="0.3">
      <c r="A600" s="103" t="s">
        <v>17</v>
      </c>
      <c r="B600" s="103" t="s">
        <v>1613</v>
      </c>
      <c r="C600" s="103" t="s">
        <v>1906</v>
      </c>
      <c r="D600" s="106" t="str">
        <f>IF(MouserListTable12[[#This Row],[Vendor]]=FilterSpecs!$A$8,MouserListTable12[[#This Row],[Mouser SKU]], MouserListTable12[[#This Row],[Supplier SKU]])</f>
        <v>474-TOL-13114</v>
      </c>
      <c r="E600" s="121">
        <f>MouserListTable12[[#This Row],[Tot '#]]-MouserListTable12[[#This Row],['# Initial]]</f>
        <v>0</v>
      </c>
      <c r="F600" s="121">
        <f>IF(AND(MouserListTable12[[#This Row],[Tag]]&lt;&gt;FilterSpecs!$F$12, MouserListTable12[[#This Row],[Tag]]&lt;&gt;FilterSpecs!$F$9), MouserListTable12[[#This Row],['#/Unit]]*FilterSpecs!$B$3+MouserListTable12[[#This Row],[Extra Initial]],0)</f>
        <v>1</v>
      </c>
      <c r="G600" s="103" t="s">
        <v>834</v>
      </c>
      <c r="H600" s="103" t="s">
        <v>835</v>
      </c>
      <c r="I600" s="103" t="s">
        <v>836</v>
      </c>
      <c r="J600" s="103"/>
      <c r="K600" s="157">
        <v>4.8</v>
      </c>
      <c r="L600" s="103" t="s">
        <v>1914</v>
      </c>
      <c r="M600" s="106"/>
      <c r="N600" s="157">
        <f>MouserListTable12[[#This Row],['# Initial]]*MouserListTable12[[#This Row],[Price (USD)]]</f>
        <v>4.8</v>
      </c>
      <c r="O600" s="106" t="s">
        <v>833</v>
      </c>
      <c r="P600" s="103">
        <f t="shared" si="13"/>
        <v>581</v>
      </c>
      <c r="Q600" s="103" t="s">
        <v>8</v>
      </c>
      <c r="R600"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474-TOL-13114</v>
      </c>
      <c r="S600" s="195" t="str">
        <f>HYPERLINK("https://www.mouser.com/ProductDetail/" &amp;MouserListTable12[[#This Row],[Mouser SKU]])</f>
        <v>https://www.mouser.com/ProductDetail/474-TOL-13114</v>
      </c>
      <c r="T600" s="121">
        <v>0</v>
      </c>
      <c r="U600" s="121">
        <v>1</v>
      </c>
      <c r="V600" s="121">
        <v>1</v>
      </c>
      <c r="W600" s="121">
        <f>MouserListTable12[[#This Row],['#/Unit]]*FilterSpecs!$C$3+MouserListTable12[[#This Row],[Extra]]</f>
        <v>1</v>
      </c>
      <c r="X600" s="121">
        <f>IF(MouserListTable12[[#This Row],[Tag]]=FilterSpecs!$F$7,MouserListTable12[[#This Row],['#/Unit]]*MouserListTable12[[#This Row],[Price (USD)]],0)</f>
        <v>0</v>
      </c>
      <c r="Y600" s="121">
        <f>MouserListTable12[[#This Row],[Tot '#]]*MouserListTable12[[#This Row],[Price (USD)]]</f>
        <v>4.8</v>
      </c>
      <c r="Z600"/>
    </row>
    <row r="601" spans="1:27" s="146" customFormat="1" hidden="1" x14ac:dyDescent="0.3">
      <c r="A601" s="126" t="s">
        <v>17</v>
      </c>
      <c r="B601" s="126" t="s">
        <v>1654</v>
      </c>
      <c r="C601" s="103" t="s">
        <v>1906</v>
      </c>
      <c r="D601" s="106" t="str">
        <f>IF(MouserListTable12[[#This Row],[Vendor]]=FilterSpecs!$A$8,MouserListTable12[[#This Row],[Mouser SKU]], MouserListTable12[[#This Row],[Supplier SKU]])</f>
        <v>474-TOL-11528</v>
      </c>
      <c r="E601" s="121">
        <f>MouserListTable12[[#This Row],[Tot '#]]-MouserListTable12[[#This Row],['# Initial]]</f>
        <v>0</v>
      </c>
      <c r="F601" s="121">
        <f>IF(AND(MouserListTable12[[#This Row],[Tag]]&lt;&gt;FilterSpecs!$F$12, MouserListTable12[[#This Row],[Tag]]&lt;&gt;FilterSpecs!$F$9), MouserListTable12[[#This Row],['#/Unit]]*FilterSpecs!$B$3+MouserListTable12[[#This Row],[Extra Initial]],0)</f>
        <v>0</v>
      </c>
      <c r="G601" s="103" t="s">
        <v>1631</v>
      </c>
      <c r="H601" s="103" t="s">
        <v>1632</v>
      </c>
      <c r="I601" s="103" t="s">
        <v>1633</v>
      </c>
      <c r="J601" s="103"/>
      <c r="K601" s="157">
        <v>3.95</v>
      </c>
      <c r="L601" s="103" t="s">
        <v>1910</v>
      </c>
      <c r="N601" s="157">
        <f>MouserListTable12[[#This Row],['# Initial]]*MouserListTable12[[#This Row],[Price (USD)]]</f>
        <v>0</v>
      </c>
      <c r="O601" s="106" t="s">
        <v>1630</v>
      </c>
      <c r="P601" s="103">
        <f t="shared" si="13"/>
        <v>582</v>
      </c>
      <c r="Q601" s="103" t="s">
        <v>8</v>
      </c>
      <c r="R601"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474-TOL-11528</v>
      </c>
      <c r="S601" s="195" t="str">
        <f>HYPERLINK("https://www.mouser.com/ProductDetail/" &amp;MouserListTable12[[#This Row],[Mouser SKU]])</f>
        <v>https://www.mouser.com/ProductDetail/474-TOL-11528</v>
      </c>
      <c r="T601" s="121">
        <v>0</v>
      </c>
      <c r="U601" s="121">
        <v>0</v>
      </c>
      <c r="V601" s="121">
        <v>0</v>
      </c>
      <c r="W601" s="121">
        <f>MouserListTable12[[#This Row],['#/Unit]]*FilterSpecs!$C$3+MouserListTable12[[#This Row],[Extra]]</f>
        <v>0</v>
      </c>
      <c r="X601" s="121">
        <f>IF(MouserListTable12[[#This Row],[Tag]]=FilterSpecs!$F$7,MouserListTable12[[#This Row],['#/Unit]]*MouserListTable12[[#This Row],[Price (USD)]],0)</f>
        <v>0</v>
      </c>
      <c r="Y601" s="121">
        <f>MouserListTable12[[#This Row],[Tot '#]]*MouserListTable12[[#This Row],[Price (USD)]]</f>
        <v>0</v>
      </c>
      <c r="Z601"/>
    </row>
    <row r="602" spans="1:27" s="146" customFormat="1" hidden="1" x14ac:dyDescent="0.3">
      <c r="A602" s="126" t="s">
        <v>17</v>
      </c>
      <c r="B602" s="126" t="s">
        <v>1654</v>
      </c>
      <c r="C602" s="103" t="s">
        <v>1906</v>
      </c>
      <c r="D602" s="106" t="str">
        <f>IF(MouserListTable12[[#This Row],[Vendor]]=FilterSpecs!$A$8,MouserListTable12[[#This Row],[Mouser SKU]], MouserListTable12[[#This Row],[Supplier SKU]])</f>
        <v>474-TOL-11527</v>
      </c>
      <c r="E602" s="121">
        <f>MouserListTable12[[#This Row],[Tot '#]]-MouserListTable12[[#This Row],['# Initial]]</f>
        <v>0</v>
      </c>
      <c r="F602" s="121">
        <f>IF(AND(MouserListTable12[[#This Row],[Tag]]&lt;&gt;FilterSpecs!$F$12, MouserListTable12[[#This Row],[Tag]]&lt;&gt;FilterSpecs!$F$9), MouserListTable12[[#This Row],['#/Unit]]*FilterSpecs!$B$3+MouserListTable12[[#This Row],[Extra Initial]],0)</f>
        <v>0</v>
      </c>
      <c r="G602" s="103" t="s">
        <v>1635</v>
      </c>
      <c r="H602" s="103" t="s">
        <v>1636</v>
      </c>
      <c r="I602" s="103" t="s">
        <v>1637</v>
      </c>
      <c r="J602" s="103"/>
      <c r="K602" s="157">
        <v>3.95</v>
      </c>
      <c r="L602" s="103" t="s">
        <v>1910</v>
      </c>
      <c r="N602" s="157">
        <f>MouserListTable12[[#This Row],['# Initial]]*MouserListTable12[[#This Row],[Price (USD)]]</f>
        <v>0</v>
      </c>
      <c r="O602" s="106" t="s">
        <v>1634</v>
      </c>
      <c r="P602" s="103">
        <f t="shared" si="13"/>
        <v>583</v>
      </c>
      <c r="Q602" s="103" t="s">
        <v>8</v>
      </c>
      <c r="R602"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474-TOL-11527</v>
      </c>
      <c r="S602" s="195" t="str">
        <f>HYPERLINK("https://www.mouser.com/ProductDetail/" &amp;MouserListTable12[[#This Row],[Mouser SKU]])</f>
        <v>https://www.mouser.com/ProductDetail/474-TOL-11527</v>
      </c>
      <c r="T602" s="121">
        <v>0</v>
      </c>
      <c r="U602" s="121">
        <v>0</v>
      </c>
      <c r="V602" s="121">
        <v>0</v>
      </c>
      <c r="W602" s="121">
        <f>MouserListTable12[[#This Row],['#/Unit]]*FilterSpecs!$C$3+MouserListTable12[[#This Row],[Extra]]</f>
        <v>0</v>
      </c>
      <c r="X602" s="121">
        <f>IF(MouserListTable12[[#This Row],[Tag]]=FilterSpecs!$F$7,MouserListTable12[[#This Row],['#/Unit]]*MouserListTable12[[#This Row],[Price (USD)]],0)</f>
        <v>0</v>
      </c>
      <c r="Y602" s="121">
        <f>MouserListTable12[[#This Row],[Tot '#]]*MouserListTable12[[#This Row],[Price (USD)]]</f>
        <v>0</v>
      </c>
      <c r="Z602"/>
    </row>
    <row r="603" spans="1:27" s="144" customFormat="1" hidden="1" x14ac:dyDescent="0.3">
      <c r="A603" s="103" t="s">
        <v>17</v>
      </c>
      <c r="B603" s="103" t="s">
        <v>1654</v>
      </c>
      <c r="C603" s="103" t="s">
        <v>1906</v>
      </c>
      <c r="D603" s="106" t="str">
        <f>IF(MouserListTable12[[#This Row],[Vendor]]=FilterSpecs!$A$8,MouserListTable12[[#This Row],[Mouser SKU]], MouserListTable12[[#This Row],[Supplier SKU]])</f>
        <v>485-2938</v>
      </c>
      <c r="E603" s="121">
        <f>MouserListTable12[[#This Row],[Tot '#]]-MouserListTable12[[#This Row],['# Initial]]</f>
        <v>0</v>
      </c>
      <c r="F603" s="121">
        <f>IF(AND(MouserListTable12[[#This Row],[Tag]]&lt;&gt;FilterSpecs!$F$12, MouserListTable12[[#This Row],[Tag]]&lt;&gt;FilterSpecs!$F$9), MouserListTable12[[#This Row],['#/Unit]]*FilterSpecs!$B$3+MouserListTable12[[#This Row],[Extra Initial]],0)</f>
        <v>0</v>
      </c>
      <c r="G603" s="103"/>
      <c r="H603" s="103"/>
      <c r="I603" s="126" t="s">
        <v>2086</v>
      </c>
      <c r="J603" s="146"/>
      <c r="K603" s="158">
        <v>2.5</v>
      </c>
      <c r="L603" s="126" t="s">
        <v>1910</v>
      </c>
      <c r="M603" s="146"/>
      <c r="N603" s="157">
        <f>MouserListTable12[[#This Row],['# Initial]]*MouserListTable12[[#This Row],[Price (USD)]]</f>
        <v>0</v>
      </c>
      <c r="O603" s="106" t="s">
        <v>2087</v>
      </c>
      <c r="P603" s="103">
        <f t="shared" si="13"/>
        <v>584</v>
      </c>
      <c r="Q603" s="103" t="s">
        <v>1898</v>
      </c>
      <c r="R603"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485-2938</v>
      </c>
      <c r="S603" s="195" t="str">
        <f>HYPERLINK("https://www.mouser.com/ProductDetail/" &amp;MouserListTable12[[#This Row],[Mouser SKU]])</f>
        <v>https://www.mouser.com/ProductDetail/485-2938</v>
      </c>
      <c r="T603" s="121">
        <v>0</v>
      </c>
      <c r="U603" s="121">
        <v>0</v>
      </c>
      <c r="V603" s="121">
        <v>0</v>
      </c>
      <c r="W603" s="121">
        <f>MouserListTable12[[#This Row],['#/Unit]]*FilterSpecs!$C$3+MouserListTable12[[#This Row],[Extra]]</f>
        <v>0</v>
      </c>
      <c r="X603" s="121">
        <f>IF(MouserListTable12[[#This Row],[Tag]]=FilterSpecs!$F$7,MouserListTable12[[#This Row],['#/Unit]]*MouserListTable12[[#This Row],[Price (USD)]],0)</f>
        <v>0</v>
      </c>
      <c r="Y603" s="121">
        <f>MouserListTable12[[#This Row],[Tot '#]]*MouserListTable12[[#This Row],[Price (USD)]]</f>
        <v>0</v>
      </c>
      <c r="Z603"/>
    </row>
    <row r="604" spans="1:27" s="144" customFormat="1" x14ac:dyDescent="0.3">
      <c r="A604" s="103" t="s">
        <v>17</v>
      </c>
      <c r="B604" s="103" t="s">
        <v>1654</v>
      </c>
      <c r="C604" s="103" t="s">
        <v>1906</v>
      </c>
      <c r="D604" s="106" t="str">
        <f>IF(MouserListTable12[[#This Row],[Vendor]]=FilterSpecs!$A$8,MouserListTable12[[#This Row],[Mouser SKU]], MouserListTable12[[#This Row],[Supplier SKU]])</f>
        <v>485-433</v>
      </c>
      <c r="E604" s="121">
        <f>MouserListTable12[[#This Row],[Tot '#]]-MouserListTable12[[#This Row],['# Initial]]</f>
        <v>0</v>
      </c>
      <c r="F604" s="121">
        <f>IF(AND(MouserListTable12[[#This Row],[Tag]]&lt;&gt;FilterSpecs!$F$12, MouserListTable12[[#This Row],[Tag]]&lt;&gt;FilterSpecs!$F$9), MouserListTable12[[#This Row],['#/Unit]]*FilterSpecs!$B$3+MouserListTable12[[#This Row],[Extra Initial]],0)</f>
        <v>1</v>
      </c>
      <c r="G604" s="103"/>
      <c r="H604" s="103"/>
      <c r="I604" s="103" t="s">
        <v>2084</v>
      </c>
      <c r="J604" s="146"/>
      <c r="K604" s="157">
        <v>2.95</v>
      </c>
      <c r="L604" s="103" t="s">
        <v>1910</v>
      </c>
      <c r="M604" s="106"/>
      <c r="N604" s="157">
        <f>MouserListTable12[[#This Row],['# Initial]]*MouserListTable12[[#This Row],[Price (USD)]]</f>
        <v>2.95</v>
      </c>
      <c r="O604" s="106" t="s">
        <v>2085</v>
      </c>
      <c r="P604" s="103">
        <f t="shared" si="13"/>
        <v>585</v>
      </c>
      <c r="Q604" s="103" t="s">
        <v>1898</v>
      </c>
      <c r="R604"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485-433</v>
      </c>
      <c r="S604" s="195" t="str">
        <f>HYPERLINK("https://www.mouser.com/ProductDetail/" &amp;MouserListTable12[[#This Row],[Mouser SKU]])</f>
        <v>https://www.mouser.com/ProductDetail/485-433</v>
      </c>
      <c r="T604" s="121">
        <v>0</v>
      </c>
      <c r="U604" s="121">
        <v>1</v>
      </c>
      <c r="V604" s="121">
        <v>1</v>
      </c>
      <c r="W604" s="121">
        <f>MouserListTable12[[#This Row],['#/Unit]]*FilterSpecs!$C$3+MouserListTable12[[#This Row],[Extra]]</f>
        <v>1</v>
      </c>
      <c r="X604" s="121">
        <f>IF(MouserListTable12[[#This Row],[Tag]]=FilterSpecs!$F$7,MouserListTable12[[#This Row],['#/Unit]]*MouserListTable12[[#This Row],[Price (USD)]],0)</f>
        <v>0</v>
      </c>
      <c r="Y604" s="121">
        <f>MouserListTable12[[#This Row],[Tot '#]]*MouserListTable12[[#This Row],[Price (USD)]]</f>
        <v>2.95</v>
      </c>
      <c r="Z604"/>
    </row>
    <row r="605" spans="1:27" s="144" customFormat="1" x14ac:dyDescent="0.3">
      <c r="A605" s="103" t="s">
        <v>17</v>
      </c>
      <c r="B605" s="103" t="s">
        <v>1654</v>
      </c>
      <c r="C605" s="103" t="s">
        <v>1906</v>
      </c>
      <c r="D605" s="106" t="str">
        <f>IF(MouserListTable12[[#This Row],[Vendor]]=FilterSpecs!$A$8,MouserListTable12[[#This Row],[Mouser SKU]], MouserListTable12[[#This Row],[Supplier SKU]])</f>
        <v>485-432</v>
      </c>
      <c r="E605" s="121">
        <f>MouserListTable12[[#This Row],[Tot '#]]-MouserListTable12[[#This Row],['# Initial]]</f>
        <v>0</v>
      </c>
      <c r="F605" s="121">
        <f>IF(AND(MouserListTable12[[#This Row],[Tag]]&lt;&gt;FilterSpecs!$F$12, MouserListTable12[[#This Row],[Tag]]&lt;&gt;FilterSpecs!$F$9), MouserListTable12[[#This Row],['#/Unit]]*FilterSpecs!$B$3+MouserListTable12[[#This Row],[Extra Initial]],0)</f>
        <v>1</v>
      </c>
      <c r="G605" s="103"/>
      <c r="H605" s="103"/>
      <c r="I605" s="103" t="s">
        <v>2080</v>
      </c>
      <c r="J605" s="146"/>
      <c r="K605" s="157">
        <v>2.95</v>
      </c>
      <c r="L605" s="103" t="s">
        <v>1910</v>
      </c>
      <c r="M605" s="106"/>
      <c r="N605" s="157">
        <f>MouserListTable12[[#This Row],['# Initial]]*MouserListTable12[[#This Row],[Price (USD)]]</f>
        <v>2.95</v>
      </c>
      <c r="O605" s="106" t="s">
        <v>2081</v>
      </c>
      <c r="P605" s="103">
        <f t="shared" si="13"/>
        <v>586</v>
      </c>
      <c r="Q605" s="103" t="s">
        <v>1898</v>
      </c>
      <c r="R605"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485-432</v>
      </c>
      <c r="S605" s="195" t="str">
        <f>HYPERLINK("https://www.mouser.com/ProductDetail/" &amp;MouserListTable12[[#This Row],[Mouser SKU]])</f>
        <v>https://www.mouser.com/ProductDetail/485-432</v>
      </c>
      <c r="T605" s="121">
        <v>0</v>
      </c>
      <c r="U605" s="121">
        <v>1</v>
      </c>
      <c r="V605" s="121">
        <v>1</v>
      </c>
      <c r="W605" s="121">
        <f>MouserListTable12[[#This Row],['#/Unit]]*FilterSpecs!$C$3+MouserListTable12[[#This Row],[Extra]]</f>
        <v>1</v>
      </c>
      <c r="X605" s="121">
        <f>IF(MouserListTable12[[#This Row],[Tag]]=FilterSpecs!$F$7,MouserListTable12[[#This Row],['#/Unit]]*MouserListTable12[[#This Row],[Price (USD)]],0)</f>
        <v>0</v>
      </c>
      <c r="Y605" s="121">
        <f>MouserListTable12[[#This Row],[Tot '#]]*MouserListTable12[[#This Row],[Price (USD)]]</f>
        <v>2.95</v>
      </c>
      <c r="Z605"/>
    </row>
    <row r="606" spans="1:27" s="144" customFormat="1" x14ac:dyDescent="0.3">
      <c r="A606" s="103" t="s">
        <v>17</v>
      </c>
      <c r="B606" s="103" t="s">
        <v>1654</v>
      </c>
      <c r="C606" s="103" t="s">
        <v>1906</v>
      </c>
      <c r="D606" s="106" t="str">
        <f>IF(MouserListTable12[[#This Row],[Vendor]]=FilterSpecs!$A$8,MouserListTable12[[#This Row],[Mouser SKU]], MouserListTable12[[#This Row],[Supplier SKU]])</f>
        <v>485-427</v>
      </c>
      <c r="E606" s="121">
        <f>MouserListTable12[[#This Row],[Tot '#]]-MouserListTable12[[#This Row],['# Initial]]</f>
        <v>0</v>
      </c>
      <c r="F606" s="121">
        <f>IF(AND(MouserListTable12[[#This Row],[Tag]]&lt;&gt;FilterSpecs!$F$12, MouserListTable12[[#This Row],[Tag]]&lt;&gt;FilterSpecs!$F$9), MouserListTable12[[#This Row],['#/Unit]]*FilterSpecs!$B$3+MouserListTable12[[#This Row],[Extra Initial]],0)</f>
        <v>1</v>
      </c>
      <c r="G606" s="103"/>
      <c r="H606" s="103"/>
      <c r="I606" s="103" t="s">
        <v>2082</v>
      </c>
      <c r="J606" s="146"/>
      <c r="K606" s="157">
        <v>4</v>
      </c>
      <c r="L606" s="103" t="s">
        <v>1910</v>
      </c>
      <c r="M606" s="106"/>
      <c r="N606" s="157">
        <f>MouserListTable12[[#This Row],['# Initial]]*MouserListTable12[[#This Row],[Price (USD)]]</f>
        <v>4</v>
      </c>
      <c r="O606" s="106" t="s">
        <v>2083</v>
      </c>
      <c r="P606" s="103">
        <f t="shared" si="13"/>
        <v>587</v>
      </c>
      <c r="Q606" s="103" t="s">
        <v>1898</v>
      </c>
      <c r="R606"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485-427</v>
      </c>
      <c r="S606" s="195" t="str">
        <f>HYPERLINK("https://www.mouser.com/ProductDetail/" &amp;MouserListTable12[[#This Row],[Mouser SKU]])</f>
        <v>https://www.mouser.com/ProductDetail/485-427</v>
      </c>
      <c r="T606" s="121">
        <v>0</v>
      </c>
      <c r="U606" s="121">
        <v>1</v>
      </c>
      <c r="V606" s="121">
        <v>1</v>
      </c>
      <c r="W606" s="121">
        <f>MouserListTable12[[#This Row],['#/Unit]]*FilterSpecs!$C$3+MouserListTable12[[#This Row],[Extra]]</f>
        <v>1</v>
      </c>
      <c r="X606" s="121">
        <f>IF(MouserListTable12[[#This Row],[Tag]]=FilterSpecs!$F$7,MouserListTable12[[#This Row],['#/Unit]]*MouserListTable12[[#This Row],[Price (USD)]],0)</f>
        <v>0</v>
      </c>
      <c r="Y606" s="121">
        <f>MouserListTable12[[#This Row],[Tot '#]]*MouserListTable12[[#This Row],[Price (USD)]]</f>
        <v>4</v>
      </c>
      <c r="Z606"/>
    </row>
    <row r="607" spans="1:27" s="144" customFormat="1" x14ac:dyDescent="0.3">
      <c r="A607" s="103" t="s">
        <v>17</v>
      </c>
      <c r="B607" s="103" t="s">
        <v>1654</v>
      </c>
      <c r="C607" s="103" t="s">
        <v>1906</v>
      </c>
      <c r="D607" s="106" t="str">
        <f>IF(MouserListTable12[[#This Row],[Vendor]]=FilterSpecs!$A$8,MouserListTable12[[#This Row],[Mouser SKU]], MouserListTable12[[#This Row],[Supplier SKU]])</f>
        <v>485-431</v>
      </c>
      <c r="E607" s="121">
        <f>MouserListTable12[[#This Row],[Tot '#]]-MouserListTable12[[#This Row],['# Initial]]</f>
        <v>0</v>
      </c>
      <c r="F607" s="121">
        <f>IF(AND(MouserListTable12[[#This Row],[Tag]]&lt;&gt;FilterSpecs!$F$12, MouserListTable12[[#This Row],[Tag]]&lt;&gt;FilterSpecs!$F$9), MouserListTable12[[#This Row],['#/Unit]]*FilterSpecs!$B$3+MouserListTable12[[#This Row],[Extra Initial]],0)</f>
        <v>1</v>
      </c>
      <c r="G607" s="103"/>
      <c r="H607" s="103"/>
      <c r="I607" s="103" t="s">
        <v>2076</v>
      </c>
      <c r="J607" s="146"/>
      <c r="K607" s="157">
        <v>4</v>
      </c>
      <c r="L607" s="103" t="s">
        <v>1910</v>
      </c>
      <c r="M607" s="106"/>
      <c r="N607" s="157">
        <f>MouserListTable12[[#This Row],['# Initial]]*MouserListTable12[[#This Row],[Price (USD)]]</f>
        <v>4</v>
      </c>
      <c r="O607" s="106" t="s">
        <v>2077</v>
      </c>
      <c r="P607" s="103">
        <f t="shared" si="13"/>
        <v>588</v>
      </c>
      <c r="Q607" s="103" t="s">
        <v>1898</v>
      </c>
      <c r="R607" s="121"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485-431</v>
      </c>
      <c r="S607" s="195" t="str">
        <f>HYPERLINK("https://www.mouser.com/ProductDetail/" &amp;MouserListTable12[[#This Row],[Mouser SKU]])</f>
        <v>https://www.mouser.com/ProductDetail/485-431</v>
      </c>
      <c r="T607" s="121">
        <v>0</v>
      </c>
      <c r="U607" s="121">
        <v>1</v>
      </c>
      <c r="V607" s="121">
        <v>1</v>
      </c>
      <c r="W607" s="121">
        <f>MouserListTable12[[#This Row],['#/Unit]]*FilterSpecs!$C$3+MouserListTable12[[#This Row],[Extra]]</f>
        <v>1</v>
      </c>
      <c r="X607" s="121">
        <f>IF(MouserListTable12[[#This Row],[Tag]]=FilterSpecs!$F$7,MouserListTable12[[#This Row],['#/Unit]]*MouserListTable12[[#This Row],[Price (USD)]],0)</f>
        <v>0</v>
      </c>
      <c r="Y607" s="121">
        <f>MouserListTable12[[#This Row],[Tot '#]]*MouserListTable12[[#This Row],[Price (USD)]]</f>
        <v>4</v>
      </c>
      <c r="Z607"/>
    </row>
    <row r="608" spans="1:27" x14ac:dyDescent="0.3">
      <c r="A608" s="51" t="s">
        <v>1411</v>
      </c>
      <c r="B608" s="51">
        <f>SUBTOTAL(103,MouserListTable12[Category])</f>
        <v>178</v>
      </c>
      <c r="D608" s="12"/>
      <c r="E608" s="12">
        <f>SUBTOTAL(109,MouserListTable12['# Left])</f>
        <v>42</v>
      </c>
      <c r="F608" s="12"/>
      <c r="G608" s="12"/>
      <c r="H608" s="12"/>
      <c r="I608" s="12"/>
      <c r="J608" s="12"/>
      <c r="K608" s="14">
        <f>SUBTOTAL(101,MouserListTable12[Price (USD)])</f>
        <v>5.6275842696629397</v>
      </c>
      <c r="L608" s="14"/>
      <c r="M608" s="12">
        <f>SUBTOTAL(103,MouserListTable12[Description/Comments])</f>
        <v>10</v>
      </c>
      <c r="N608" s="12">
        <f>SUBTOTAL(109,MouserListTable12[Total Price])</f>
        <v>3766.4099999999944</v>
      </c>
      <c r="O608" s="12">
        <f>SUBTOTAL(103,MouserListTable12[Supplier SKU])</f>
        <v>178</v>
      </c>
      <c r="P608" s="12">
        <f>SUBTOTAL(104,MouserListTable12[List '#])</f>
        <v>588</v>
      </c>
      <c r="Q608" s="12"/>
      <c r="R608" s="12"/>
      <c r="S608" s="12"/>
      <c r="T608" s="12"/>
      <c r="U608" s="12"/>
      <c r="V608" s="12"/>
      <c r="W608" s="12"/>
      <c r="X608" s="12">
        <f>SUBTOTAL(109,MouserListTable12[$/Unit])</f>
        <v>638.2000000000005</v>
      </c>
      <c r="Y608" s="12">
        <f>SUBTOTAL(109,MouserListTable12[Total $])</f>
        <v>3919.4599999999946</v>
      </c>
      <c r="Z608" s="194"/>
      <c r="AA608" s="146"/>
    </row>
    <row r="609" spans="1:28" x14ac:dyDescent="0.3">
      <c r="A609" s="51">
        <f>Primary!A154+Secondary!A42+'Advanced&amp;Optional'!A29+'SmartHome&amp;IoT'!A43+Hardware!A47+LowLevel!A242+Tools!A42</f>
        <v>585</v>
      </c>
      <c r="D609" s="12"/>
      <c r="E609" s="12"/>
      <c r="F609" s="12"/>
      <c r="G609" s="12"/>
      <c r="H609" s="12"/>
      <c r="I609" s="12"/>
      <c r="J609" s="12"/>
      <c r="K609" s="12"/>
      <c r="L609" s="12"/>
      <c r="AA609" s="194"/>
      <c r="AB609" s="146"/>
    </row>
    <row r="610" spans="1:28" ht="15" thickBot="1" x14ac:dyDescent="0.35">
      <c r="D610" s="12"/>
      <c r="E610" s="12"/>
      <c r="F610" s="12"/>
      <c r="G610" s="12"/>
      <c r="H610" s="12"/>
      <c r="I610" s="12"/>
      <c r="J610" s="12"/>
      <c r="K610" s="12"/>
      <c r="L610" s="12"/>
      <c r="AA610" s="194"/>
      <c r="AB610" s="146"/>
    </row>
    <row r="611" spans="1:28" ht="19.2" thickTop="1" thickBot="1" x14ac:dyDescent="0.35">
      <c r="A611" s="175" t="s">
        <v>2584</v>
      </c>
      <c r="B611" s="175" t="s">
        <v>2585</v>
      </c>
      <c r="C611" s="176" t="s">
        <v>2586</v>
      </c>
      <c r="D611" s="12"/>
      <c r="E611" s="12"/>
      <c r="F611" s="12"/>
      <c r="G611" s="12"/>
      <c r="H611" s="12"/>
      <c r="I611" s="12"/>
      <c r="J611" s="12"/>
      <c r="K611" s="12"/>
      <c r="L611" s="12"/>
      <c r="AA611" s="194"/>
      <c r="AB611" s="146"/>
    </row>
    <row r="612" spans="1:28" ht="16.8" thickTop="1" thickBot="1" x14ac:dyDescent="0.35">
      <c r="A612" s="170" t="str">
        <f>FilterSpecs!C6</f>
        <v>Primary Component</v>
      </c>
      <c r="B612" s="171">
        <f>SUMIF(MouserListTable12[Type],"=" &amp; FilterSpecs!$C6,MouserListTable12[Total Price])</f>
        <v>2084.5500000000002</v>
      </c>
      <c r="C612" s="171">
        <f>SUMIF(MouserListTable12[Type],"=" &amp; FilterSpecs!$C6,MouserListTable12[Total $])</f>
        <v>2987.7000000000003</v>
      </c>
      <c r="D612" s="12"/>
      <c r="E612" s="12"/>
      <c r="F612" s="12"/>
      <c r="G612" s="12"/>
      <c r="H612" s="12"/>
      <c r="I612" s="12"/>
      <c r="J612" s="12"/>
      <c r="K612" s="12"/>
      <c r="L612" s="12"/>
      <c r="AA612" s="194"/>
      <c r="AB612" s="146"/>
    </row>
    <row r="613" spans="1:28" ht="16.8" thickTop="1" thickBot="1" x14ac:dyDescent="0.35">
      <c r="A613" s="170" t="str">
        <f>FilterSpecs!C7</f>
        <v>Secondary Component</v>
      </c>
      <c r="B613" s="172">
        <f>SUMIF(MouserListTable12[Type],"=" &amp; FilterSpecs!$C7,MouserListTable12[Total Price])</f>
        <v>281.62</v>
      </c>
      <c r="C613" s="172">
        <f>SUMIF(MouserListTable12[Type],"=" &amp; FilterSpecs!$C7,MouserListTable12[Total $])</f>
        <v>402.82</v>
      </c>
      <c r="D613" s="12"/>
      <c r="E613" s="12"/>
      <c r="F613" s="12"/>
      <c r="G613" s="12"/>
      <c r="H613" s="12"/>
      <c r="I613" s="12"/>
      <c r="J613" s="12"/>
      <c r="K613" s="12"/>
      <c r="L613" s="12"/>
      <c r="AA613" s="194"/>
      <c r="AB613" s="146"/>
    </row>
    <row r="614" spans="1:28" ht="16.8" thickTop="1" thickBot="1" x14ac:dyDescent="0.35">
      <c r="A614" s="170" t="str">
        <f>FilterSpecs!C8</f>
        <v>Advanced &amp; Optional Components</v>
      </c>
      <c r="B614" s="172">
        <f>SUMIF(MouserListTable12[Type],"=" &amp; FilterSpecs!$C8,MouserListTable12[Total Price])</f>
        <v>0</v>
      </c>
      <c r="C614" s="172">
        <f>SUMIF(MouserListTable12[Type],"=" &amp; FilterSpecs!$C8,MouserListTable12[Total $])</f>
        <v>1127.2500000000002</v>
      </c>
      <c r="D614" s="12"/>
      <c r="E614" s="12"/>
      <c r="F614" s="12"/>
      <c r="G614" s="12"/>
      <c r="H614" s="12"/>
      <c r="I614" s="12"/>
      <c r="J614" s="12"/>
      <c r="K614" s="12"/>
      <c r="L614" s="12"/>
      <c r="AA614" s="194"/>
      <c r="AB614" s="146"/>
    </row>
    <row r="615" spans="1:28" ht="16.8" thickTop="1" thickBot="1" x14ac:dyDescent="0.35">
      <c r="A615" s="170" t="str">
        <f>FilterSpecs!C9</f>
        <v>Smart-Home/IoT Network Integration (Fixed)</v>
      </c>
      <c r="B615" s="172">
        <f>SUMIF(MouserListTable12[Type],"=" &amp; FilterSpecs!$C9,MouserListTable12[Total Price])</f>
        <v>0</v>
      </c>
      <c r="C615" s="172">
        <f>SUMIF(MouserListTable12[Type],"=" &amp; FilterSpecs!$C9,MouserListTable12[Total $])</f>
        <v>605.09999999999991</v>
      </c>
      <c r="D615" s="12"/>
      <c r="E615" s="12"/>
      <c r="F615" s="12"/>
      <c r="G615" s="12"/>
      <c r="H615" s="12"/>
      <c r="I615" s="12"/>
      <c r="J615" s="12"/>
      <c r="K615" s="12"/>
      <c r="L615" s="12"/>
      <c r="AA615" s="194"/>
      <c r="AB615" s="146"/>
    </row>
    <row r="616" spans="1:28" ht="16.8" thickTop="1" thickBot="1" x14ac:dyDescent="0.35">
      <c r="A616" s="170" t="str">
        <f>FilterSpecs!C10</f>
        <v>Smart-Home/IoT Network Integration (Portable)</v>
      </c>
      <c r="B616" s="172">
        <f>SUMIF(MouserListTable12[Type],"=" &amp; FilterSpecs!$C10,MouserListTable12[Total Price])</f>
        <v>0</v>
      </c>
      <c r="C616" s="172">
        <f>SUMIF(MouserListTable12[Type],"=" &amp; FilterSpecs!$C10,MouserListTable12[Total $])</f>
        <v>193.8</v>
      </c>
      <c r="D616" s="12"/>
      <c r="E616" s="12"/>
      <c r="F616" s="12"/>
      <c r="G616" s="12"/>
      <c r="H616" s="12"/>
      <c r="I616" s="12"/>
      <c r="J616" s="12"/>
      <c r="K616" s="12"/>
      <c r="L616" s="12"/>
      <c r="AA616" s="194"/>
      <c r="AB616" s="146"/>
    </row>
    <row r="617" spans="1:28" ht="16.8" thickTop="1" thickBot="1" x14ac:dyDescent="0.35">
      <c r="A617" s="170" t="str">
        <f>FilterSpecs!C11</f>
        <v>Hardware Component</v>
      </c>
      <c r="B617" s="172">
        <f>SUMIF(MouserListTable12[Type],"=" &amp; FilterSpecs!$C11,MouserListTable12[Total Price])</f>
        <v>562.95000000000005</v>
      </c>
      <c r="C617" s="172">
        <f>SUMIF(MouserListTable12[Type],"=" &amp; FilterSpecs!$C11,MouserListTable12[Total $])</f>
        <v>749.1</v>
      </c>
      <c r="D617" s="12"/>
      <c r="E617" s="12"/>
      <c r="F617" s="12"/>
      <c r="G617" s="12"/>
      <c r="H617" s="12"/>
      <c r="I617" s="12"/>
      <c r="J617" s="12"/>
      <c r="K617" s="12"/>
      <c r="L617" s="12"/>
      <c r="AA617" s="194"/>
      <c r="AB617" s="146"/>
    </row>
    <row r="618" spans="1:28" ht="16.8" thickTop="1" thickBot="1" x14ac:dyDescent="0.35">
      <c r="A618" s="170" t="str">
        <f>FilterSpecs!C12</f>
        <v>Low-Level Electronics</v>
      </c>
      <c r="B618" s="172">
        <f>SUMIF(MouserListTable12[Type],"=" &amp; FilterSpecs!$C12,MouserListTable12[Total Price])</f>
        <v>739.40000000000009</v>
      </c>
      <c r="C618" s="172">
        <f>SUMIF(MouserListTable12[Type],"=" &amp; FilterSpecs!$C12,MouserListTable12[Total $])</f>
        <v>905.85000000000025</v>
      </c>
      <c r="D618" s="12"/>
      <c r="E618" s="12"/>
      <c r="F618" s="12"/>
      <c r="G618" s="12"/>
      <c r="H618" s="12"/>
      <c r="I618" s="12"/>
      <c r="J618" s="12"/>
      <c r="K618" s="12"/>
      <c r="L618" s="12"/>
      <c r="AA618" s="194"/>
      <c r="AB618" s="146"/>
    </row>
    <row r="619" spans="1:28" ht="16.8" thickTop="1" thickBot="1" x14ac:dyDescent="0.35">
      <c r="A619" s="173" t="str">
        <f>FilterSpecs!C13</f>
        <v>Tools</v>
      </c>
      <c r="B619" s="174">
        <f>SUMIF(MouserListTable12[Type],"=" &amp; FilterSpecs!$C13,MouserListTable12[Total Price])</f>
        <v>157.88999999999996</v>
      </c>
      <c r="C619" s="174">
        <f>SUMIF(MouserListTable12[Type],"=" &amp; FilterSpecs!$C13,MouserListTable12[Total $])</f>
        <v>191.7399999999999</v>
      </c>
      <c r="D619" s="12"/>
      <c r="E619" s="12"/>
      <c r="F619" s="12"/>
      <c r="G619" s="12"/>
      <c r="H619" s="12"/>
      <c r="I619" s="12"/>
      <c r="J619" s="12"/>
      <c r="K619" s="12"/>
      <c r="L619" s="12"/>
      <c r="AA619" s="194"/>
      <c r="AB619" s="146"/>
    </row>
    <row r="620" spans="1:28" ht="19.2" thickTop="1" thickBot="1" x14ac:dyDescent="0.35">
      <c r="A620" s="175">
        <f>SUBTOTAL(103,Table12[Cost Breakdown])</f>
        <v>8</v>
      </c>
      <c r="B620" s="177">
        <f>SUBTOTAL(109,Table12[Initial Order])</f>
        <v>3826.41</v>
      </c>
      <c r="C620" s="178">
        <f>SUBTOTAL(109,Table12[Total Order])</f>
        <v>7163.3600000000015</v>
      </c>
      <c r="D620" s="12"/>
      <c r="E620" s="12"/>
      <c r="F620" s="12"/>
      <c r="G620" s="12"/>
      <c r="H620" s="12"/>
      <c r="I620" s="12"/>
      <c r="J620" s="12"/>
      <c r="K620" s="12"/>
      <c r="L620" s="12"/>
      <c r="AA620" s="194"/>
      <c r="AB620" s="146"/>
    </row>
    <row r="621" spans="1:28" ht="15" thickTop="1" x14ac:dyDescent="0.3">
      <c r="D621" s="12"/>
      <c r="E621" s="12"/>
      <c r="F621" s="12"/>
      <c r="G621" s="12"/>
      <c r="AA621" s="194"/>
      <c r="AB621" s="146"/>
    </row>
    <row r="622" spans="1:28" s="144" customFormat="1" ht="33.6" x14ac:dyDescent="0.3">
      <c r="A622" s="187" t="s">
        <v>2485</v>
      </c>
      <c r="B622" s="187"/>
      <c r="C622" s="137"/>
      <c r="D622" s="12"/>
      <c r="E622" s="12"/>
      <c r="F622" s="12"/>
      <c r="G622" s="12"/>
      <c r="AA622" s="194"/>
      <c r="AB622" s="146"/>
    </row>
    <row r="623" spans="1:28" s="86" customFormat="1" x14ac:dyDescent="0.3">
      <c r="A623" s="12" t="s">
        <v>896</v>
      </c>
      <c r="B623" s="12" t="s">
        <v>994</v>
      </c>
      <c r="C623" s="12" t="s">
        <v>8</v>
      </c>
      <c r="D623" s="12" t="s">
        <v>1771</v>
      </c>
      <c r="E623" s="89">
        <v>1</v>
      </c>
      <c r="F623" s="89">
        <v>1</v>
      </c>
      <c r="G623" s="12" t="s">
        <v>1772</v>
      </c>
      <c r="H623" s="12" t="s">
        <v>1773</v>
      </c>
      <c r="I623" s="12" t="s">
        <v>1774</v>
      </c>
      <c r="J623" s="12">
        <v>1</v>
      </c>
      <c r="K623" s="89">
        <v>9.9499999999999993</v>
      </c>
      <c r="L623" s="12" t="s">
        <v>1910</v>
      </c>
      <c r="AA623" s="194"/>
      <c r="AB623" s="146"/>
    </row>
    <row r="624" spans="1:28" s="86" customFormat="1" x14ac:dyDescent="0.3">
      <c r="A624" s="12" t="s">
        <v>896</v>
      </c>
      <c r="B624" s="12" t="s">
        <v>994</v>
      </c>
      <c r="C624" s="12" t="s">
        <v>1898</v>
      </c>
      <c r="D624" s="12" t="s">
        <v>2112</v>
      </c>
      <c r="E624" s="89">
        <v>0</v>
      </c>
      <c r="F624" s="89">
        <v>0</v>
      </c>
      <c r="G624" s="12"/>
      <c r="H624" s="12"/>
      <c r="I624" s="12" t="s">
        <v>2113</v>
      </c>
      <c r="K624" s="89">
        <v>14.95</v>
      </c>
      <c r="L624" s="12" t="s">
        <v>1910</v>
      </c>
      <c r="AA624" s="194"/>
      <c r="AB624" s="146"/>
    </row>
    <row r="625" spans="1:28" s="86" customFormat="1" x14ac:dyDescent="0.3">
      <c r="A625" s="12" t="s">
        <v>896</v>
      </c>
      <c r="B625" s="12" t="s">
        <v>994</v>
      </c>
      <c r="C625" s="12" t="s">
        <v>1898</v>
      </c>
      <c r="D625" s="12" t="s">
        <v>2100</v>
      </c>
      <c r="E625" s="89">
        <v>0</v>
      </c>
      <c r="F625" s="89">
        <v>0</v>
      </c>
      <c r="G625" s="12"/>
      <c r="H625" s="12"/>
      <c r="I625" s="12" t="s">
        <v>2101</v>
      </c>
      <c r="K625" s="89">
        <v>9.9499999999999993</v>
      </c>
      <c r="L625" s="12" t="s">
        <v>1910</v>
      </c>
      <c r="AA625" s="194"/>
      <c r="AB625" s="146"/>
    </row>
    <row r="626" spans="1:28" s="86" customFormat="1" x14ac:dyDescent="0.3">
      <c r="A626" s="12" t="s">
        <v>896</v>
      </c>
      <c r="B626" s="12" t="s">
        <v>994</v>
      </c>
      <c r="C626" s="12" t="s">
        <v>1898</v>
      </c>
      <c r="D626" s="12" t="s">
        <v>2104</v>
      </c>
      <c r="E626" s="89">
        <v>0</v>
      </c>
      <c r="F626" s="89">
        <v>0</v>
      </c>
      <c r="G626" s="12"/>
      <c r="H626" s="12"/>
      <c r="I626" s="12" t="s">
        <v>2105</v>
      </c>
      <c r="K626" s="89">
        <v>14.95</v>
      </c>
      <c r="L626" s="12" t="s">
        <v>1910</v>
      </c>
    </row>
    <row r="627" spans="1:28" s="106" customFormat="1" x14ac:dyDescent="0.3">
      <c r="A627" s="103" t="s">
        <v>894</v>
      </c>
      <c r="B627" s="103" t="s">
        <v>2040</v>
      </c>
      <c r="C627" s="103" t="s">
        <v>8</v>
      </c>
      <c r="D627" s="103" t="s">
        <v>36</v>
      </c>
      <c r="E627" s="104">
        <v>5</v>
      </c>
      <c r="F627" s="104">
        <v>5</v>
      </c>
      <c r="G627" s="103" t="s">
        <v>37</v>
      </c>
      <c r="H627" s="103" t="s">
        <v>38</v>
      </c>
      <c r="I627" s="103" t="s">
        <v>39</v>
      </c>
      <c r="J627" s="106">
        <v>1</v>
      </c>
      <c r="K627" s="104">
        <v>29.95</v>
      </c>
      <c r="L627" s="103" t="s">
        <v>1911</v>
      </c>
      <c r="N627" s="106">
        <v>149.75</v>
      </c>
    </row>
    <row r="628" spans="1:28" s="106" customFormat="1" x14ac:dyDescent="0.3">
      <c r="A628" s="103" t="s">
        <v>894</v>
      </c>
      <c r="B628" s="103" t="s">
        <v>2031</v>
      </c>
      <c r="C628" s="103" t="s">
        <v>8</v>
      </c>
      <c r="D628" s="103" t="s">
        <v>116</v>
      </c>
      <c r="E628" s="104">
        <v>5</v>
      </c>
      <c r="F628" s="104">
        <v>5</v>
      </c>
      <c r="G628" s="103" t="s">
        <v>117</v>
      </c>
      <c r="H628" s="103" t="s">
        <v>118</v>
      </c>
      <c r="I628" s="103" t="s">
        <v>119</v>
      </c>
      <c r="J628" s="103">
        <v>1</v>
      </c>
      <c r="K628" s="104">
        <v>12.95</v>
      </c>
      <c r="L628" s="103" t="s">
        <v>1911</v>
      </c>
      <c r="N628" s="106">
        <v>64.75</v>
      </c>
    </row>
    <row r="629" spans="1:28" s="106" customFormat="1" x14ac:dyDescent="0.3">
      <c r="A629" s="103" t="s">
        <v>894</v>
      </c>
      <c r="B629" s="103" t="s">
        <v>13</v>
      </c>
      <c r="C629" s="103" t="s">
        <v>8</v>
      </c>
      <c r="D629" s="103" t="s">
        <v>260</v>
      </c>
      <c r="E629" s="104">
        <v>5</v>
      </c>
      <c r="F629" s="104">
        <v>5</v>
      </c>
      <c r="G629" s="103" t="s">
        <v>261</v>
      </c>
      <c r="H629" s="103" t="s">
        <v>262</v>
      </c>
      <c r="I629" s="103" t="s">
        <v>263</v>
      </c>
      <c r="J629" s="103">
        <v>1</v>
      </c>
      <c r="K629" s="104">
        <v>6.95</v>
      </c>
      <c r="L629" s="103" t="s">
        <v>1911</v>
      </c>
      <c r="N629" s="106">
        <v>34.75</v>
      </c>
    </row>
    <row r="630" spans="1:28" s="106" customFormat="1" x14ac:dyDescent="0.3">
      <c r="A630" s="103" t="s">
        <v>895</v>
      </c>
      <c r="B630" s="103" t="s">
        <v>899</v>
      </c>
      <c r="C630" s="103" t="s">
        <v>8</v>
      </c>
      <c r="D630" s="103" t="s">
        <v>363</v>
      </c>
      <c r="E630" s="104">
        <v>0</v>
      </c>
      <c r="F630" s="104">
        <v>0</v>
      </c>
      <c r="G630" s="103" t="s">
        <v>364</v>
      </c>
      <c r="H630" s="103" t="s">
        <v>365</v>
      </c>
      <c r="I630" s="103" t="s">
        <v>366</v>
      </c>
      <c r="J630" s="103">
        <v>1</v>
      </c>
      <c r="K630" s="104">
        <v>2.95</v>
      </c>
      <c r="L630" s="103" t="s">
        <v>2487</v>
      </c>
      <c r="M630" s="103"/>
      <c r="N630" s="103">
        <v>0</v>
      </c>
    </row>
    <row r="631" spans="1:28" s="106" customFormat="1" x14ac:dyDescent="0.3">
      <c r="A631" s="103" t="s">
        <v>895</v>
      </c>
      <c r="B631" s="103" t="s">
        <v>899</v>
      </c>
      <c r="C631" s="103" t="s">
        <v>8</v>
      </c>
      <c r="D631" s="103" t="s">
        <v>1185</v>
      </c>
      <c r="E631" s="104">
        <v>0</v>
      </c>
      <c r="F631" s="104">
        <v>0</v>
      </c>
      <c r="G631" s="103" t="s">
        <v>1186</v>
      </c>
      <c r="H631" s="103" t="s">
        <v>1187</v>
      </c>
      <c r="I631" s="103" t="s">
        <v>1188</v>
      </c>
      <c r="J631" s="103">
        <v>1</v>
      </c>
      <c r="K631" s="104">
        <v>9.9499999999999993</v>
      </c>
      <c r="L631" s="103" t="s">
        <v>2487</v>
      </c>
      <c r="N631" s="103">
        <v>0</v>
      </c>
    </row>
    <row r="632" spans="1:28" s="86" customFormat="1" x14ac:dyDescent="0.3">
      <c r="A632" s="12" t="s">
        <v>895</v>
      </c>
      <c r="B632" s="12" t="s">
        <v>1607</v>
      </c>
      <c r="C632" s="12" t="s">
        <v>8</v>
      </c>
      <c r="D632" s="12" t="s">
        <v>1108</v>
      </c>
      <c r="E632" s="89">
        <v>1</v>
      </c>
      <c r="F632" s="89">
        <v>1</v>
      </c>
      <c r="G632" s="12" t="s">
        <v>1109</v>
      </c>
      <c r="H632" s="12" t="s">
        <v>1110</v>
      </c>
      <c r="I632" s="12" t="s">
        <v>1111</v>
      </c>
      <c r="J632" s="12"/>
      <c r="K632" s="89">
        <v>24.95</v>
      </c>
      <c r="L632" s="12" t="s">
        <v>1910</v>
      </c>
      <c r="N632" s="12">
        <v>24.95</v>
      </c>
    </row>
    <row r="633" spans="1:28" s="149" customFormat="1" x14ac:dyDescent="0.3">
      <c r="A633" s="69" t="s">
        <v>1070</v>
      </c>
      <c r="B633" s="148" t="s">
        <v>1013</v>
      </c>
      <c r="C633" s="148" t="s">
        <v>8</v>
      </c>
      <c r="D633" s="69" t="s">
        <v>989</v>
      </c>
      <c r="E633" s="98">
        <v>0</v>
      </c>
      <c r="F633" s="98">
        <v>0</v>
      </c>
      <c r="G633" s="69" t="s">
        <v>990</v>
      </c>
      <c r="H633" s="69" t="s">
        <v>991</v>
      </c>
      <c r="I633" s="69" t="s">
        <v>992</v>
      </c>
      <c r="J633" s="69">
        <v>1</v>
      </c>
      <c r="K633" s="98">
        <v>44.95</v>
      </c>
      <c r="L633" s="69" t="s">
        <v>1914</v>
      </c>
      <c r="M633" s="69" t="s">
        <v>1057</v>
      </c>
      <c r="N633" s="69">
        <v>0</v>
      </c>
    </row>
    <row r="634" spans="1:28" s="86" customFormat="1" x14ac:dyDescent="0.3">
      <c r="A634" s="12" t="s">
        <v>1070</v>
      </c>
      <c r="B634" s="12" t="s">
        <v>1013</v>
      </c>
      <c r="C634" s="12" t="s">
        <v>1898</v>
      </c>
      <c r="D634" s="12" t="s">
        <v>2094</v>
      </c>
      <c r="E634" s="89">
        <v>0</v>
      </c>
      <c r="F634" s="89">
        <v>0</v>
      </c>
      <c r="G634" s="12"/>
      <c r="H634" s="12"/>
      <c r="I634" s="12" t="s">
        <v>2095</v>
      </c>
      <c r="J634" s="12"/>
      <c r="K634" s="89">
        <v>44.95</v>
      </c>
      <c r="L634" s="12" t="s">
        <v>1910</v>
      </c>
    </row>
    <row r="635" spans="1:28" s="86" customFormat="1" x14ac:dyDescent="0.3">
      <c r="A635" s="12" t="s">
        <v>1070</v>
      </c>
      <c r="B635" s="12" t="s">
        <v>2065</v>
      </c>
      <c r="C635" s="12" t="s">
        <v>1898</v>
      </c>
      <c r="D635" s="12" t="s">
        <v>2073</v>
      </c>
      <c r="E635" s="89">
        <v>1</v>
      </c>
      <c r="F635" s="89">
        <v>1</v>
      </c>
      <c r="G635" s="12"/>
      <c r="H635" s="12"/>
      <c r="I635" s="12" t="s">
        <v>2072</v>
      </c>
      <c r="J635" s="12"/>
      <c r="K635" s="89">
        <v>39.950000000000003</v>
      </c>
      <c r="L635" s="12" t="s">
        <v>1910</v>
      </c>
    </row>
    <row r="636" spans="1:28" s="86" customFormat="1" x14ac:dyDescent="0.3">
      <c r="A636" s="12" t="s">
        <v>1070</v>
      </c>
      <c r="B636" s="150" t="s">
        <v>2028</v>
      </c>
      <c r="C636" s="12" t="s">
        <v>1898</v>
      </c>
      <c r="D636" s="12" t="s">
        <v>2098</v>
      </c>
      <c r="E636" s="89">
        <v>0</v>
      </c>
      <c r="F636" s="89">
        <v>0</v>
      </c>
      <c r="G636" s="12"/>
      <c r="H636" s="12"/>
      <c r="I636" s="12" t="s">
        <v>2099</v>
      </c>
      <c r="K636" s="89">
        <v>44.95</v>
      </c>
      <c r="L636" s="12" t="s">
        <v>1910</v>
      </c>
    </row>
    <row r="637" spans="1:28" s="105" customFormat="1" x14ac:dyDescent="0.3">
      <c r="A637" s="102" t="s">
        <v>1070</v>
      </c>
      <c r="B637" s="117" t="s">
        <v>1437</v>
      </c>
      <c r="C637" s="117" t="s">
        <v>8</v>
      </c>
      <c r="D637" s="103" t="s">
        <v>977</v>
      </c>
      <c r="E637" s="104">
        <v>1</v>
      </c>
      <c r="F637" s="104">
        <v>1</v>
      </c>
      <c r="G637" s="103" t="s">
        <v>978</v>
      </c>
      <c r="H637" s="103" t="s">
        <v>979</v>
      </c>
      <c r="I637" s="103" t="s">
        <v>980</v>
      </c>
      <c r="J637" s="103">
        <v>1</v>
      </c>
      <c r="K637" s="104">
        <v>49.95</v>
      </c>
      <c r="L637" s="103" t="s">
        <v>1910</v>
      </c>
      <c r="M637" s="103" t="s">
        <v>1061</v>
      </c>
      <c r="N637" s="103">
        <v>49.95</v>
      </c>
    </row>
  </sheetData>
  <mergeCells count="1">
    <mergeCell ref="A622:B622"/>
  </mergeCells>
  <conditionalFormatting sqref="A14:Y607">
    <cfRule type="expression" dxfId="296" priority="50">
      <formula>AND(($F14=0),NOT(ISBLANK($F14)))</formula>
    </cfRule>
  </conditionalFormatting>
  <conditionalFormatting sqref="F623:F637">
    <cfRule type="expression" dxfId="295" priority="41">
      <formula>AND(($E623=0),NOT(ISBLANK($E623)))</formula>
    </cfRule>
  </conditionalFormatting>
  <dataValidations xWindow="618" yWindow="364" count="4">
    <dataValidation type="list" allowBlank="1" showInputMessage="1" showErrorMessage="1" sqref="A271" xr:uid="{C70301B2-72B7-4BB4-87E9-DDFC99B7C927}">
      <formula1>$C$6:$C$13</formula1>
    </dataValidation>
    <dataValidation allowBlank="1" showInputMessage="1" showErrorMessage="1" prompt="Title of this worksheet is in this cell" sqref="A11" xr:uid="{58B28C1C-54C5-485C-A339-1495B58F7C7E}"/>
    <dataValidation allowBlank="1" showInputMessage="1" showErrorMessage="1" prompt="Title of this worksheet is in cells B1 through D1" sqref="A622" xr:uid="{A7B130D7-57D8-4E73-AFCE-5E4227D1AD52}"/>
    <dataValidation allowBlank="1" showInputMessage="1" showErrorMessage="1" prompt="Total Estimated Value of All Items is automatically calculated in cell at right. Enter Inventory Date in cell I2" sqref="A611:C611" xr:uid="{D2775CEF-F52C-450F-A93E-EB939E115231}"/>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51" id="{73BA1525-5F94-4709-A718-432212749FA3}">
            <xm:f>$L14=FilterSpecs!$F$13</xm:f>
            <x14:dxf>
              <font>
                <b/>
                <i val="0"/>
                <color theme="0"/>
              </font>
              <fill>
                <patternFill>
                  <bgColor theme="9" tint="-0.499984740745262"/>
                </patternFill>
              </fill>
            </x14:dxf>
          </x14:cfRule>
          <x14:cfRule type="expression" priority="161" id="{A3DA2E1C-CA49-447F-A640-0474ED98E085}">
            <xm:f>$L14=FilterSpecs!$F$11</xm:f>
            <x14:dxf>
              <font>
                <b/>
                <i val="0"/>
                <color theme="0"/>
              </font>
              <fill>
                <patternFill>
                  <bgColor rgb="FF00B050"/>
                </patternFill>
              </fill>
            </x14:dxf>
          </x14:cfRule>
          <x14:cfRule type="expression" priority="162" id="{167D13D1-AA1B-4A9F-9840-5161E6E20C2E}">
            <xm:f>$L14=FilterSpecs!$F$10</xm:f>
            <x14:dxf>
              <font>
                <b/>
                <i val="0"/>
                <color theme="0"/>
              </font>
              <fill>
                <patternFill>
                  <bgColor rgb="FF002060"/>
                </patternFill>
              </fill>
            </x14:dxf>
          </x14:cfRule>
          <x14:cfRule type="expression" priority="163" id="{74101E19-890B-4DD0-9583-7918E9D31EC1}">
            <xm:f>$L14=FilterSpecs!$F$9</xm:f>
            <x14:dxf>
              <font>
                <b/>
                <i val="0"/>
                <color theme="0"/>
              </font>
              <fill>
                <patternFill>
                  <bgColor rgb="FFFF0000"/>
                </patternFill>
              </fill>
            </x14:dxf>
          </x14:cfRule>
          <x14:cfRule type="expression" priority="164" id="{AC7570B1-D125-4612-ACA0-4EFAEE52A16B}">
            <xm:f>$L14=FilterSpecs!$F$8</xm:f>
            <x14:dxf>
              <font>
                <b/>
                <i val="0"/>
                <color theme="0"/>
              </font>
              <fill>
                <patternFill>
                  <bgColor rgb="FFFFC000"/>
                </patternFill>
              </fill>
            </x14:dxf>
          </x14:cfRule>
          <x14:cfRule type="expression" priority="165" id="{E88B3DDE-B311-4FB2-9A5B-2EF8A963446F}">
            <xm:f>$L14=FilterSpecs!$F$6</xm:f>
            <x14:dxf>
              <font>
                <b val="0"/>
                <i val="0"/>
              </font>
              <fill>
                <patternFill patternType="none">
                  <bgColor auto="1"/>
                </patternFill>
              </fill>
            </x14:dxf>
          </x14:cfRule>
          <x14:cfRule type="expression" priority="166" id="{7C38D4A5-59B5-4604-BC02-2B18381F2A1B}">
            <xm:f>$L14=FilterSpecs!$F$7</xm:f>
            <x14:dxf>
              <font>
                <b/>
                <i val="0"/>
                <color theme="0"/>
              </font>
              <fill>
                <patternFill>
                  <bgColor rgb="FF00B0F0"/>
                </patternFill>
              </fill>
            </x14:dxf>
          </x14:cfRule>
          <xm:sqref>A14:Y607</xm:sqref>
        </x14:conditionalFormatting>
        <x14:conditionalFormatting xmlns:xm="http://schemas.microsoft.com/office/excel/2006/main">
          <x14:cfRule type="expression" priority="5103" id="{05F12634-AA3D-420C-ACAD-2AA7BDF1180F}">
            <xm:f>$M623=FilterSpecs!$F$13</xm:f>
            <x14:dxf>
              <font>
                <b/>
                <i val="0"/>
                <color theme="0"/>
              </font>
              <fill>
                <patternFill>
                  <bgColor theme="9" tint="-0.499984740745262"/>
                </patternFill>
              </fill>
            </x14:dxf>
          </x14:cfRule>
          <x14:cfRule type="expression" priority="5104" id="{C97F98DC-FC72-44E0-AC1B-1189A17ACC4E}">
            <xm:f>$M623=FilterSpecs!$F$12</xm:f>
            <x14:dxf>
              <font>
                <b/>
                <i val="0"/>
                <color theme="0"/>
              </font>
              <fill>
                <patternFill>
                  <bgColor rgb="FFEC6E6E"/>
                </patternFill>
              </fill>
            </x14:dxf>
          </x14:cfRule>
          <x14:cfRule type="expression" priority="5105" id="{79900525-E6E1-4EDD-A6E3-30DA30DF82F4}">
            <xm:f>$M623=FilterSpecs!$F$11</xm:f>
            <x14:dxf>
              <font>
                <b/>
                <i val="0"/>
                <color theme="0"/>
              </font>
              <fill>
                <patternFill>
                  <bgColor rgb="FF00B050"/>
                </patternFill>
              </fill>
            </x14:dxf>
          </x14:cfRule>
          <x14:cfRule type="expression" priority="5106" id="{E9873F94-9D28-41DF-85D9-8138F41B3AAA}">
            <xm:f>$M623=FilterSpecs!$F$10</xm:f>
            <x14:dxf>
              <font>
                <b/>
                <i val="0"/>
                <color theme="0"/>
              </font>
              <fill>
                <patternFill>
                  <bgColor rgb="FF002060"/>
                </patternFill>
              </fill>
            </x14:dxf>
          </x14:cfRule>
          <x14:cfRule type="expression" priority="5107" id="{362007AA-BD77-40C8-AB4A-E029261750BB}">
            <xm:f>$M623=FilterSpecs!$F$9</xm:f>
            <x14:dxf>
              <font>
                <b/>
                <i val="0"/>
                <color theme="0"/>
              </font>
              <fill>
                <patternFill>
                  <bgColor rgb="FFFF0000"/>
                </patternFill>
              </fill>
            </x14:dxf>
          </x14:cfRule>
          <x14:cfRule type="expression" priority="5108" id="{6756CE8D-38C4-4243-8152-1DD4F6910657}">
            <xm:f>$M623=FilterSpecs!$F$8</xm:f>
            <x14:dxf>
              <font>
                <b/>
                <i val="0"/>
                <color theme="0"/>
              </font>
              <fill>
                <patternFill>
                  <bgColor rgb="FFFFC000"/>
                </patternFill>
              </fill>
            </x14:dxf>
          </x14:cfRule>
          <x14:cfRule type="expression" priority="5109" id="{64DD0D71-B8D1-4CFA-936B-7FD19F195A50}">
            <xm:f>$M623=FilterSpecs!$F$6</xm:f>
            <x14:dxf>
              <font>
                <b val="0"/>
                <i val="0"/>
              </font>
              <fill>
                <patternFill patternType="none">
                  <bgColor auto="1"/>
                </patternFill>
              </fill>
            </x14:dxf>
          </x14:cfRule>
          <x14:cfRule type="expression" priority="5110" id="{9491F1FA-038F-4A7B-8A13-B9CE21C51EBC}">
            <xm:f>$M623=FilterSpecs!$F$7</xm:f>
            <x14:dxf>
              <font>
                <b/>
                <i val="0"/>
                <color theme="0"/>
              </font>
              <fill>
                <patternFill>
                  <bgColor rgb="FF00B0F0"/>
                </patternFill>
              </fill>
            </x14:dxf>
          </x14:cfRule>
          <xm:sqref>G623:S637 D623:E637</xm:sqref>
        </x14:conditionalFormatting>
        <x14:conditionalFormatting xmlns:xm="http://schemas.microsoft.com/office/excel/2006/main">
          <x14:cfRule type="expression" priority="42" id="{6FE87353-5C31-4CD8-A2D6-2B93AADF5CB7}">
            <xm:f>$M623=FilterSpecs!$F$13</xm:f>
            <x14:dxf>
              <font>
                <b/>
                <i val="0"/>
                <color theme="0"/>
              </font>
              <fill>
                <patternFill>
                  <bgColor theme="9" tint="-0.499984740745262"/>
                </patternFill>
              </fill>
            </x14:dxf>
          </x14:cfRule>
          <x14:cfRule type="expression" priority="43" id="{A17AEA77-4CB6-4D52-88C5-B0D1029CBA99}">
            <xm:f>$M623=FilterSpecs!$F$12</xm:f>
            <x14:dxf>
              <font>
                <b/>
                <i val="0"/>
                <color theme="0"/>
              </font>
              <fill>
                <patternFill>
                  <bgColor rgb="FFEC6E6E"/>
                </patternFill>
              </fill>
            </x14:dxf>
          </x14:cfRule>
          <x14:cfRule type="expression" priority="44" id="{F5FBEBAB-3CEE-4528-B98B-F3167D66BC5B}">
            <xm:f>$M623=FilterSpecs!$F$11</xm:f>
            <x14:dxf>
              <font>
                <b/>
                <i val="0"/>
                <color theme="0"/>
              </font>
              <fill>
                <patternFill>
                  <bgColor rgb="FF00B050"/>
                </patternFill>
              </fill>
            </x14:dxf>
          </x14:cfRule>
          <x14:cfRule type="expression" priority="45" id="{B9B8FF12-B843-46BD-9B16-CCF72E9A4229}">
            <xm:f>$M623=FilterSpecs!$F$10</xm:f>
            <x14:dxf>
              <font>
                <b/>
                <i val="0"/>
                <color theme="0"/>
              </font>
              <fill>
                <patternFill>
                  <bgColor rgb="FF002060"/>
                </patternFill>
              </fill>
            </x14:dxf>
          </x14:cfRule>
          <x14:cfRule type="expression" priority="46" id="{092B66BC-2C1E-4EBE-8520-4963832C1CF0}">
            <xm:f>$M623=FilterSpecs!$F$9</xm:f>
            <x14:dxf>
              <font>
                <b/>
                <i val="0"/>
                <color theme="0"/>
              </font>
              <fill>
                <patternFill>
                  <bgColor rgb="FFFF0000"/>
                </patternFill>
              </fill>
            </x14:dxf>
          </x14:cfRule>
          <x14:cfRule type="expression" priority="47" id="{DC6FDE5C-C234-4FD5-A2DC-1F367F999155}">
            <xm:f>$M623=FilterSpecs!$F$8</xm:f>
            <x14:dxf>
              <font>
                <b/>
                <i val="0"/>
                <color theme="0"/>
              </font>
              <fill>
                <patternFill>
                  <bgColor rgb="FFFFC000"/>
                </patternFill>
              </fill>
            </x14:dxf>
          </x14:cfRule>
          <x14:cfRule type="expression" priority="48" id="{7736FA90-2DF3-442F-85CC-96BBC19B5F77}">
            <xm:f>$M623=FilterSpecs!$F$6</xm:f>
            <x14:dxf>
              <font>
                <b val="0"/>
                <i val="0"/>
              </font>
              <fill>
                <patternFill patternType="none">
                  <bgColor auto="1"/>
                </patternFill>
              </fill>
            </x14:dxf>
          </x14:cfRule>
          <x14:cfRule type="expression" priority="49" id="{66A408B1-3AE1-4B0A-81B0-491BADDCD7DB}">
            <xm:f>$M623=FilterSpecs!$F$7</xm:f>
            <x14:dxf>
              <font>
                <b/>
                <i val="0"/>
                <color theme="0"/>
              </font>
              <fill>
                <patternFill>
                  <bgColor rgb="FF00B0F0"/>
                </patternFill>
              </fill>
            </x14:dxf>
          </x14:cfRule>
          <xm:sqref>F623:F637</xm:sqref>
        </x14:conditionalFormatting>
        <x14:conditionalFormatting xmlns:xm="http://schemas.microsoft.com/office/excel/2006/main">
          <x14:cfRule type="expression" priority="5140" id="{05F12634-AA3D-420C-ACAD-2AA7BDF1180F}">
            <xm:f>$M623=FilterSpecs!$F$13</xm:f>
            <x14:dxf>
              <font>
                <b/>
                <i val="0"/>
                <color theme="0"/>
              </font>
              <fill>
                <patternFill>
                  <bgColor theme="9" tint="-0.499984740745262"/>
                </patternFill>
              </fill>
            </x14:dxf>
          </x14:cfRule>
          <x14:cfRule type="expression" priority="5141" id="{C97F98DC-FC72-44E0-AC1B-1189A17ACC4E}">
            <xm:f>$M623=FilterSpecs!$F$12</xm:f>
            <x14:dxf>
              <font>
                <b/>
                <i val="0"/>
                <color theme="0"/>
              </font>
              <fill>
                <patternFill>
                  <bgColor rgb="FFEC6E6E"/>
                </patternFill>
              </fill>
            </x14:dxf>
          </x14:cfRule>
          <x14:cfRule type="expression" priority="5142" id="{79900525-E6E1-4EDD-A6E3-30DA30DF82F4}">
            <xm:f>$M623=FilterSpecs!$F$11</xm:f>
            <x14:dxf>
              <font>
                <b/>
                <i val="0"/>
                <color theme="0"/>
              </font>
              <fill>
                <patternFill>
                  <bgColor rgb="FF00B050"/>
                </patternFill>
              </fill>
            </x14:dxf>
          </x14:cfRule>
          <x14:cfRule type="expression" priority="5143" id="{E9873F94-9D28-41DF-85D9-8138F41B3AAA}">
            <xm:f>$M623=FilterSpecs!$F$10</xm:f>
            <x14:dxf>
              <font>
                <b/>
                <i val="0"/>
                <color theme="0"/>
              </font>
              <fill>
                <patternFill>
                  <bgColor rgb="FF002060"/>
                </patternFill>
              </fill>
            </x14:dxf>
          </x14:cfRule>
          <x14:cfRule type="expression" priority="5144" id="{362007AA-BD77-40C8-AB4A-E029261750BB}">
            <xm:f>$M623=FilterSpecs!$F$9</xm:f>
            <x14:dxf>
              <font>
                <b/>
                <i val="0"/>
                <color theme="0"/>
              </font>
              <fill>
                <patternFill>
                  <bgColor rgb="FFFF0000"/>
                </patternFill>
              </fill>
            </x14:dxf>
          </x14:cfRule>
          <x14:cfRule type="expression" priority="5145" id="{6756CE8D-38C4-4243-8152-1DD4F6910657}">
            <xm:f>$M623=FilterSpecs!$F$8</xm:f>
            <x14:dxf>
              <font>
                <b/>
                <i val="0"/>
                <color theme="0"/>
              </font>
              <fill>
                <patternFill>
                  <bgColor rgb="FFFFC000"/>
                </patternFill>
              </fill>
            </x14:dxf>
          </x14:cfRule>
          <x14:cfRule type="expression" priority="5146" id="{64DD0D71-B8D1-4CFA-936B-7FD19F195A50}">
            <xm:f>$M623=FilterSpecs!$F$6</xm:f>
            <x14:dxf>
              <font>
                <b val="0"/>
                <i val="0"/>
              </font>
              <fill>
                <patternFill patternType="none">
                  <bgColor auto="1"/>
                </patternFill>
              </fill>
            </x14:dxf>
          </x14:cfRule>
          <x14:cfRule type="expression" priority="5147" id="{9491F1FA-038F-4A7B-8A13-B9CE21C51EBC}">
            <xm:f>$M623=FilterSpecs!$F$7</xm:f>
            <x14:dxf>
              <font>
                <b/>
                <i val="0"/>
                <color theme="0"/>
              </font>
              <fill>
                <patternFill>
                  <bgColor rgb="FF00B0F0"/>
                </patternFill>
              </fill>
            </x14:dxf>
          </x14:cfRule>
          <xm:sqref>A623:C637</xm:sqref>
        </x14:conditionalFormatting>
      </x14:conditionalFormattings>
    </ext>
    <ext xmlns:x14="http://schemas.microsoft.com/office/spreadsheetml/2009/9/main" uri="{CCE6A557-97BC-4b89-ADB6-D9C93CAAB3DF}">
      <x14:dataValidations xmlns:xm="http://schemas.microsoft.com/office/excel/2006/main" xWindow="618" yWindow="364" count="1">
        <x14:dataValidation type="list" allowBlank="1" showInputMessage="1" showErrorMessage="1" xr:uid="{67003A74-4C1D-4CE9-BA5D-67336AFE7495}">
          <x14:formula1>
            <xm:f>FilterSpecs!$C$6:$C$13</xm:f>
          </x14:formula1>
          <xm:sqref>A272:B272</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D505A-D246-48E6-90F1-D01995778948}">
  <sheetPr codeName="Sheet23">
    <tabColor rgb="FFF6F608"/>
  </sheetPr>
  <dimension ref="A1:L610"/>
  <sheetViews>
    <sheetView topLeftCell="A528" zoomScale="85" zoomScaleNormal="85" workbookViewId="0">
      <selection activeCell="H583" sqref="H583"/>
    </sheetView>
  </sheetViews>
  <sheetFormatPr defaultRowHeight="14.4" x14ac:dyDescent="0.3"/>
  <cols>
    <col min="1" max="1" width="8.109375" style="51" bestFit="1" customWidth="1"/>
    <col min="2" max="2" width="19.109375" style="51" bestFit="1" customWidth="1"/>
    <col min="3" max="3" width="7.33203125" style="51" bestFit="1" customWidth="1"/>
    <col min="4" max="4" width="84.5546875" style="51" bestFit="1" customWidth="1"/>
    <col min="5" max="5" width="13.44140625" style="51" bestFit="1" customWidth="1"/>
    <col min="6" max="6" width="18.6640625" bestFit="1" customWidth="1"/>
    <col min="7" max="7" width="13" bestFit="1" customWidth="1"/>
    <col min="8" max="8" width="13" style="51" customWidth="1"/>
    <col min="9" max="9" width="8.109375" bestFit="1" customWidth="1"/>
    <col min="10" max="11" width="9.5546875" style="51" customWidth="1"/>
    <col min="12" max="12" width="8.44140625" customWidth="1"/>
    <col min="13" max="13" width="15.33203125" customWidth="1"/>
    <col min="14" max="14" width="12.88671875" customWidth="1"/>
    <col min="15" max="15" width="13" customWidth="1"/>
    <col min="16" max="16" width="8.21875" customWidth="1"/>
    <col min="17" max="17" width="18.6640625" bestFit="1" customWidth="1"/>
    <col min="18" max="18" width="19.109375" bestFit="1" customWidth="1"/>
    <col min="19" max="19" width="9.21875" bestFit="1" customWidth="1"/>
    <col min="20" max="20" width="8.109375" bestFit="1" customWidth="1"/>
    <col min="21" max="21" width="13.6640625" bestFit="1" customWidth="1"/>
    <col min="22" max="22" width="7.77734375" customWidth="1"/>
  </cols>
  <sheetData>
    <row r="1" spans="1:11" ht="84.6" customHeight="1" x14ac:dyDescent="0.3"/>
    <row r="11" spans="1:11" ht="72" customHeight="1" thickBot="1" x14ac:dyDescent="0.35">
      <c r="A11" s="188" t="s">
        <v>2589</v>
      </c>
      <c r="B11" s="188"/>
      <c r="C11" s="188"/>
      <c r="D11" s="188"/>
      <c r="E11" s="188"/>
      <c r="F11" s="188"/>
    </row>
    <row r="12" spans="1:11" ht="6.6" customHeight="1" thickTop="1" x14ac:dyDescent="0.3">
      <c r="A12" s="108"/>
      <c r="B12" s="108"/>
      <c r="C12" s="108"/>
      <c r="D12" s="108"/>
      <c r="E12" s="108"/>
      <c r="F12" s="108"/>
      <c r="G12" s="146"/>
      <c r="H12"/>
      <c r="J12"/>
      <c r="K12"/>
    </row>
    <row r="13" spans="1:11" x14ac:dyDescent="0.3">
      <c r="A13" s="12" t="s">
        <v>2548</v>
      </c>
      <c r="B13" s="12" t="s">
        <v>25</v>
      </c>
      <c r="C13" s="12" t="s">
        <v>2549</v>
      </c>
      <c r="D13" s="12" t="s">
        <v>29</v>
      </c>
      <c r="E13" s="12" t="s">
        <v>31</v>
      </c>
      <c r="F13" s="12" t="s">
        <v>2588</v>
      </c>
      <c r="H13"/>
      <c r="J13"/>
      <c r="K13"/>
    </row>
    <row r="14" spans="1:11" s="149" customFormat="1" hidden="1" x14ac:dyDescent="0.3">
      <c r="A14" s="103">
        <f>IF(MouserListTable1215[[#This Row],[Qty.]]&gt;0,IF($A13="List #",1,$A13+1),IF($A13="List #",0,$A13))</f>
        <v>0</v>
      </c>
      <c r="B14" s="103" t="str">
        <f>MouserListTable12[[#This Row],[SKU]]</f>
        <v>474-WIG-13660</v>
      </c>
      <c r="C14" s="103">
        <f>MouserListTable12[[#This Row],['# Initial]]</f>
        <v>0</v>
      </c>
      <c r="D14" s="103" t="str">
        <f>MouserListTable12[[#This Row],[Name]]</f>
        <v>WAV Trigger</v>
      </c>
      <c r="E14" s="103">
        <f>MouserListTable12[[#This Row],[Price (USD)]]</f>
        <v>49.95</v>
      </c>
      <c r="F14" s="103">
        <f>MouserListTable12[[#This Row],[Total Price]]</f>
        <v>0</v>
      </c>
    </row>
    <row r="15" spans="1:11" s="146" customFormat="1" hidden="1" x14ac:dyDescent="0.3">
      <c r="A15" s="103">
        <f>IF(MouserListTable1215[[#This Row],[Qty.]]&gt;0,IF($A14="List #",1,$A14+1),IF($A14="List #",0,$A14))</f>
        <v>0</v>
      </c>
      <c r="B15" s="103" t="str">
        <f>MouserListTable12[[#This Row],[SKU]]</f>
        <v>474-COM-14023</v>
      </c>
      <c r="C15" s="103">
        <f>MouserListTable12[[#This Row],['# Initial]]</f>
        <v>0</v>
      </c>
      <c r="D15" s="103" t="str">
        <f>MouserListTable12[[#This Row],[Name]]</f>
        <v>Hamburger Mini Speaker</v>
      </c>
      <c r="E15" s="103">
        <f>MouserListTable12[[#This Row],[Price (USD)]]</f>
        <v>4.95</v>
      </c>
      <c r="F15" s="103">
        <f>MouserListTable12[[#This Row],[Total Price]]</f>
        <v>0</v>
      </c>
    </row>
    <row r="16" spans="1:11" s="146" customFormat="1" hidden="1" x14ac:dyDescent="0.3">
      <c r="A16" s="103">
        <f>IF(MouserListTable1215[[#This Row],[Qty.]]&gt;0,IF($A15="List #",1,$A15+1),IF($A15="List #",0,$A15))</f>
        <v>0</v>
      </c>
      <c r="B16" s="103" t="str">
        <f>MouserListTable12[[#This Row],[SKU]]</f>
        <v>474-COM-09151</v>
      </c>
      <c r="C16" s="103">
        <f>MouserListTable12[[#This Row],['# Initial]]</f>
        <v>0</v>
      </c>
      <c r="D16" s="103" t="str">
        <f>MouserListTable12[[#This Row],[Name]]</f>
        <v>Speaker - 0.5W (8 Ohm)</v>
      </c>
      <c r="E16" s="103">
        <f>MouserListTable12[[#This Row],[Price (USD)]]</f>
        <v>1.95</v>
      </c>
      <c r="F16" s="103">
        <f>MouserListTable12[[#This Row],[Total Price]]</f>
        <v>0</v>
      </c>
    </row>
    <row r="17" spans="1:6" s="146" customFormat="1" hidden="1" x14ac:dyDescent="0.3">
      <c r="A17" s="103">
        <f>IF(MouserListTable1215[[#This Row],[Qty.]]&gt;0,IF($A16="List #",1,$A16+1),IF($A16="List #",0,$A16))</f>
        <v>0</v>
      </c>
      <c r="B17" s="103" t="str">
        <f>MouserListTable12[[#This Row],[SKU]]</f>
        <v>474-COM-11145</v>
      </c>
      <c r="C17" s="103">
        <f>MouserListTable12[[#This Row],['# Initial]]</f>
        <v>0</v>
      </c>
      <c r="D17" s="103" t="str">
        <f>MouserListTable12[[#This Row],[Name]]</f>
        <v>Speaker Terminal - 4 Spring</v>
      </c>
      <c r="E17" s="103">
        <f>MouserListTable12[[#This Row],[Price (USD)]]</f>
        <v>0.75</v>
      </c>
      <c r="F17" s="103">
        <f>MouserListTable12[[#This Row],[Total Price]]</f>
        <v>0</v>
      </c>
    </row>
    <row r="18" spans="1:6" s="146" customFormat="1" hidden="1" x14ac:dyDescent="0.3">
      <c r="A18" s="103">
        <f>IF(MouserListTable1215[[#This Row],[Qty.]]&gt;0,IF($A17="List #",1,$A17+1),IF($A17="List #",0,$A17))</f>
        <v>0</v>
      </c>
      <c r="B18" s="103" t="str">
        <f>MouserListTable12[[#This Row],[SKU]]</f>
        <v>474-ROB-08449</v>
      </c>
      <c r="C18" s="103">
        <f>MouserListTable12[[#This Row],['# Initial]]</f>
        <v>0</v>
      </c>
      <c r="D18" s="103" t="str">
        <f>MouserListTable12[[#This Row],[Name]]</f>
        <v>Vibration Motor</v>
      </c>
      <c r="E18" s="103">
        <f>MouserListTable12[[#This Row],[Price (USD)]]</f>
        <v>4.95</v>
      </c>
      <c r="F18" s="103">
        <f>MouserListTable12[[#This Row],[Total Price]]</f>
        <v>0</v>
      </c>
    </row>
    <row r="19" spans="1:6" s="146" customFormat="1" hidden="1" x14ac:dyDescent="0.3">
      <c r="A19" s="103">
        <f>IF(MouserListTable1215[[#This Row],[Qty.]]&gt;0,IF($A18="List #",1,$A18+1),IF($A18="List #",0,$A18))</f>
        <v>0</v>
      </c>
      <c r="B19" s="103" t="str">
        <f>MouserListTable12[[#This Row],[SKU]]</f>
        <v>474-DEV-11711</v>
      </c>
      <c r="C19" s="103">
        <f>MouserListTable12[[#This Row],['# Initial]]</f>
        <v>0</v>
      </c>
      <c r="D19" s="103" t="str">
        <f>MouserListTable12[[#This Row],[Name]]</f>
        <v>Text-to-Speech Module - Emic 2</v>
      </c>
      <c r="E19" s="103">
        <f>MouserListTable12[[#This Row],[Price (USD)]]</f>
        <v>59.95</v>
      </c>
      <c r="F19" s="103">
        <f>MouserListTable12[[#This Row],[Total Price]]</f>
        <v>0</v>
      </c>
    </row>
    <row r="20" spans="1:6" s="146" customFormat="1" hidden="1" x14ac:dyDescent="0.3">
      <c r="A20" s="103">
        <f>IF(MouserListTable1215[[#This Row],[Qty.]]&gt;0,IF($A19="List #",1,$A19+1),IF($A19="List #",0,$A19))</f>
        <v>0</v>
      </c>
      <c r="B20" s="103" t="str">
        <f>MouserListTable12[[#This Row],[SKU]]</f>
        <v>474-BOB-09868</v>
      </c>
      <c r="C20" s="103">
        <f>MouserListTable12[[#This Row],['# Initial]]</f>
        <v>0</v>
      </c>
      <c r="D20" s="103" t="str">
        <f>MouserListTable12[[#This Row],[Name]]</f>
        <v>SparkFun MEMS Microphone Breakout - INMP401 (ADMP401)</v>
      </c>
      <c r="E20" s="103">
        <f>MouserListTable12[[#This Row],[Price (USD)]]</f>
        <v>9.9499999999999993</v>
      </c>
      <c r="F20" s="103">
        <f>MouserListTable12[[#This Row],[Total Price]]</f>
        <v>0</v>
      </c>
    </row>
    <row r="21" spans="1:6" s="146" customFormat="1" hidden="1" x14ac:dyDescent="0.3">
      <c r="A21" s="103">
        <f>IF(MouserListTable1215[[#This Row],[Qty.]]&gt;0,IF($A20="List #",1,$A20+1),IF($A20="List #",0,$A20))</f>
        <v>0</v>
      </c>
      <c r="B21" s="103" t="str">
        <f>MouserListTable12[[#This Row],[SKU]]</f>
        <v>474-COM-08635</v>
      </c>
      <c r="C21" s="103">
        <f>MouserListTable12[[#This Row],['# Initial]]</f>
        <v>0</v>
      </c>
      <c r="D21" s="103" t="str">
        <f>MouserListTable12[[#This Row],[Name]]</f>
        <v>Electret Microphone</v>
      </c>
      <c r="E21" s="103">
        <f>MouserListTable12[[#This Row],[Price (USD)]]</f>
        <v>0.95</v>
      </c>
      <c r="F21" s="103">
        <f>MouserListTable12[[#This Row],[Total Price]]</f>
        <v>0</v>
      </c>
    </row>
    <row r="22" spans="1:6" s="146" customFormat="1" hidden="1" x14ac:dyDescent="0.3">
      <c r="A22" s="103">
        <f>IF(MouserListTable1215[[#This Row],[Qty.]]&gt;0,IF($A21="List #",1,$A21+1),IF($A21="List #",0,$A21))</f>
        <v>0</v>
      </c>
      <c r="B22" s="103" t="str">
        <f>MouserListTable12[[#This Row],[SKU]]</f>
        <v>474-BOB-12758</v>
      </c>
      <c r="C22" s="103">
        <f>MouserListTable12[[#This Row],['# Initial]]</f>
        <v>0</v>
      </c>
      <c r="D22" s="103" t="str">
        <f>MouserListTable12[[#This Row],[Name]]</f>
        <v>SparkFun Electret Microphone Breakout</v>
      </c>
      <c r="E22" s="103">
        <f>MouserListTable12[[#This Row],[Price (USD)]]</f>
        <v>5.95</v>
      </c>
      <c r="F22" s="103">
        <f>MouserListTable12[[#This Row],[Total Price]]</f>
        <v>0</v>
      </c>
    </row>
    <row r="23" spans="1:6" s="146" customFormat="1" hidden="1" x14ac:dyDescent="0.3">
      <c r="A23" s="103">
        <f>IF(MouserListTable1215[[#This Row],[Qty.]]&gt;0,IF($A22="List #",1,$A22+1),IF($A22="List #",0,$A22))</f>
        <v>0</v>
      </c>
      <c r="B23" s="103" t="str">
        <f>MouserListTable12[[#This Row],[SKU]]</f>
        <v>474-SEN-12642</v>
      </c>
      <c r="C23" s="103">
        <f>MouserListTable12[[#This Row],['# Initial]]</f>
        <v>0</v>
      </c>
      <c r="D23" s="103" t="str">
        <f>MouserListTable12[[#This Row],[Name]]</f>
        <v>SparkFun Sound Detector</v>
      </c>
      <c r="E23" s="103">
        <f>MouserListTable12[[#This Row],[Price (USD)]]</f>
        <v>10.95</v>
      </c>
      <c r="F23" s="103">
        <f>MouserListTable12[[#This Row],[Total Price]]</f>
        <v>0</v>
      </c>
    </row>
    <row r="24" spans="1:6" s="146" customFormat="1" hidden="1" x14ac:dyDescent="0.3">
      <c r="A24" s="103">
        <f>IF(MouserListTable1215[[#This Row],[Qty.]]&gt;0,IF($A23="List #",1,$A23+1),IF($A23="List #",0,$A23))</f>
        <v>0</v>
      </c>
      <c r="B24" s="103" t="str">
        <f>MouserListTable12[[#This Row],[SKU]]</f>
        <v>485-94</v>
      </c>
      <c r="C24" s="103">
        <f>MouserListTable12[[#This Row],['# Initial]]</f>
        <v>0</v>
      </c>
      <c r="D24" s="103" t="str">
        <f>MouserListTable12[[#This Row],[Name]]</f>
        <v xml:space="preserve">Adafruit Wave Shield for Arduino Kit - v1.1 </v>
      </c>
      <c r="E24" s="103">
        <f>MouserListTable12[[#This Row],[Price (USD)]]</f>
        <v>22</v>
      </c>
      <c r="F24" s="103">
        <f>MouserListTable12[[#This Row],[Total Price]]</f>
        <v>0</v>
      </c>
    </row>
    <row r="25" spans="1:6" s="146" customFormat="1" hidden="1" x14ac:dyDescent="0.3">
      <c r="A25" s="103">
        <f>IF(MouserListTable1215[[#This Row],[Qty.]]&gt;0,IF($A24="List #",1,$A24+1),IF($A24="List #",0,$A24))</f>
        <v>0</v>
      </c>
      <c r="B25" s="103" t="str">
        <f>MouserListTable12[[#This Row],[SKU]]</f>
        <v>485-3369</v>
      </c>
      <c r="C25" s="103">
        <f>MouserListTable12[[#This Row],['# Initial]]</f>
        <v>0</v>
      </c>
      <c r="D25" s="103" t="str">
        <f>MouserListTable12[[#This Row],[Name]]</f>
        <v xml:space="preserve">Mini External USB Stereo Speaker </v>
      </c>
      <c r="E25" s="103">
        <f>MouserListTable12[[#This Row],[Price (USD)]]</f>
        <v>12.5</v>
      </c>
      <c r="F25" s="103">
        <f>MouserListTable12[[#This Row],[Total Price]]</f>
        <v>0</v>
      </c>
    </row>
    <row r="26" spans="1:6" s="146" customFormat="1" hidden="1" x14ac:dyDescent="0.3">
      <c r="A26" s="103">
        <f>IF(MouserListTable1215[[#This Row],[Qty.]]&gt;0,IF($A25="List #",1,$A25+1),IF($A25="List #",0,$A25))</f>
        <v>0</v>
      </c>
      <c r="B26" s="103" t="str">
        <f>MouserListTable12[[#This Row],[SKU]]</f>
        <v>485-3367</v>
      </c>
      <c r="C26" s="103">
        <f>MouserListTable12[[#This Row],['# Initial]]</f>
        <v>0</v>
      </c>
      <c r="D26" s="103" t="str">
        <f>MouserListTable12[[#This Row],[Name]]</f>
        <v xml:space="preserve">Mini USB Microphone </v>
      </c>
      <c r="E26" s="103">
        <f>MouserListTable12[[#This Row],[Price (USD)]]</f>
        <v>5.95</v>
      </c>
      <c r="F26" s="103">
        <f>MouserListTable12[[#This Row],[Total Price]]</f>
        <v>0</v>
      </c>
    </row>
    <row r="27" spans="1:6" s="146" customFormat="1" hidden="1" x14ac:dyDescent="0.3">
      <c r="A27" s="103">
        <f>IF(MouserListTable1215[[#This Row],[Qty.]]&gt;0,IF($A26="List #",1,$A26+1),IF($A26="List #",0,$A26))</f>
        <v>0</v>
      </c>
      <c r="B27" s="103" t="str">
        <f>MouserListTable12[[#This Row],[SKU]]</f>
        <v>485-3351</v>
      </c>
      <c r="C27" s="103">
        <f>MouserListTable12[[#This Row],['# Initial]]</f>
        <v>0</v>
      </c>
      <c r="D27" s="103" t="str">
        <f>MouserListTable12[[#This Row],[Name]]</f>
        <v xml:space="preserve">Mono Enclosed Speaker - 3W 4 Ohm </v>
      </c>
      <c r="E27" s="103">
        <f>MouserListTable12[[#This Row],[Price (USD)]]</f>
        <v>3.95</v>
      </c>
      <c r="F27" s="103">
        <f>MouserListTable12[[#This Row],[Total Price]]</f>
        <v>0</v>
      </c>
    </row>
    <row r="28" spans="1:6" s="146" customFormat="1" hidden="1" x14ac:dyDescent="0.3">
      <c r="A28" s="103">
        <f>IF(MouserListTable1215[[#This Row],[Qty.]]&gt;0,IF($A27="List #",1,$A27+1),IF($A27="List #",0,$A27))</f>
        <v>0</v>
      </c>
      <c r="B28" s="103" t="str">
        <f>MouserListTable12[[#This Row],[SKU]]</f>
        <v>485-1314</v>
      </c>
      <c r="C28" s="103">
        <f>MouserListTable12[[#This Row],['# Initial]]</f>
        <v>0</v>
      </c>
      <c r="D28" s="103" t="str">
        <f>MouserListTable12[[#This Row],[Name]]</f>
        <v xml:space="preserve">Speaker - 3" Diameter - 4 Ohm 3 Watt </v>
      </c>
      <c r="E28" s="103">
        <f>MouserListTable12[[#This Row],[Price (USD)]]</f>
        <v>1.95</v>
      </c>
      <c r="F28" s="103">
        <f>MouserListTable12[[#This Row],[Total Price]]</f>
        <v>0</v>
      </c>
    </row>
    <row r="29" spans="1:6" s="146" customFormat="1" hidden="1" x14ac:dyDescent="0.3">
      <c r="A29" s="103">
        <f>IF(MouserListTable1215[[#This Row],[Qty.]]&gt;0,IF($A28="List #",1,$A28+1),IF($A28="List #",0,$A28))</f>
        <v>0</v>
      </c>
      <c r="B29" s="103" t="str">
        <f>MouserListTable12[[#This Row],[SKU]]</f>
        <v>485-1313</v>
      </c>
      <c r="C29" s="103">
        <f>MouserListTable12[[#This Row],['# Initial]]</f>
        <v>0</v>
      </c>
      <c r="D29" s="103" t="str">
        <f>MouserListTable12[[#This Row],[Name]]</f>
        <v xml:space="preserve">Speaker - 3" Diameter - 8 Ohm 1 Watt </v>
      </c>
      <c r="E29" s="103">
        <f>MouserListTable12[[#This Row],[Price (USD)]]</f>
        <v>1.95</v>
      </c>
      <c r="F29" s="103">
        <f>MouserListTable12[[#This Row],[Total Price]]</f>
        <v>0</v>
      </c>
    </row>
    <row r="30" spans="1:6" s="146" customFormat="1" hidden="1" x14ac:dyDescent="0.3">
      <c r="A30" s="103">
        <f>IF(MouserListTable1215[[#This Row],[Qty.]]&gt;0,IF($A29="List #",1,$A29+1),IF($A29="List #",0,$A29))</f>
        <v>0</v>
      </c>
      <c r="B30" s="103" t="str">
        <f>MouserListTable12[[#This Row],[SKU]]</f>
        <v>485-1669</v>
      </c>
      <c r="C30" s="103">
        <f>MouserListTable12[[#This Row],['# Initial]]</f>
        <v>0</v>
      </c>
      <c r="D30" s="103" t="str">
        <f>MouserListTable12[[#This Row],[Name]]</f>
        <v xml:space="preserve">Stereo Enclosed Speaker Set - 3W 4 Ohm </v>
      </c>
      <c r="E30" s="103">
        <f>MouserListTable12[[#This Row],[Price (USD)]]</f>
        <v>7.5</v>
      </c>
      <c r="F30" s="103">
        <f>MouserListTable12[[#This Row],[Total Price]]</f>
        <v>0</v>
      </c>
    </row>
    <row r="31" spans="1:6" s="146" customFormat="1" hidden="1" x14ac:dyDescent="0.3">
      <c r="A31" s="103">
        <f>IF(MouserListTable1215[[#This Row],[Qty.]]&gt;0,IF($A30="List #",1,$A30+1),IF($A30="List #",0,$A30))</f>
        <v>0</v>
      </c>
      <c r="B31" s="103" t="str">
        <f>MouserListTable12[[#This Row],[SKU]]</f>
        <v>485-1363</v>
      </c>
      <c r="C31" s="103">
        <f>MouserListTable12[[#This Row],['# Initial]]</f>
        <v>0</v>
      </c>
      <c r="D31" s="103" t="str">
        <f>MouserListTable12[[#This Row],[Name]]</f>
        <v xml:space="preserve">USB Powered Speakers </v>
      </c>
      <c r="E31" s="103">
        <f>MouserListTable12[[#This Row],[Price (USD)]]</f>
        <v>9.9499999999999993</v>
      </c>
      <c r="F31" s="103">
        <f>MouserListTable12[[#This Row],[Total Price]]</f>
        <v>0</v>
      </c>
    </row>
    <row r="32" spans="1:6" s="146" customFormat="1" x14ac:dyDescent="0.3">
      <c r="A32" s="193">
        <f>IF(MouserListTable1215[[#This Row],[Qty.]]&gt;0,IF($A31="List #",1,$A31+1),IF($A31="List #",0,$A31))</f>
        <v>1</v>
      </c>
      <c r="B32" s="103" t="str">
        <f>MouserListTable12[[#This Row],[SKU]]</f>
        <v>474-WRL-11373</v>
      </c>
      <c r="C32" s="103">
        <f>MouserListTable12[[#This Row],['# Initial]]</f>
        <v>5</v>
      </c>
      <c r="D32" s="103" t="str">
        <f>MouserListTable12[[#This Row],[Name]]</f>
        <v>SparkFun XBee Explorer Regulated</v>
      </c>
      <c r="E32" s="179">
        <f>MouserListTable12[[#This Row],[Price (USD)]]</f>
        <v>9.9499999999999993</v>
      </c>
      <c r="F32" s="179">
        <f>MouserListTable12[[#This Row],[Total Price]]</f>
        <v>49.75</v>
      </c>
    </row>
    <row r="33" spans="1:6" s="146" customFormat="1" x14ac:dyDescent="0.3">
      <c r="A33" s="193">
        <f>IF(MouserListTable1215[[#This Row],[Qty.]]&gt;0,IF($A32="List #",1,$A32+1),IF($A32="List #",0,$A32))</f>
        <v>2</v>
      </c>
      <c r="B33" s="103" t="str">
        <f>MouserListTable12[[#This Row],[SKU]]</f>
        <v>474-WRL-11697</v>
      </c>
      <c r="C33" s="103">
        <f>MouserListTable12[[#This Row],['# Initial]]</f>
        <v>5</v>
      </c>
      <c r="D33" s="103" t="str">
        <f>MouserListTable12[[#This Row],[Name]]</f>
        <v>SparkFun XBee Explorer Dongle</v>
      </c>
      <c r="E33" s="179">
        <f>MouserListTable12[[#This Row],[Price (USD)]]</f>
        <v>24.95</v>
      </c>
      <c r="F33" s="179">
        <f>MouserListTable12[[#This Row],[Total Price]]</f>
        <v>124.75</v>
      </c>
    </row>
    <row r="34" spans="1:6" s="146" customFormat="1" hidden="1" x14ac:dyDescent="0.3">
      <c r="A34" s="103">
        <f>IF(MouserListTable1215[[#This Row],[Qty.]]&gt;0,IF($A33="List #",1,$A33+1),IF($A33="List #",0,$A33))</f>
        <v>2</v>
      </c>
      <c r="B34" s="103" t="str">
        <f>MouserListTable12[[#This Row],[SKU]]</f>
        <v>474-WRL-09434</v>
      </c>
      <c r="C34" s="103">
        <f>MouserListTable12[[#This Row],['# Initial]]</f>
        <v>0</v>
      </c>
      <c r="D34" s="103" t="str">
        <f>MouserListTable12[[#This Row],[Name]]</f>
        <v>Bluetooth USB Module Mini</v>
      </c>
      <c r="E34" s="103">
        <f>MouserListTable12[[#This Row],[Price (USD)]]</f>
        <v>10.95</v>
      </c>
      <c r="F34" s="103">
        <f>MouserListTable12[[#This Row],[Total Price]]</f>
        <v>0</v>
      </c>
    </row>
    <row r="35" spans="1:6" s="146" customFormat="1" x14ac:dyDescent="0.3">
      <c r="A35" s="193">
        <f>IF(MouserListTable1215[[#This Row],[Qty.]]&gt;0,IF($A34="List #",1,$A34+1),IF($A34="List #",0,$A34))</f>
        <v>3</v>
      </c>
      <c r="B35" s="103" t="str">
        <f>MouserListTable12[[#This Row],[SKU]]</f>
        <v>474-WRL-11601</v>
      </c>
      <c r="C35" s="103">
        <f>MouserListTable12[[#This Row],['# Initial]]</f>
        <v>10</v>
      </c>
      <c r="D35" s="103" t="str">
        <f>MouserListTable12[[#This Row],[Name]]</f>
        <v>RN42-XV Bluetooth Module - PCB Antenna</v>
      </c>
      <c r="E35" s="179">
        <f>MouserListTable12[[#This Row],[Price (USD)]]</f>
        <v>24.95</v>
      </c>
      <c r="F35" s="179">
        <f>MouserListTable12[[#This Row],[Total Price]]</f>
        <v>249.5</v>
      </c>
    </row>
    <row r="36" spans="1:6" s="146" customFormat="1" hidden="1" x14ac:dyDescent="0.3">
      <c r="A36" s="103">
        <f>IF(MouserListTable1215[[#This Row],[Qty.]]&gt;0,IF($A35="List #",1,$A35+1),IF($A35="List #",0,$A35))</f>
        <v>3</v>
      </c>
      <c r="B36" s="103" t="str">
        <f>MouserListTable12[[#This Row],[SKU]]</f>
        <v>474-WIG-12772</v>
      </c>
      <c r="C36" s="103">
        <f>MouserListTable12[[#This Row],['# Initial]]</f>
        <v>0</v>
      </c>
      <c r="D36" s="103" t="str">
        <f>MouserListTable12[[#This Row],[Name]]</f>
        <v>SparkFun Logomatic v2 - Serial SD Datalogger (FAT32)</v>
      </c>
      <c r="E36" s="103">
        <f>MouserListTable12[[#This Row],[Price (USD)]]</f>
        <v>54.95</v>
      </c>
      <c r="F36" s="103">
        <f>MouserListTable12[[#This Row],[Total Price]]</f>
        <v>0</v>
      </c>
    </row>
    <row r="37" spans="1:6" s="146" customFormat="1" hidden="1" x14ac:dyDescent="0.3">
      <c r="A37" s="103">
        <f>IF(MouserListTable1215[[#This Row],[Qty.]]&gt;0,IF($A36="List #",1,$A36+1),IF($A36="List #",0,$A36))</f>
        <v>3</v>
      </c>
      <c r="B37" s="103" t="str">
        <f>MouserListTable12[[#This Row],[SKU]]</f>
        <v>474-DEV-13712</v>
      </c>
      <c r="C37" s="103">
        <f>MouserListTable12[[#This Row],['# Initial]]</f>
        <v>0</v>
      </c>
      <c r="D37" s="103" t="str">
        <f>MouserListTable12[[#This Row],[Name]]</f>
        <v>SparkFun OpenLog</v>
      </c>
      <c r="E37" s="103">
        <f>MouserListTable12[[#This Row],[Price (USD)]]</f>
        <v>14.95</v>
      </c>
      <c r="F37" s="103">
        <f>MouserListTable12[[#This Row],[Total Price]]</f>
        <v>0</v>
      </c>
    </row>
    <row r="38" spans="1:6" s="144" customFormat="1" hidden="1" x14ac:dyDescent="0.3">
      <c r="A38" s="103">
        <f>IF(MouserListTable1215[[#This Row],[Qty.]]&gt;0,IF($A37="List #",1,$A37+1),IF($A37="List #",0,$A37))</f>
        <v>3</v>
      </c>
      <c r="B38" s="103" t="str">
        <f>MouserListTable12[[#This Row],[SKU]]</f>
        <v>474-DEV-12761</v>
      </c>
      <c r="C38" s="103">
        <f>MouserListTable12[[#This Row],['# Initial]]</f>
        <v>0</v>
      </c>
      <c r="D38" s="103" t="str">
        <f>MouserListTable12[[#This Row],[Name]]</f>
        <v>SparkFun microSD Shield</v>
      </c>
      <c r="E38" s="103">
        <f>MouserListTable12[[#This Row],[Price (USD)]]</f>
        <v>14.95</v>
      </c>
      <c r="F38" s="103">
        <f>MouserListTable12[[#This Row],[Total Price]]</f>
        <v>0</v>
      </c>
    </row>
    <row r="39" spans="1:6" s="146" customFormat="1" x14ac:dyDescent="0.3">
      <c r="A39" s="193">
        <f>IF(MouserListTable1215[[#This Row],[Qty.]]&gt;0,IF($A38="List #",1,$A38+1),IF($A38="List #",0,$A38))</f>
        <v>4</v>
      </c>
      <c r="B39" s="103" t="str">
        <f>MouserListTable12[[#This Row],[SKU]]</f>
        <v>474-TOL-09419</v>
      </c>
      <c r="C39" s="103">
        <f>MouserListTable12[[#This Row],['# Initial]]</f>
        <v>1</v>
      </c>
      <c r="D39" s="103" t="str">
        <f>MouserListTable12[[#This Row],[Name]]</f>
        <v>SparkFun microSD Sniffer</v>
      </c>
      <c r="E39" s="179">
        <f>MouserListTable12[[#This Row],[Price (USD)]]</f>
        <v>9.9499999999999993</v>
      </c>
      <c r="F39" s="179">
        <f>MouserListTable12[[#This Row],[Total Price]]</f>
        <v>9.9499999999999993</v>
      </c>
    </row>
    <row r="40" spans="1:6" s="146" customFormat="1" hidden="1" x14ac:dyDescent="0.3">
      <c r="A40" s="103">
        <f>IF(MouserListTable1215[[#This Row],[Qty.]]&gt;0,IF($A39="List #",1,$A39+1),IF($A39="List #",0,$A39))</f>
        <v>4</v>
      </c>
      <c r="B40" s="103" t="str">
        <f>MouserListTable12[[#This Row],[SKU]]</f>
        <v>474-BOB-12941</v>
      </c>
      <c r="C40" s="103">
        <f>MouserListTable12[[#This Row],['# Initial]]</f>
        <v>0</v>
      </c>
      <c r="D40" s="103" t="str">
        <f>MouserListTable12[[#This Row],[Name]]</f>
        <v>SparkFun SD/MMC Card Breakout</v>
      </c>
      <c r="E40" s="103">
        <f>MouserListTable12[[#This Row],[Price (USD)]]</f>
        <v>9.9499999999999993</v>
      </c>
      <c r="F40" s="103">
        <f>MouserListTable12[[#This Row],[Total Price]]</f>
        <v>0</v>
      </c>
    </row>
    <row r="41" spans="1:6" s="146" customFormat="1" x14ac:dyDescent="0.3">
      <c r="A41" s="193">
        <f>IF(MouserListTable1215[[#This Row],[Qty.]]&gt;0,IF($A40="List #",1,$A40+1),IF($A40="List #",0,$A40))</f>
        <v>5</v>
      </c>
      <c r="B41" s="103" t="str">
        <f>MouserListTable12[[#This Row],[SKU]]</f>
        <v>474-DEV-13743</v>
      </c>
      <c r="C41" s="103">
        <f>MouserListTable12[[#This Row],['# Initial]]</f>
        <v>5</v>
      </c>
      <c r="D41" s="103" t="str">
        <f>MouserListTable12[[#This Row],[Name]]</f>
        <v>SparkFun Level Shifting microSD Breakout</v>
      </c>
      <c r="E41" s="179">
        <f>MouserListTable12[[#This Row],[Price (USD)]]</f>
        <v>4.95</v>
      </c>
      <c r="F41" s="179">
        <f>MouserListTable12[[#This Row],[Total Price]]</f>
        <v>24.75</v>
      </c>
    </row>
    <row r="42" spans="1:6" s="146" customFormat="1" x14ac:dyDescent="0.3">
      <c r="A42" s="193">
        <f>IF(MouserListTable1215[[#This Row],[Qty.]]&gt;0,IF($A41="List #",1,$A41+1),IF($A41="List #",0,$A41))</f>
        <v>6</v>
      </c>
      <c r="B42" s="103" t="str">
        <f>MouserListTable12[[#This Row],[SKU]]</f>
        <v>474-COM-13833</v>
      </c>
      <c r="C42" s="103">
        <f>MouserListTable12[[#This Row],['# Initial]]</f>
        <v>5</v>
      </c>
      <c r="D42" s="103" t="str">
        <f>MouserListTable12[[#This Row],[Name]]</f>
        <v>microSD Card with Adapter - 16GB (Class 10)</v>
      </c>
      <c r="E42" s="179">
        <f>MouserListTable12[[#This Row],[Price (USD)]]</f>
        <v>19.95</v>
      </c>
      <c r="F42" s="179">
        <f>MouserListTable12[[#This Row],[Total Price]]</f>
        <v>99.75</v>
      </c>
    </row>
    <row r="43" spans="1:6" s="146" customFormat="1" hidden="1" x14ac:dyDescent="0.3">
      <c r="A43" s="103">
        <f>IF(MouserListTable1215[[#This Row],[Qty.]]&gt;0,IF($A42="List #",1,$A42+1),IF($A42="List #",0,$A42))</f>
        <v>6</v>
      </c>
      <c r="B43" s="103" t="str">
        <f>MouserListTable12[[#This Row],[SKU]]</f>
        <v>485-102</v>
      </c>
      <c r="C43" s="103">
        <f>MouserListTable12[[#This Row],['# Initial]]</f>
        <v>0</v>
      </c>
      <c r="D43" s="103" t="str">
        <f>MouserListTable12[[#This Row],[Name]]</f>
        <v xml:space="preserve">4GB Blank SD/MicroSD Memory Card </v>
      </c>
      <c r="E43" s="103">
        <f>MouserListTable12[[#This Row],[Price (USD)]]</f>
        <v>7.95</v>
      </c>
      <c r="F43" s="103">
        <f>MouserListTable12[[#This Row],[Total Price]]</f>
        <v>0</v>
      </c>
    </row>
    <row r="44" spans="1:6" s="146" customFormat="1" x14ac:dyDescent="0.3">
      <c r="A44" s="193">
        <f>IF(MouserListTable1215[[#This Row],[Qty.]]&gt;0,IF($A43="List #",1,$A43+1),IF($A43="List #",0,$A43))</f>
        <v>7</v>
      </c>
      <c r="B44" s="103" t="str">
        <f>MouserListTable12[[#This Row],[SKU]]</f>
        <v>485-1969</v>
      </c>
      <c r="C44" s="103">
        <f>MouserListTable12[[#This Row],['# Initial]]</f>
        <v>1</v>
      </c>
      <c r="D44" s="103" t="str">
        <f>MouserListTable12[[#This Row],[Name]]</f>
        <v>Pogo Pin Probe Clip</v>
      </c>
      <c r="E44" s="179">
        <f>MouserListTable12[[#This Row],[Price (USD)]]</f>
        <v>2.95</v>
      </c>
      <c r="F44" s="179">
        <f>MouserListTable12[[#This Row],[Total Price]]</f>
        <v>2.95</v>
      </c>
    </row>
    <row r="45" spans="1:6" s="146" customFormat="1" hidden="1" x14ac:dyDescent="0.3">
      <c r="A45" s="103">
        <f>IF(MouserListTable1215[[#This Row],[Qty.]]&gt;0,IF($A44="List #",1,$A44+1),IF($A44="List #",0,$A44))</f>
        <v>7</v>
      </c>
      <c r="B45" s="103" t="str">
        <f>MouserListTable12[[#This Row],[SKU]]</f>
        <v>485-2693</v>
      </c>
      <c r="C45" s="103">
        <f>MouserListTable12[[#This Row],['# Initial]]</f>
        <v>0</v>
      </c>
      <c r="D45" s="103" t="str">
        <f>MouserListTable12[[#This Row],[Name]]</f>
        <v xml:space="preserve">SD/MicroSD Memory Card - 16GB Class 10 - Adapter Included </v>
      </c>
      <c r="E45" s="103">
        <f>MouserListTable12[[#This Row],[Price (USD)]]</f>
        <v>19.95</v>
      </c>
      <c r="F45" s="103">
        <f>MouserListTable12[[#This Row],[Total Price]]</f>
        <v>0</v>
      </c>
    </row>
    <row r="46" spans="1:6" s="146" customFormat="1" hidden="1" x14ac:dyDescent="0.3">
      <c r="A46" s="103">
        <f>IF(MouserListTable1215[[#This Row],[Qty.]]&gt;0,IF($A45="List #",1,$A45+1),IF($A45="List #",0,$A45))</f>
        <v>7</v>
      </c>
      <c r="B46" s="103" t="str">
        <f>MouserListTable12[[#This Row],[SKU]]</f>
        <v>485-1294</v>
      </c>
      <c r="C46" s="103">
        <f>MouserListTable12[[#This Row],['# Initial]]</f>
        <v>0</v>
      </c>
      <c r="D46" s="103" t="str">
        <f>MouserListTable12[[#This Row],[Name]]</f>
        <v xml:space="preserve">SD/MicroSD Memory Card (8 GB SDHC) </v>
      </c>
      <c r="E46" s="103">
        <f>MouserListTable12[[#This Row],[Price (USD)]]</f>
        <v>9.9499999999999993</v>
      </c>
      <c r="F46" s="103">
        <f>MouserListTable12[[#This Row],[Total Price]]</f>
        <v>0</v>
      </c>
    </row>
    <row r="47" spans="1:6" s="146" customFormat="1" hidden="1" x14ac:dyDescent="0.3">
      <c r="A47" s="103">
        <f>IF(MouserListTable1215[[#This Row],[Qty.]]&gt;0,IF($A46="List #",1,$A46+1),IF($A46="List #",0,$A46))</f>
        <v>7</v>
      </c>
      <c r="B47" s="103" t="str">
        <f>MouserListTable12[[#This Row],[SKU]]</f>
        <v>474-DEV-11643</v>
      </c>
      <c r="C47" s="103">
        <f>MouserListTable12[[#This Row],['# Initial]]</f>
        <v>0</v>
      </c>
      <c r="D47" s="103" t="str">
        <f>MouserListTable12[[#This Row],[Name]]</f>
        <v>XMEGA Xprotolab</v>
      </c>
      <c r="E47" s="103">
        <f>MouserListTable12[[#This Row],[Price (USD)]]</f>
        <v>54.95</v>
      </c>
      <c r="F47" s="103">
        <f>MouserListTable12[[#This Row],[Total Price]]</f>
        <v>0</v>
      </c>
    </row>
    <row r="48" spans="1:6" s="146" customFormat="1" x14ac:dyDescent="0.3">
      <c r="A48" s="193">
        <f>IF(MouserListTable1215[[#This Row],[Qty.]]&gt;0,IF($A47="List #",1,$A47+1),IF($A47="List #",0,$A47))</f>
        <v>8</v>
      </c>
      <c r="B48" s="103" t="str">
        <f>MouserListTable12[[#This Row],[SKU]]</f>
        <v>474-COM-13004</v>
      </c>
      <c r="C48" s="103">
        <f>MouserListTable12[[#This Row],['# Initial]]</f>
        <v>5</v>
      </c>
      <c r="D48" s="103" t="str">
        <f>MouserListTable12[[#This Row],[Name]]</f>
        <v>microSD USB Reader</v>
      </c>
      <c r="E48" s="179">
        <f>MouserListTable12[[#This Row],[Price (USD)]]</f>
        <v>4.95</v>
      </c>
      <c r="F48" s="179">
        <f>MouserListTable12[[#This Row],[Total Price]]</f>
        <v>24.75</v>
      </c>
    </row>
    <row r="49" spans="1:6" s="146" customFormat="1" hidden="1" x14ac:dyDescent="0.3">
      <c r="A49" s="103">
        <f>IF(MouserListTable1215[[#This Row],[Qty.]]&gt;0,IF($A48="List #",1,$A48+1),IF($A48="List #",0,$A48))</f>
        <v>8</v>
      </c>
      <c r="B49" s="103" t="str">
        <f>MouserListTable12[[#This Row],[SKU]]</f>
        <v>474-BOB-10160</v>
      </c>
      <c r="C49" s="103">
        <f>MouserListTable12[[#This Row],['# Initial]]</f>
        <v>0</v>
      </c>
      <c r="D49" s="103" t="str">
        <f>MouserListTable12[[#This Row],[Name]]</f>
        <v>SparkFun DeadOn RTC Breakout - DS3234</v>
      </c>
      <c r="E49" s="103">
        <f>MouserListTable12[[#This Row],[Price (USD)]]</f>
        <v>19.95</v>
      </c>
      <c r="F49" s="103">
        <f>MouserListTable12[[#This Row],[Total Price]]</f>
        <v>0</v>
      </c>
    </row>
    <row r="50" spans="1:6" s="146" customFormat="1" hidden="1" x14ac:dyDescent="0.3">
      <c r="A50" s="103">
        <f>IF(MouserListTable1215[[#This Row],[Qty.]]&gt;0,IF($A49="List #",1,$A49+1),IF($A49="List #",0,$A49))</f>
        <v>8</v>
      </c>
      <c r="B50" s="103" t="str">
        <f>MouserListTable12[[#This Row],[SKU]]</f>
        <v>474-COM-12014</v>
      </c>
      <c r="C50" s="103">
        <f>MouserListTable12[[#This Row],['# Initial]]</f>
        <v>0</v>
      </c>
      <c r="D50" s="103" t="str">
        <f>MouserListTable12[[#This Row],[Name]]</f>
        <v>LED Light Bar - White (SMD)</v>
      </c>
      <c r="E50" s="103">
        <f>MouserListTable12[[#This Row],[Price (USD)]]</f>
        <v>3.95</v>
      </c>
      <c r="F50" s="103">
        <f>MouserListTable12[[#This Row],[Total Price]]</f>
        <v>0</v>
      </c>
    </row>
    <row r="51" spans="1:6" s="146" customFormat="1" hidden="1" x14ac:dyDescent="0.3">
      <c r="A51" s="103">
        <f>IF(MouserListTable1215[[#This Row],[Qty.]]&gt;0,IF($A50="List #",1,$A50+1),IF($A50="List #",0,$A50))</f>
        <v>8</v>
      </c>
      <c r="B51" s="103" t="str">
        <f>MouserListTable12[[#This Row],[SKU]]</f>
        <v>474-COM-11408</v>
      </c>
      <c r="C51" s="103">
        <f>MouserListTable12[[#This Row],['# Initial]]</f>
        <v>0</v>
      </c>
      <c r="D51" s="103" t="str">
        <f>MouserListTable12[[#This Row],[Name]]</f>
        <v>7-Segment Display - 20mm (Blue)</v>
      </c>
      <c r="E51" s="103">
        <f>MouserListTable12[[#This Row],[Price (USD)]]</f>
        <v>2.95</v>
      </c>
      <c r="F51" s="103">
        <f>MouserListTable12[[#This Row],[Total Price]]</f>
        <v>0</v>
      </c>
    </row>
    <row r="52" spans="1:6" s="146" customFormat="1" hidden="1" x14ac:dyDescent="0.3">
      <c r="A52" s="103">
        <f>IF(MouserListTable1215[[#This Row],[Qty.]]&gt;0,IF($A51="List #",1,$A51+1),IF($A51="List #",0,$A51))</f>
        <v>8</v>
      </c>
      <c r="B52" s="103" t="str">
        <f>MouserListTable12[[#This Row],[SKU]]</f>
        <v>474-COM-13999</v>
      </c>
      <c r="C52" s="103">
        <f>MouserListTable12[[#This Row],['# Initial]]</f>
        <v>0</v>
      </c>
      <c r="D52" s="103" t="str">
        <f>MouserListTable12[[#This Row],[Name]]</f>
        <v>Dual 7-Segment Display - LED (RGB)</v>
      </c>
      <c r="E52" s="103">
        <f>MouserListTable12[[#This Row],[Price (USD)]]</f>
        <v>3.95</v>
      </c>
      <c r="F52" s="103">
        <f>MouserListTable12[[#This Row],[Total Price]]</f>
        <v>0</v>
      </c>
    </row>
    <row r="53" spans="1:6" s="146" customFormat="1" x14ac:dyDescent="0.3">
      <c r="A53" s="193">
        <f>IF(MouserListTable1215[[#This Row],[Qty.]]&gt;0,IF($A52="List #",1,$A52+1),IF($A52="List #",0,$A52))</f>
        <v>9</v>
      </c>
      <c r="B53" s="103" t="str">
        <f>MouserListTable12[[#This Row],[SKU]]</f>
        <v>474-COM-09938</v>
      </c>
      <c r="C53" s="103">
        <f>MouserListTable12[[#This Row],['# Initial]]</f>
        <v>10</v>
      </c>
      <c r="D53" s="103" t="str">
        <f>MouserListTable12[[#This Row],[Name]]</f>
        <v>10 Segment LED Bar Graph - Green</v>
      </c>
      <c r="E53" s="179">
        <f>MouserListTable12[[#This Row],[Price (USD)]]</f>
        <v>1.95</v>
      </c>
      <c r="F53" s="179">
        <f>MouserListTable12[[#This Row],[Total Price]]</f>
        <v>19.5</v>
      </c>
    </row>
    <row r="54" spans="1:6" s="146" customFormat="1" hidden="1" x14ac:dyDescent="0.3">
      <c r="A54" s="103">
        <f>IF(MouserListTable1215[[#This Row],[Qty.]]&gt;0,IF($A53="List #",1,$A53+1),IF($A53="List #",0,$A53))</f>
        <v>9</v>
      </c>
      <c r="B54" s="103" t="str">
        <f>MouserListTable12[[#This Row],[SKU]]</f>
        <v>474-BOB-13282</v>
      </c>
      <c r="C54" s="103">
        <f>MouserListTable12[[#This Row],['# Initial]]</f>
        <v>0</v>
      </c>
      <c r="D54" s="103" t="str">
        <f>MouserListTable12[[#This Row],[Name]]</f>
        <v>SparkFun RGB LED Breakout - WS2812B</v>
      </c>
      <c r="E54" s="103">
        <f>MouserListTable12[[#This Row],[Price (USD)]]</f>
        <v>2.95</v>
      </c>
      <c r="F54" s="103">
        <f>MouserListTable12[[#This Row],[Total Price]]</f>
        <v>0</v>
      </c>
    </row>
    <row r="55" spans="1:6" s="146" customFormat="1" x14ac:dyDescent="0.3">
      <c r="A55" s="193">
        <f>IF(MouserListTable1215[[#This Row],[Qty.]]&gt;0,IF($A54="List #",1,$A54+1),IF($A54="List #",0,$A54))</f>
        <v>10</v>
      </c>
      <c r="B55" s="103" t="str">
        <f>MouserListTable12[[#This Row],[SKU]]</f>
        <v>474-BOB-13884</v>
      </c>
      <c r="C55" s="103">
        <f>MouserListTable12[[#This Row],['# Initial]]</f>
        <v>5</v>
      </c>
      <c r="D55" s="103" t="str">
        <f>MouserListTable12[[#This Row],[Name]]</f>
        <v xml:space="preserve">SparkFun LED Driver Breakout - LP55231 </v>
      </c>
      <c r="E55" s="179">
        <f>MouserListTable12[[#This Row],[Price (USD)]]</f>
        <v>7.95</v>
      </c>
      <c r="F55" s="179">
        <f>MouserListTable12[[#This Row],[Total Price]]</f>
        <v>39.75</v>
      </c>
    </row>
    <row r="56" spans="1:6" s="146" customFormat="1" hidden="1" x14ac:dyDescent="0.3">
      <c r="A56" s="103">
        <f>IF(MouserListTable1215[[#This Row],[Qty.]]&gt;0,IF($A55="List #",1,$A55+1),IF($A55="List #",0,$A55))</f>
        <v>10</v>
      </c>
      <c r="B56" s="103" t="str">
        <f>MouserListTable12[[#This Row],[SKU]]</f>
        <v>474-COM-12661</v>
      </c>
      <c r="C56" s="103">
        <f>MouserListTable12[[#This Row],['# Initial]]</f>
        <v>0</v>
      </c>
      <c r="D56" s="103" t="str">
        <f>MouserListTable12[[#This Row],[Name]]</f>
        <v>NeoPixel Stick - 8 x WS2812 5050 RGB LED</v>
      </c>
      <c r="E56" s="103">
        <f>MouserListTable12[[#This Row],[Price (USD)]]</f>
        <v>5.95</v>
      </c>
      <c r="F56" s="103">
        <f>MouserListTable12[[#This Row],[Total Price]]</f>
        <v>0</v>
      </c>
    </row>
    <row r="57" spans="1:6" s="146" customFormat="1" hidden="1" x14ac:dyDescent="0.3">
      <c r="A57" s="103">
        <f>IF(MouserListTable1215[[#This Row],[Qty.]]&gt;0,IF($A56="List #",1,$A56+1),IF($A56="List #",0,$A56))</f>
        <v>10</v>
      </c>
      <c r="B57" s="103" t="str">
        <f>MouserListTable12[[#This Row],[SKU]]</f>
        <v>474-COM-09637</v>
      </c>
      <c r="C57" s="103">
        <f>MouserListTable12[[#This Row],['# Initial]]</f>
        <v>0</v>
      </c>
      <c r="D57" s="103" t="str">
        <f>MouserListTable12[[#This Row],[Name]]</f>
        <v>Luxeon Rebel High Power LED - Warm White</v>
      </c>
      <c r="E57" s="103">
        <f>MouserListTable12[[#This Row],[Price (USD)]]</f>
        <v>4.95</v>
      </c>
      <c r="F57" s="103">
        <f>MouserListTable12[[#This Row],[Total Price]]</f>
        <v>0</v>
      </c>
    </row>
    <row r="58" spans="1:6" s="146" customFormat="1" hidden="1" x14ac:dyDescent="0.3">
      <c r="A58" s="103">
        <f>IF(MouserListTable1215[[#This Row],[Qty.]]&gt;0,IF($A57="List #",1,$A57+1),IF($A57="List #",0,$A57))</f>
        <v>10</v>
      </c>
      <c r="B58" s="103" t="str">
        <f>MouserListTable12[[#This Row],[SKU]]</f>
        <v>485-1621</v>
      </c>
      <c r="C58" s="103">
        <f>MouserListTable12[[#This Row],['# Initial]]</f>
        <v>0</v>
      </c>
      <c r="D58" s="103" t="str">
        <f>MouserListTable12[[#This Row],[Name]]</f>
        <v xml:space="preserve">White LED Backlight Module - Large 45mm x 86mm </v>
      </c>
      <c r="E58" s="103">
        <f>MouserListTable12[[#This Row],[Price (USD)]]</f>
        <v>2.95</v>
      </c>
      <c r="F58" s="103">
        <f>MouserListTable12[[#This Row],[Total Price]]</f>
        <v>0</v>
      </c>
    </row>
    <row r="59" spans="1:6" s="146" customFormat="1" hidden="1" x14ac:dyDescent="0.3">
      <c r="A59" s="103">
        <f>IF(MouserListTable1215[[#This Row],[Qty.]]&gt;0,IF($A58="List #",1,$A58+1),IF($A58="List #",0,$A58))</f>
        <v>10</v>
      </c>
      <c r="B59" s="103" t="str">
        <f>MouserListTable12[[#This Row],[SKU]]</f>
        <v>485-1622</v>
      </c>
      <c r="C59" s="103">
        <f>MouserListTable12[[#This Row],['# Initial]]</f>
        <v>0</v>
      </c>
      <c r="D59" s="103" t="str">
        <f>MouserListTable12[[#This Row],[Name]]</f>
        <v xml:space="preserve">White LED Backlight Module - Medium 23mm x 75mm </v>
      </c>
      <c r="E59" s="103">
        <f>MouserListTable12[[#This Row],[Price (USD)]]</f>
        <v>2.5</v>
      </c>
      <c r="F59" s="103">
        <f>MouserListTable12[[#This Row],[Total Price]]</f>
        <v>0</v>
      </c>
    </row>
    <row r="60" spans="1:6" s="146" customFormat="1" hidden="1" x14ac:dyDescent="0.3">
      <c r="A60" s="103">
        <f>IF(MouserListTable1215[[#This Row],[Qty.]]&gt;0,IF($A59="List #",1,$A59+1),IF($A59="List #",0,$A59))</f>
        <v>10</v>
      </c>
      <c r="B60" s="103" t="str">
        <f>MouserListTable12[[#This Row],[SKU]]</f>
        <v>474-DEV-11061</v>
      </c>
      <c r="C60" s="103">
        <f>MouserListTable12[[#This Row],['# Initial]]</f>
        <v>0</v>
      </c>
      <c r="D60" s="103" t="str">
        <f>MouserListTable12[[#This Row],[Name]]</f>
        <v>Arduino Mega 2560 R3</v>
      </c>
      <c r="E60" s="179">
        <f>MouserListTable12[[#This Row],[Price (USD)]]</f>
        <v>45.95</v>
      </c>
      <c r="F60" s="179">
        <f>MouserListTable12[[#This Row],[Total Price]]</f>
        <v>0</v>
      </c>
    </row>
    <row r="61" spans="1:6" s="146" customFormat="1" hidden="1" x14ac:dyDescent="0.3">
      <c r="A61" s="103">
        <f>IF(MouserListTable1215[[#This Row],[Qty.]]&gt;0,IF($A60="List #",1,$A60+1),IF($A60="List #",0,$A60))</f>
        <v>10</v>
      </c>
      <c r="B61" s="103" t="str">
        <f>MouserListTable12[[#This Row],[SKU]]</f>
        <v>474-TOL-12889</v>
      </c>
      <c r="C61" s="103">
        <f>MouserListTable12[[#This Row],['# Initial]]</f>
        <v>0</v>
      </c>
      <c r="D61" s="103" t="str">
        <f>MouserListTable12[[#This Row],[Name]]</f>
        <v>Wall Adapter Power Supply - 5V DC 2A (Barrel Jack)</v>
      </c>
      <c r="E61" s="103">
        <f>MouserListTable12[[#This Row],[Price (USD)]]</f>
        <v>5.95</v>
      </c>
      <c r="F61" s="103">
        <f>MouserListTable12[[#This Row],[Total Price]]</f>
        <v>0</v>
      </c>
    </row>
    <row r="62" spans="1:6" s="146" customFormat="1" hidden="1" x14ac:dyDescent="0.3">
      <c r="A62" s="103">
        <f>IF(MouserListTable1215[[#This Row],[Qty.]]&gt;0,IF($A61="List #",1,$A61+1),IF($A61="List #",0,$A61))</f>
        <v>10</v>
      </c>
      <c r="B62" s="103" t="str">
        <f>MouserListTable12[[#This Row],[SKU]]</f>
        <v>474-TOL-09442</v>
      </c>
      <c r="C62" s="103">
        <f>MouserListTable12[[#This Row],['# Initial]]</f>
        <v>0</v>
      </c>
      <c r="D62" s="103" t="str">
        <f>MouserListTable12[[#This Row],[Name]]</f>
        <v>Wall Adapter Power Supply - 12VDC 600mA</v>
      </c>
      <c r="E62" s="103">
        <f>MouserListTable12[[#This Row],[Price (USD)]]</f>
        <v>5.95</v>
      </c>
      <c r="F62" s="103">
        <f>MouserListTable12[[#This Row],[Total Price]]</f>
        <v>0</v>
      </c>
    </row>
    <row r="63" spans="1:6" s="146" customFormat="1" hidden="1" x14ac:dyDescent="0.3">
      <c r="A63" s="103">
        <f>IF(MouserListTable1215[[#This Row],[Qty.]]&gt;0,IF($A62="List #",1,$A62+1),IF($A62="List #",0,$A62))</f>
        <v>10</v>
      </c>
      <c r="B63" s="103" t="str">
        <f>MouserListTable12[[#This Row],[SKU]]</f>
        <v>485-276</v>
      </c>
      <c r="C63" s="103">
        <f>MouserListTable12[[#This Row],['# Initial]]</f>
        <v>0</v>
      </c>
      <c r="D63" s="103" t="str">
        <f>MouserListTable12[[#This Row],[Name]]</f>
        <v>5V 2A (2000mA) switching power supply - UL Listed</v>
      </c>
      <c r="E63" s="103">
        <f>MouserListTable12[[#This Row],[Price (USD)]]</f>
        <v>7.95</v>
      </c>
      <c r="F63" s="103">
        <f>MouserListTable12[[#This Row],[Total Price]]</f>
        <v>0</v>
      </c>
    </row>
    <row r="64" spans="1:6" s="146" customFormat="1" hidden="1" x14ac:dyDescent="0.3">
      <c r="A64" s="103">
        <f>IF(MouserListTable1215[[#This Row],[Qty.]]&gt;0,IF($A63="List #",1,$A63+1),IF($A63="List #",0,$A63))</f>
        <v>10</v>
      </c>
      <c r="B64" s="103" t="str">
        <f>MouserListTable12[[#This Row],[SKU]]</f>
        <v>485-1448</v>
      </c>
      <c r="C64" s="103">
        <f>MouserListTable12[[#This Row],['# Initial]]</f>
        <v>0</v>
      </c>
      <c r="D64" s="103" t="str">
        <f>MouserListTable12[[#This Row],[Name]]</f>
        <v>Compact Switching Power Supply - Selectable Output 3-12VDC</v>
      </c>
      <c r="E64" s="103">
        <f>MouserListTable12[[#This Row],[Price (USD)]]</f>
        <v>14.95</v>
      </c>
      <c r="F64" s="103">
        <f>MouserListTable12[[#This Row],[Total Price]]</f>
        <v>0</v>
      </c>
    </row>
    <row r="65" spans="1:6" s="146" customFormat="1" x14ac:dyDescent="0.3">
      <c r="A65" s="193">
        <f>IF(MouserListTable1215[[#This Row],[Qty.]]&gt;0,IF($A64="List #",1,$A64+1),IF($A64="List #",0,$A64))</f>
        <v>11</v>
      </c>
      <c r="B65" s="103" t="str">
        <f>MouserListTable12[[#This Row],[SKU]]</f>
        <v>474-COM-11707</v>
      </c>
      <c r="C65" s="103">
        <f>MouserListTable12[[#This Row],['# Initial]]</f>
        <v>5</v>
      </c>
      <c r="D65" s="103" t="str">
        <f>MouserListTable12[[#This Row],[Name]]</f>
        <v>Barrel Jack Extension Cable - M-F (6 ft)</v>
      </c>
      <c r="E65" s="179">
        <f>MouserListTable12[[#This Row],[Price (USD)]]</f>
        <v>1.95</v>
      </c>
      <c r="F65" s="179">
        <f>MouserListTable12[[#This Row],[Total Price]]</f>
        <v>9.75</v>
      </c>
    </row>
    <row r="66" spans="1:6" s="146" customFormat="1" x14ac:dyDescent="0.3">
      <c r="A66" s="193">
        <f>IF(MouserListTable1215[[#This Row],[Qty.]]&gt;0,IF($A65="List #",1,$A65+1),IF($A65="List #",0,$A65))</f>
        <v>12</v>
      </c>
      <c r="B66" s="103" t="str">
        <f>MouserListTable12[[#This Row],[SKU]]</f>
        <v>474-TOL-08734</v>
      </c>
      <c r="C66" s="103">
        <f>MouserListTable12[[#This Row],['# Initial]]</f>
        <v>5</v>
      </c>
      <c r="D66" s="103" t="str">
        <f>MouserListTable12[[#This Row],[Name]]</f>
        <v>Barrel Jack to 2-pin JST</v>
      </c>
      <c r="E66" s="179">
        <f>MouserListTable12[[#This Row],[Price (USD)]]</f>
        <v>2.95</v>
      </c>
      <c r="F66" s="179">
        <f>MouserListTable12[[#This Row],[Total Price]]</f>
        <v>14.75</v>
      </c>
    </row>
    <row r="67" spans="1:6" s="146" customFormat="1" x14ac:dyDescent="0.3">
      <c r="A67" s="193">
        <f>IF(MouserListTable1215[[#This Row],[Qty.]]&gt;0,IF($A66="List #",1,$A66+1),IF($A66="List #",0,$A66))</f>
        <v>13</v>
      </c>
      <c r="B67" s="103" t="str">
        <f>MouserListTable12[[#This Row],[SKU]]</f>
        <v>474-TOL-08639</v>
      </c>
      <c r="C67" s="103">
        <f>MouserListTable12[[#This Row],['# Initial]]</f>
        <v>5</v>
      </c>
      <c r="D67" s="103" t="str">
        <f>MouserListTable12[[#This Row],[Name]]</f>
        <v>Barrel Jack Adapter - USB to 5.5mm</v>
      </c>
      <c r="E67" s="179">
        <f>MouserListTable12[[#This Row],[Price (USD)]]</f>
        <v>2.95</v>
      </c>
      <c r="F67" s="179">
        <f>MouserListTable12[[#This Row],[Total Price]]</f>
        <v>14.75</v>
      </c>
    </row>
    <row r="68" spans="1:6" s="146" customFormat="1" x14ac:dyDescent="0.3">
      <c r="A68" s="193">
        <f>IF(MouserListTable1215[[#This Row],[Qty.]]&gt;0,IF($A67="List #",1,$A67+1),IF($A67="List #",0,$A67))</f>
        <v>14</v>
      </c>
      <c r="B68" s="103" t="str">
        <f>MouserListTable12[[#This Row],[SKU]]</f>
        <v>474-COM-11705</v>
      </c>
      <c r="C68" s="103">
        <f>MouserListTable12[[#This Row],['# Initial]]</f>
        <v>5</v>
      </c>
      <c r="D68" s="103" t="str">
        <f>MouserListTable12[[#This Row],[Name]]</f>
        <v>Barrel Jack Power Switch - M-F (3\")</v>
      </c>
      <c r="E68" s="179">
        <f>MouserListTable12[[#This Row],[Price (USD)]]</f>
        <v>2.5</v>
      </c>
      <c r="F68" s="179">
        <f>MouserListTable12[[#This Row],[Total Price]]</f>
        <v>12.5</v>
      </c>
    </row>
    <row r="69" spans="1:6" s="146" customFormat="1" hidden="1" x14ac:dyDescent="0.3">
      <c r="A69" s="103">
        <f>IF(MouserListTable1215[[#This Row],[Qty.]]&gt;0,IF($A68="List #",1,$A68+1),IF($A68="List #",0,$A68))</f>
        <v>14</v>
      </c>
      <c r="B69" s="103" t="str">
        <f>MouserListTable12[[#This Row],[SKU]]</f>
        <v>485-327</v>
      </c>
      <c r="C69" s="103">
        <f>MouserListTable12[[#This Row],['# Initial]]</f>
        <v>0</v>
      </c>
      <c r="D69" s="103" t="str">
        <f>MouserListTable12[[#This Row],[Name]]</f>
        <v>2.1mm female/male barrel jack extension cable - 1.5m / 5 ft</v>
      </c>
      <c r="E69" s="103">
        <f>MouserListTable12[[#This Row],[Price (USD)]]</f>
        <v>2.95</v>
      </c>
      <c r="F69" s="103">
        <f>MouserListTable12[[#This Row],[Total Price]]</f>
        <v>0</v>
      </c>
    </row>
    <row r="70" spans="1:6" s="146" customFormat="1" hidden="1" x14ac:dyDescent="0.3">
      <c r="A70" s="103">
        <f>IF(MouserListTable1215[[#This Row],[Qty.]]&gt;0,IF($A69="List #",1,$A69+1),IF($A69="List #",0,$A69))</f>
        <v>14</v>
      </c>
      <c r="B70" s="103" t="str">
        <f>MouserListTable12[[#This Row],[SKU]]</f>
        <v>485-411</v>
      </c>
      <c r="C70" s="103">
        <f>MouserListTable12[[#This Row],['# Initial]]</f>
        <v>0</v>
      </c>
      <c r="D70" s="103" t="str">
        <f>MouserListTable12[[#This Row],[Name]]</f>
        <v>2.1mm to 1.7mm DC jack adapter</v>
      </c>
      <c r="E70" s="103">
        <f>MouserListTable12[[#This Row],[Price (USD)]]</f>
        <v>2.5</v>
      </c>
      <c r="F70" s="103">
        <f>MouserListTable12[[#This Row],[Total Price]]</f>
        <v>0</v>
      </c>
    </row>
    <row r="71" spans="1:6" s="146" customFormat="1" hidden="1" x14ac:dyDescent="0.3">
      <c r="A71" s="103">
        <f>IF(MouserListTable1215[[#This Row],[Qty.]]&gt;0,IF($A70="List #",1,$A70+1),IF($A70="List #",0,$A70))</f>
        <v>14</v>
      </c>
      <c r="B71" s="103" t="str">
        <f>MouserListTable12[[#This Row],[SKU]]</f>
        <v>485-2897</v>
      </c>
      <c r="C71" s="103">
        <f>MouserListTable12[[#This Row],['# Initial]]</f>
        <v>0</v>
      </c>
      <c r="D71" s="103" t="str">
        <f>MouserListTable12[[#This Row],[Name]]</f>
        <v>2.1mm to 2.5mm DC Barrel Plug Adapter</v>
      </c>
      <c r="E71" s="103">
        <f>MouserListTable12[[#This Row],[Price (USD)]]</f>
        <v>0.95</v>
      </c>
      <c r="F71" s="103">
        <f>MouserListTable12[[#This Row],[Total Price]]</f>
        <v>0</v>
      </c>
    </row>
    <row r="72" spans="1:6" s="146" customFormat="1" hidden="1" x14ac:dyDescent="0.3">
      <c r="A72" s="103">
        <f>IF(MouserListTable1215[[#This Row],[Qty.]]&gt;0,IF($A71="List #",1,$A71+1),IF($A71="List #",0,$A71))</f>
        <v>14</v>
      </c>
      <c r="B72" s="103" t="str">
        <f>MouserListTable12[[#This Row],[SKU]]</f>
        <v>485-2788</v>
      </c>
      <c r="C72" s="103">
        <f>MouserListTable12[[#This Row],['# Initial]]</f>
        <v>0</v>
      </c>
      <c r="D72" s="103" t="str">
        <f>MouserListTable12[[#This Row],[Name]]</f>
        <v>3.5 / 1.3mm or 3.8 / 1.1mm to 5.5 / 2.1mm DC Jack Adapter Cable</v>
      </c>
      <c r="E72" s="103">
        <f>MouserListTable12[[#This Row],[Price (USD)]]</f>
        <v>0.95</v>
      </c>
      <c r="F72" s="103">
        <f>MouserListTable12[[#This Row],[Total Price]]</f>
        <v>0</v>
      </c>
    </row>
    <row r="73" spans="1:6" s="146" customFormat="1" hidden="1" x14ac:dyDescent="0.3">
      <c r="A73" s="103">
        <f>IF(MouserListTable1215[[#This Row],[Qty.]]&gt;0,IF($A72="List #",1,$A72+1),IF($A72="List #",0,$A72))</f>
        <v>14</v>
      </c>
      <c r="B73" s="103" t="str">
        <f>MouserListTable12[[#This Row],[SKU]]</f>
        <v>474-TOL-12890</v>
      </c>
      <c r="C73" s="103">
        <f>MouserListTable12[[#This Row],['# Initial]]</f>
        <v>0</v>
      </c>
      <c r="D73" s="103" t="str">
        <f>MouserListTable12[[#This Row],[Name]]</f>
        <v>Wall Adapter Power Supply - 5V DC 2A (USB Micro-B)</v>
      </c>
      <c r="E73" s="103">
        <f>MouserListTable12[[#This Row],[Price (USD)]]</f>
        <v>5.95</v>
      </c>
      <c r="F73" s="103">
        <f>MouserListTable12[[#This Row],[Total Price]]</f>
        <v>0</v>
      </c>
    </row>
    <row r="74" spans="1:6" s="146" customFormat="1" hidden="1" x14ac:dyDescent="0.3">
      <c r="A74" s="103">
        <f>IF(MouserListTable1215[[#This Row],[Qty.]]&gt;0,IF($A73="List #",1,$A73+1),IF($A73="List #",0,$A73))</f>
        <v>14</v>
      </c>
      <c r="B74" s="103" t="str">
        <f>MouserListTable12[[#This Row],[SKU]]</f>
        <v>485-501</v>
      </c>
      <c r="C74" s="103">
        <f>MouserListTable12[[#This Row],['# Initial]]</f>
        <v>0</v>
      </c>
      <c r="D74" s="103" t="str">
        <f>MouserListTable12[[#This Row],[Name]]</f>
        <v>5V 1A (1000mA) USB port power supply - UL Listed</v>
      </c>
      <c r="E74" s="103">
        <f>MouserListTable12[[#This Row],[Price (USD)]]</f>
        <v>5.95</v>
      </c>
      <c r="F74" s="103">
        <f>MouserListTable12[[#This Row],[Total Price]]</f>
        <v>0</v>
      </c>
    </row>
    <row r="75" spans="1:6" s="146" customFormat="1" x14ac:dyDescent="0.3">
      <c r="A75" s="193">
        <f>IF(MouserListTable1215[[#This Row],[Qty.]]&gt;0,IF($A74="List #",1,$A74+1),IF($A74="List #",0,$A74))</f>
        <v>15</v>
      </c>
      <c r="B75" s="103" t="str">
        <f>MouserListTable12[[#This Row],[SKU]]</f>
        <v>485-1994</v>
      </c>
      <c r="C75" s="103">
        <f>MouserListTable12[[#This Row],['# Initial]]</f>
        <v>5</v>
      </c>
      <c r="D75" s="103" t="str">
        <f>MouserListTable12[[#This Row],[Name]]</f>
        <v>5V 2A Switching Power Supply w/ USB-A Connector</v>
      </c>
      <c r="E75" s="179">
        <f>MouserListTable12[[#This Row],[Price (USD)]]</f>
        <v>6.95</v>
      </c>
      <c r="F75" s="179">
        <f>MouserListTable12[[#This Row],[Total Price]]</f>
        <v>34.75</v>
      </c>
    </row>
    <row r="76" spans="1:6" s="144" customFormat="1" x14ac:dyDescent="0.3">
      <c r="A76" s="193">
        <f>IF(MouserListTable1215[[#This Row],[Qty.]]&gt;0,IF($A75="List #",1,$A75+1),IF($A75="List #",0,$A75))</f>
        <v>16</v>
      </c>
      <c r="B76" s="103" t="str">
        <f>MouserListTable12[[#This Row],[SKU]]</f>
        <v>474-CAB-00512</v>
      </c>
      <c r="C76" s="103">
        <f>MouserListTable12[[#This Row],['# Initial]]</f>
        <v>5</v>
      </c>
      <c r="D76" s="103" t="str">
        <f>MouserListTable12[[#This Row],[Name]]</f>
        <v>USB Cable A to B - 6 Foot</v>
      </c>
      <c r="E76" s="179">
        <f>MouserListTable12[[#This Row],[Price (USD)]]</f>
        <v>3.95</v>
      </c>
      <c r="F76" s="179">
        <f>MouserListTable12[[#This Row],[Total Price]]</f>
        <v>19.75</v>
      </c>
    </row>
    <row r="77" spans="1:6" s="144" customFormat="1" x14ac:dyDescent="0.3">
      <c r="A77" s="193">
        <f>IF(MouserListTable1215[[#This Row],[Qty.]]&gt;0,IF($A76="List #",1,$A76+1),IF($A76="List #",0,$A76))</f>
        <v>17</v>
      </c>
      <c r="B77" s="103" t="str">
        <f>MouserListTable12[[#This Row],[SKU]]</f>
        <v>474-CAB-11301</v>
      </c>
      <c r="C77" s="103">
        <f>MouserListTable12[[#This Row],['# Initial]]</f>
        <v>5</v>
      </c>
      <c r="D77" s="103" t="str">
        <f>MouserListTable12[[#This Row],[Name]]</f>
        <v>SparkFun USB Mini-B Cable - 6 Foot</v>
      </c>
      <c r="E77" s="179">
        <f>MouserListTable12[[#This Row],[Price (USD)]]</f>
        <v>3.95</v>
      </c>
      <c r="F77" s="179">
        <f>MouserListTable12[[#This Row],[Total Price]]</f>
        <v>19.75</v>
      </c>
    </row>
    <row r="78" spans="1:6" s="144" customFormat="1" hidden="1" x14ac:dyDescent="0.3">
      <c r="A78" s="103">
        <f>IF(MouserListTable1215[[#This Row],[Qty.]]&gt;0,IF($A77="List #",1,$A77+1),IF($A77="List #",0,$A77))</f>
        <v>17</v>
      </c>
      <c r="B78" s="103" t="str">
        <f>MouserListTable12[[#This Row],[SKU]]</f>
        <v>474-CAB-13243</v>
      </c>
      <c r="C78" s="103">
        <f>MouserListTable12[[#This Row],['# Initial]]</f>
        <v>0</v>
      </c>
      <c r="D78" s="103" t="str">
        <f>MouserListTable12[[#This Row],[Name]]</f>
        <v>USB Mini-B Cable - 6\"</v>
      </c>
      <c r="E78" s="103">
        <f>MouserListTable12[[#This Row],[Price (USD)]]</f>
        <v>1.95</v>
      </c>
      <c r="F78" s="103">
        <f>MouserListTable12[[#This Row],[Total Price]]</f>
        <v>0</v>
      </c>
    </row>
    <row r="79" spans="1:6" s="144" customFormat="1" hidden="1" x14ac:dyDescent="0.3">
      <c r="A79" s="103">
        <f>IF(MouserListTable1215[[#This Row],[Qty.]]&gt;0,IF($A78="List #",1,$A78+1),IF($A78="List #",0,$A78))</f>
        <v>17</v>
      </c>
      <c r="B79" s="103" t="str">
        <f>MouserListTable12[[#This Row],[SKU]]</f>
        <v>474-CAB-10177</v>
      </c>
      <c r="C79" s="103">
        <f>MouserListTable12[[#This Row],['# Initial]]</f>
        <v>0</v>
      </c>
      <c r="D79" s="103" t="str">
        <f>MouserListTable12[[#This Row],[Name]]</f>
        <v>Panel Mount USB to 4-pin Female Header Cable - 6\'</v>
      </c>
      <c r="E79" s="103">
        <f>MouserListTable12[[#This Row],[Price (USD)]]</f>
        <v>2.95</v>
      </c>
      <c r="F79" s="103">
        <f>MouserListTable12[[#This Row],[Total Price]]</f>
        <v>0</v>
      </c>
    </row>
    <row r="80" spans="1:6" s="144" customFormat="1" x14ac:dyDescent="0.3">
      <c r="A80" s="193">
        <f>IF(MouserListTable1215[[#This Row],[Qty.]]&gt;0,IF($A79="List #",1,$A79+1),IF($A79="List #",0,$A79))</f>
        <v>18</v>
      </c>
      <c r="B80" s="103" t="str">
        <f>MouserListTable12[[#This Row],[SKU]]</f>
        <v>474-CAB-10215</v>
      </c>
      <c r="C80" s="103">
        <f>MouserListTable12[[#This Row],['# Initial]]</f>
        <v>5</v>
      </c>
      <c r="D80" s="103" t="str">
        <f>MouserListTable12[[#This Row],[Name]]</f>
        <v>USB micro-B Cable - 6 Foot</v>
      </c>
      <c r="E80" s="179">
        <f>MouserListTable12[[#This Row],[Price (USD)]]</f>
        <v>4.95</v>
      </c>
      <c r="F80" s="179">
        <f>MouserListTable12[[#This Row],[Total Price]]</f>
        <v>24.75</v>
      </c>
    </row>
    <row r="81" spans="1:6" s="144" customFormat="1" hidden="1" x14ac:dyDescent="0.3">
      <c r="A81" s="103">
        <f>IF(MouserListTable1215[[#This Row],[Qty.]]&gt;0,IF($A80="List #",1,$A80+1),IF($A80="List #",0,$A80))</f>
        <v>18</v>
      </c>
      <c r="B81" s="103" t="str">
        <f>MouserListTable12[[#This Row],[SKU]]</f>
        <v>474-CAB-13244</v>
      </c>
      <c r="C81" s="103">
        <f>MouserListTable12[[#This Row],['# Initial]]</f>
        <v>0</v>
      </c>
      <c r="D81" s="103" t="str">
        <f>MouserListTable12[[#This Row],[Name]]</f>
        <v>USB Micro-B Cable - 6\"</v>
      </c>
      <c r="E81" s="103">
        <f>MouserListTable12[[#This Row],[Price (USD)]]</f>
        <v>1.95</v>
      </c>
      <c r="F81" s="103">
        <f>MouserListTable12[[#This Row],[Total Price]]</f>
        <v>0</v>
      </c>
    </row>
    <row r="82" spans="1:6" s="146" customFormat="1" hidden="1" x14ac:dyDescent="0.3">
      <c r="A82" s="103">
        <f>IF(MouserListTable1215[[#This Row],[Qty.]]&gt;0,IF($A81="List #",1,$A81+1),IF($A81="List #",0,$A81))</f>
        <v>18</v>
      </c>
      <c r="B82" s="103" t="str">
        <f>MouserListTable12[[#This Row],[SKU]]</f>
        <v>474-CAB-11579</v>
      </c>
      <c r="C82" s="103">
        <f>MouserListTable12[[#This Row],['# Initial]]</f>
        <v>0</v>
      </c>
      <c r="D82" s="103" t="str">
        <f>MouserListTable12[[#This Row],[Name]]</f>
        <v>SparkFun Hydra Power Cable - 6ft</v>
      </c>
      <c r="E82" s="103">
        <f>MouserListTable12[[#This Row],[Price (USD)]]</f>
        <v>4.95</v>
      </c>
      <c r="F82" s="103">
        <f>MouserListTable12[[#This Row],[Total Price]]</f>
        <v>0</v>
      </c>
    </row>
    <row r="83" spans="1:6" s="146" customFormat="1" hidden="1" x14ac:dyDescent="0.3">
      <c r="A83" s="103">
        <f>IF(MouserListTable1215[[#This Row],[Qty.]]&gt;0,IF($A82="List #",1,$A82+1),IF($A82="List #",0,$A82))</f>
        <v>18</v>
      </c>
      <c r="B83" s="103" t="str">
        <f>MouserListTable12[[#This Row],[SKU]]</f>
        <v>485-2727</v>
      </c>
      <c r="C83" s="103">
        <f>MouserListTable12[[#This Row],['# Initial]]</f>
        <v>0</v>
      </c>
      <c r="D83" s="103" t="str">
        <f>MouserListTable12[[#This Row],[Name]]</f>
        <v>MicroUSB Plug to 5.5/2.1mm DC Barrel Jack Adapter</v>
      </c>
      <c r="E83" s="103">
        <f>MouserListTable12[[#This Row],[Price (USD)]]</f>
        <v>1.95</v>
      </c>
      <c r="F83" s="103">
        <f>MouserListTable12[[#This Row],[Total Price]]</f>
        <v>0</v>
      </c>
    </row>
    <row r="84" spans="1:6" s="146" customFormat="1" hidden="1" x14ac:dyDescent="0.3">
      <c r="A84" s="103">
        <f>IF(MouserListTable1215[[#This Row],[Qty.]]&gt;0,IF($A83="List #",1,$A83+1),IF($A83="List #",0,$A83))</f>
        <v>18</v>
      </c>
      <c r="B84" s="103" t="str">
        <f>MouserListTable12[[#This Row],[SKU]]</f>
        <v>485-988</v>
      </c>
      <c r="C84" s="103">
        <f>MouserListTable12[[#This Row],['# Initial]]</f>
        <v>0</v>
      </c>
      <c r="D84" s="103" t="str">
        <f>MouserListTable12[[#This Row],[Name]]</f>
        <v>USB A Jack to 5.5/2.1mm jack adapter</v>
      </c>
      <c r="E84" s="103">
        <f>MouserListTable12[[#This Row],[Price (USD)]]</f>
        <v>2.95</v>
      </c>
      <c r="F84" s="103">
        <f>MouserListTable12[[#This Row],[Total Price]]</f>
        <v>0</v>
      </c>
    </row>
    <row r="85" spans="1:6" s="146" customFormat="1" hidden="1" x14ac:dyDescent="0.3">
      <c r="A85" s="103">
        <f>IF(MouserListTable1215[[#This Row],[Qty.]]&gt;0,IF($A84="List #",1,$A84+1),IF($A84="List #",0,$A84))</f>
        <v>18</v>
      </c>
      <c r="B85" s="103" t="str">
        <f>MouserListTable12[[#This Row],[SKU]]</f>
        <v>485-2778</v>
      </c>
      <c r="C85" s="103">
        <f>MouserListTable12[[#This Row],['# Initial]]</f>
        <v>0</v>
      </c>
      <c r="D85" s="103" t="str">
        <f>MouserListTable12[[#This Row],[Name]]</f>
        <v>USB to 2.1mm DC Booster Cable - 12V</v>
      </c>
      <c r="E85" s="103">
        <f>MouserListTable12[[#This Row],[Price (USD)]]</f>
        <v>6.5</v>
      </c>
      <c r="F85" s="103">
        <f>MouserListTable12[[#This Row],[Total Price]]</f>
        <v>0</v>
      </c>
    </row>
    <row r="86" spans="1:6" s="146" customFormat="1" hidden="1" x14ac:dyDescent="0.3">
      <c r="A86" s="103">
        <f>IF(MouserListTable1215[[#This Row],[Qty.]]&gt;0,IF($A85="List #",1,$A85+1),IF($A85="List #",0,$A85))</f>
        <v>18</v>
      </c>
      <c r="B86" s="103" t="str">
        <f>MouserListTable12[[#This Row],[SKU]]</f>
        <v>485-2777</v>
      </c>
      <c r="C86" s="103">
        <f>MouserListTable12[[#This Row],['# Initial]]</f>
        <v>0</v>
      </c>
      <c r="D86" s="103" t="str">
        <f>MouserListTable12[[#This Row],[Name]]</f>
        <v>USB to 2.1mm DC Booster Cable - 9V</v>
      </c>
      <c r="E86" s="103">
        <f>MouserListTable12[[#This Row],[Price (USD)]]</f>
        <v>6.5</v>
      </c>
      <c r="F86" s="103">
        <f>MouserListTable12[[#This Row],[Total Price]]</f>
        <v>0</v>
      </c>
    </row>
    <row r="87" spans="1:6" s="146" customFormat="1" hidden="1" x14ac:dyDescent="0.3">
      <c r="A87" s="103">
        <f>IF(MouserListTable1215[[#This Row],[Qty.]]&gt;0,IF($A86="List #",1,$A86+1),IF($A86="List #",0,$A86))</f>
        <v>18</v>
      </c>
      <c r="B87" s="103" t="str">
        <f>MouserListTable12[[#This Row],[SKU]]</f>
        <v>485-2697</v>
      </c>
      <c r="C87" s="103">
        <f>MouserListTable12[[#This Row],['# Initial]]</f>
        <v>0</v>
      </c>
      <c r="D87" s="103" t="str">
        <f>MouserListTable12[[#This Row],[Name]]</f>
        <v>USB to 2.1mm Male Barrel Jack Cable - 22AWG &amp; 1 meter</v>
      </c>
      <c r="E87" s="103">
        <f>MouserListTable12[[#This Row],[Price (USD)]]</f>
        <v>2.75</v>
      </c>
      <c r="F87" s="103">
        <f>MouserListTable12[[#This Row],[Total Price]]</f>
        <v>0</v>
      </c>
    </row>
    <row r="88" spans="1:6" s="146" customFormat="1" x14ac:dyDescent="0.3">
      <c r="A88" s="193">
        <f>IF(MouserListTable1215[[#This Row],[Qty.]]&gt;0,IF($A87="List #",1,$A87+1),IF($A87="List #",0,$A87))</f>
        <v>19</v>
      </c>
      <c r="B88" s="103" t="str">
        <f>MouserListTable12[[#This Row],[SKU]]</f>
        <v>485-2789</v>
      </c>
      <c r="C88" s="103">
        <f>MouserListTable12[[#This Row],['# Initial]]</f>
        <v>5</v>
      </c>
      <c r="D88" s="103" t="str">
        <f>MouserListTable12[[#This Row],[Name]]</f>
        <v>MicroUSB to 5.5/2.1mm DC Barrel Jack Adapter</v>
      </c>
      <c r="E88" s="179">
        <f>MouserListTable12[[#This Row],[Price (USD)]]</f>
        <v>1.95</v>
      </c>
      <c r="F88" s="179">
        <f>MouserListTable12[[#This Row],[Total Price]]</f>
        <v>9.75</v>
      </c>
    </row>
    <row r="89" spans="1:6" s="146" customFormat="1" x14ac:dyDescent="0.3">
      <c r="A89" s="193">
        <f>IF(MouserListTable1215[[#This Row],[Qty.]]&gt;0,IF($A88="List #",1,$A88+1),IF($A88="List #",0,$A88))</f>
        <v>20</v>
      </c>
      <c r="B89" s="103" t="str">
        <f>MouserListTable12[[#This Row],[SKU]]</f>
        <v>474-DEV-13158</v>
      </c>
      <c r="C89" s="103">
        <f>MouserListTable12[[#This Row],['# Initial]]</f>
        <v>5</v>
      </c>
      <c r="D89" s="103" t="str">
        <f>MouserListTable12[[#This Row],[Name]]</f>
        <v>SparkFun LiPower Shield</v>
      </c>
      <c r="E89" s="179">
        <f>MouserListTable12[[#This Row],[Price (USD)]]</f>
        <v>29.95</v>
      </c>
      <c r="F89" s="179">
        <f>MouserListTable12[[#This Row],[Total Price]]</f>
        <v>149.75</v>
      </c>
    </row>
    <row r="90" spans="1:6" s="146" customFormat="1" x14ac:dyDescent="0.3">
      <c r="A90" s="193">
        <f>IF(MouserListTable1215[[#This Row],[Qty.]]&gt;0,IF($A89="List #",1,$A89+1),IF($A89="List #",0,$A89))</f>
        <v>21</v>
      </c>
      <c r="B90" s="103" t="str">
        <f>MouserListTable12[[#This Row],[SKU]]</f>
        <v>474-PRT-12711</v>
      </c>
      <c r="C90" s="103">
        <f>MouserListTable12[[#This Row],['# Initial]]</f>
        <v>5</v>
      </c>
      <c r="D90" s="103" t="str">
        <f>MouserListTable12[[#This Row],[Name]]</f>
        <v>SparkFun USB LiPoly Charger - Single Cell</v>
      </c>
      <c r="E90" s="179">
        <f>MouserListTable12[[#This Row],[Price (USD)]]</f>
        <v>14.95</v>
      </c>
      <c r="F90" s="179">
        <f>MouserListTable12[[#This Row],[Total Price]]</f>
        <v>74.75</v>
      </c>
    </row>
    <row r="91" spans="1:6" s="146" customFormat="1" hidden="1" x14ac:dyDescent="0.3">
      <c r="A91" s="103">
        <f>IF(MouserListTable1215[[#This Row],[Qty.]]&gt;0,IF($A90="List #",1,$A90+1),IF($A90="List #",0,$A90))</f>
        <v>21</v>
      </c>
      <c r="B91" s="103" t="str">
        <f>MouserListTable12[[#This Row],[SKU]]</f>
        <v>474-PRT-13777</v>
      </c>
      <c r="C91" s="103">
        <f>MouserListTable12[[#This Row],['# Initial]]</f>
        <v>0</v>
      </c>
      <c r="D91" s="103" t="str">
        <f>MouserListTable12[[#This Row],[Name]]</f>
        <v>SparkFun Battery Babysitter - LiPo Battery Manager</v>
      </c>
      <c r="E91" s="103">
        <f>MouserListTable12[[#This Row],[Price (USD)]]</f>
        <v>19.95</v>
      </c>
      <c r="F91" s="103">
        <f>MouserListTable12[[#This Row],[Total Price]]</f>
        <v>0</v>
      </c>
    </row>
    <row r="92" spans="1:6" s="146" customFormat="1" x14ac:dyDescent="0.3">
      <c r="A92" s="193">
        <f>IF(MouserListTable1215[[#This Row],[Qty.]]&gt;0,IF($A91="List #",1,$A91+1),IF($A91="List #",0,$A91))</f>
        <v>22</v>
      </c>
      <c r="B92" s="103" t="str">
        <f>MouserListTable12[[#This Row],[SKU]]</f>
        <v>474-PRT-13856</v>
      </c>
      <c r="C92" s="103">
        <f>MouserListTable12[[#This Row],['# Initial]]</f>
        <v>5</v>
      </c>
      <c r="D92" s="103" t="str">
        <f>MouserListTable12[[#This Row],[Name]]</f>
        <v>Lithium Ion Battery - 6Ah</v>
      </c>
      <c r="E92" s="179">
        <f>MouserListTable12[[#This Row],[Price (USD)]]</f>
        <v>29.95</v>
      </c>
      <c r="F92" s="179">
        <f>MouserListTable12[[#This Row],[Total Price]]</f>
        <v>149.75</v>
      </c>
    </row>
    <row r="93" spans="1:6" s="146" customFormat="1" hidden="1" x14ac:dyDescent="0.3">
      <c r="A93" s="103">
        <f>IF(MouserListTable1215[[#This Row],[Qty.]]&gt;0,IF($A92="List #",1,$A92+1),IF($A92="List #",0,$A92))</f>
        <v>22</v>
      </c>
      <c r="B93" s="103" t="str">
        <f>MouserListTable12[[#This Row],[SKU]]</f>
        <v>474-PRT-13855</v>
      </c>
      <c r="C93" s="103">
        <f>MouserListTable12[[#This Row],['# Initial]]</f>
        <v>0</v>
      </c>
      <c r="D93" s="103" t="str">
        <f>MouserListTable12[[#This Row],[Name]]</f>
        <v>Lithium Ion Battery - 2Ah</v>
      </c>
      <c r="E93" s="103">
        <f>MouserListTable12[[#This Row],[Price (USD)]]</f>
        <v>12.95</v>
      </c>
      <c r="F93" s="103">
        <f>MouserListTable12[[#This Row],[Total Price]]</f>
        <v>0</v>
      </c>
    </row>
    <row r="94" spans="1:6" s="146" customFormat="1" x14ac:dyDescent="0.3">
      <c r="A94" s="193">
        <f>IF(MouserListTable1215[[#This Row],[Qty.]]&gt;0,IF($A93="List #",1,$A93+1),IF($A93="List #",0,$A93))</f>
        <v>23</v>
      </c>
      <c r="B94" s="103" t="str">
        <f>MouserListTable12[[#This Row],[SKU]]</f>
        <v>474-PRT-13032</v>
      </c>
      <c r="C94" s="103">
        <f>MouserListTable12[[#This Row],['# Initial]]</f>
        <v>5</v>
      </c>
      <c r="D94" s="103" t="str">
        <f>MouserListTable12[[#This Row],[Name]]</f>
        <v>SparkFun Breadboard Power Supply Stick - 5V/3.3V</v>
      </c>
      <c r="E94" s="179">
        <f>MouserListTable12[[#This Row],[Price (USD)]]</f>
        <v>9.9499999999999993</v>
      </c>
      <c r="F94" s="179">
        <f>MouserListTable12[[#This Row],[Total Price]]</f>
        <v>49.75</v>
      </c>
    </row>
    <row r="95" spans="1:6" s="146" customFormat="1" hidden="1" x14ac:dyDescent="0.3">
      <c r="A95" s="103">
        <f>IF(MouserListTable1215[[#This Row],[Qty.]]&gt;0,IF($A94="List #",1,$A94+1),IF($A94="List #",0,$A94))</f>
        <v>23</v>
      </c>
      <c r="B95" s="103" t="str">
        <f>MouserListTable12[[#This Row],[SKU]]</f>
        <v>474-PRT-00114</v>
      </c>
      <c r="C95" s="103">
        <f>MouserListTable12[[#This Row],['# Initial]]</f>
        <v>0</v>
      </c>
      <c r="D95" s="103" t="str">
        <f>MouserListTable12[[#This Row],[Name]]</f>
        <v>SparkFun Breadboard Power Supply 5V/3.3V</v>
      </c>
      <c r="E95" s="103">
        <f>MouserListTable12[[#This Row],[Price (USD)]]</f>
        <v>9.9499999999999993</v>
      </c>
      <c r="F95" s="103">
        <f>MouserListTable12[[#This Row],[Total Price]]</f>
        <v>0</v>
      </c>
    </row>
    <row r="96" spans="1:6" s="146" customFormat="1" hidden="1" x14ac:dyDescent="0.3">
      <c r="A96" s="103">
        <f>IF(MouserListTable1215[[#This Row],[Qty.]]&gt;0,IF($A95="List #",1,$A95+1),IF($A95="List #",0,$A95))</f>
        <v>23</v>
      </c>
      <c r="B96" s="103" t="str">
        <f>MouserListTable12[[#This Row],[SKU]]</f>
        <v>485-184</v>
      </c>
      <c r="C96" s="103">
        <f>MouserListTable12[[#This Row],['# Initial]]</f>
        <v>0</v>
      </c>
      <c r="D96" s="103" t="str">
        <f>MouserListTable12[[#This Row],[Name]]</f>
        <v>Adjustable breadboard power supply kit - v1.0</v>
      </c>
      <c r="E96" s="103">
        <f>MouserListTable12[[#This Row],[Price (USD)]]</f>
        <v>14.95</v>
      </c>
      <c r="F96" s="103">
        <f>MouserListTable12[[#This Row],[Total Price]]</f>
        <v>0</v>
      </c>
    </row>
    <row r="97" spans="1:6" s="146" customFormat="1" x14ac:dyDescent="0.3">
      <c r="A97" s="193">
        <f>IF(MouserListTable1215[[#This Row],[Qty.]]&gt;0,IF($A96="List #",1,$A96+1),IF($A96="List #",0,$A96))</f>
        <v>24</v>
      </c>
      <c r="B97" s="103" t="str">
        <f>MouserListTable12[[#This Row],[SKU]]</f>
        <v>474-PRT-10811</v>
      </c>
      <c r="C97" s="103">
        <f>MouserListTable12[[#This Row],['# Initial]]</f>
        <v>5</v>
      </c>
      <c r="D97" s="103" t="str">
        <f>MouserListTable12[[#This Row],[Name]]</f>
        <v>DC Barrel Jack Adapter - Breadboard Compatible</v>
      </c>
      <c r="E97" s="179">
        <f>MouserListTable12[[#This Row],[Price (USD)]]</f>
        <v>0.95</v>
      </c>
      <c r="F97" s="179">
        <f>MouserListTable12[[#This Row],[Total Price]]</f>
        <v>4.75</v>
      </c>
    </row>
    <row r="98" spans="1:6" s="146" customFormat="1" hidden="1" x14ac:dyDescent="0.3">
      <c r="A98" s="103">
        <f>IF(MouserListTable1215[[#This Row],[Qty.]]&gt;0,IF($A97="List #",1,$A97+1),IF($A97="List #",0,$A97))</f>
        <v>24</v>
      </c>
      <c r="B98" s="103" t="str">
        <f>MouserListTable12[[#This Row],[SKU]]</f>
        <v>485-373</v>
      </c>
      <c r="C98" s="103">
        <f>MouserListTable12[[#This Row],['# Initial]]</f>
        <v>0</v>
      </c>
      <c r="D98" s="103" t="str">
        <f>MouserListTable12[[#This Row],[Name]]</f>
        <v xml:space="preserve">Breadboard-friendly 2.1mm DC barrel jack </v>
      </c>
      <c r="E98" s="103">
        <f>MouserListTable12[[#This Row],[Price (USD)]]</f>
        <v>0.95</v>
      </c>
      <c r="F98" s="103">
        <f>MouserListTable12[[#This Row],[Total Price]]</f>
        <v>0</v>
      </c>
    </row>
    <row r="99" spans="1:6" s="146" customFormat="1" x14ac:dyDescent="0.3">
      <c r="A99" s="193">
        <f>IF(MouserListTable1215[[#This Row],[Qty.]]&gt;0,IF($A98="List #",1,$A98+1),IF($A98="List #",0,$A98))</f>
        <v>25</v>
      </c>
      <c r="B99" s="103" t="str">
        <f>MouserListTable12[[#This Row],[SKU]]</f>
        <v>474-PRT-11214</v>
      </c>
      <c r="C99" s="103">
        <f>MouserListTable12[[#This Row],['# Initial]]</f>
        <v>5</v>
      </c>
      <c r="D99" s="103" t="str">
        <f>MouserListTable12[[#This Row],[Name]]</f>
        <v>SparkFun MOSFET Power Controller</v>
      </c>
      <c r="E99" s="179">
        <f>MouserListTable12[[#This Row],[Price (USD)]]</f>
        <v>6.95</v>
      </c>
      <c r="F99" s="179">
        <f>MouserListTable12[[#This Row],[Total Price]]</f>
        <v>34.75</v>
      </c>
    </row>
    <row r="100" spans="1:6" s="146" customFormat="1" hidden="1" x14ac:dyDescent="0.3">
      <c r="A100" s="103">
        <f>IF(MouserListTable1215[[#This Row],[Qty.]]&gt;0,IF($A99="List #",1,$A99+1),IF($A99="List #",0,$A99))</f>
        <v>25</v>
      </c>
      <c r="B100" s="103" t="str">
        <f>MouserListTable12[[#This Row],[SKU]]</f>
        <v>485-1125</v>
      </c>
      <c r="C100" s="103">
        <f>MouserListTable12[[#This Row],['# Initial]]</f>
        <v>0</v>
      </c>
      <c r="D100" s="103" t="str">
        <f>MouserListTable12[[#This Row],[Name]]</f>
        <v>In-line power switch for 2.1mm barrel jack</v>
      </c>
      <c r="E100" s="103">
        <f>MouserListTable12[[#This Row],[Price (USD)]]</f>
        <v>2.5</v>
      </c>
      <c r="F100" s="103">
        <f>MouserListTable12[[#This Row],[Total Price]]</f>
        <v>0</v>
      </c>
    </row>
    <row r="101" spans="1:6" s="146" customFormat="1" x14ac:dyDescent="0.3">
      <c r="A101" s="193">
        <f>IF(MouserListTable1215[[#This Row],[Qty.]]&gt;0,IF($A100="List #",1,$A100+1),IF($A100="List #",0,$A100))</f>
        <v>26</v>
      </c>
      <c r="B101" s="103" t="str">
        <f>MouserListTable12[[#This Row],[SKU]]</f>
        <v>485-743</v>
      </c>
      <c r="C101" s="103">
        <f>MouserListTable12[[#This Row],['# Initial]]</f>
        <v>5</v>
      </c>
      <c r="D101" s="103" t="str">
        <f>MouserListTable12[[#This Row],[Name]]</f>
        <v>Waterproof DC Power Cable Set - 5.5/2.1mm</v>
      </c>
      <c r="E101" s="179">
        <f>MouserListTable12[[#This Row],[Price (USD)]]</f>
        <v>2.5</v>
      </c>
      <c r="F101" s="179">
        <f>MouserListTable12[[#This Row],[Total Price]]</f>
        <v>12.5</v>
      </c>
    </row>
    <row r="102" spans="1:6" s="146" customFormat="1" hidden="1" x14ac:dyDescent="0.3">
      <c r="A102" s="103">
        <f>IF(MouserListTable1215[[#This Row],[Qty.]]&gt;0,IF($A101="List #",1,$A101+1),IF($A101="List #",0,$A101))</f>
        <v>26</v>
      </c>
      <c r="B102" s="103" t="str">
        <f>MouserListTable12[[#This Row],[SKU]]</f>
        <v>474-PRT-10288</v>
      </c>
      <c r="C102" s="103">
        <f>MouserListTable12[[#This Row],['# Initial]]</f>
        <v>0</v>
      </c>
      <c r="D102" s="103" t="str">
        <f>MouserListTable12[[#This Row],[Name]]</f>
        <v>DC Barrel Jack Adapter - Female</v>
      </c>
      <c r="E102" s="103">
        <f>MouserListTable12[[#This Row],[Price (USD)]]</f>
        <v>2.95</v>
      </c>
      <c r="F102" s="103">
        <f>MouserListTable12[[#This Row],[Total Price]]</f>
        <v>0</v>
      </c>
    </row>
    <row r="103" spans="1:6" s="146" customFormat="1" hidden="1" x14ac:dyDescent="0.3">
      <c r="A103" s="103">
        <f>IF(MouserListTable1215[[#This Row],[Qty.]]&gt;0,IF($A102="List #",1,$A102+1),IF($A102="List #",0,$A102))</f>
        <v>26</v>
      </c>
      <c r="B103" s="103" t="str">
        <f>MouserListTable12[[#This Row],[SKU]]</f>
        <v>474-PRT-10287</v>
      </c>
      <c r="C103" s="103">
        <f>MouserListTable12[[#This Row],['# Initial]]</f>
        <v>0</v>
      </c>
      <c r="D103" s="103" t="str">
        <f>MouserListTable12[[#This Row],[Name]]</f>
        <v>DC Barrel Jack Adapter - Male</v>
      </c>
      <c r="E103" s="103">
        <f>MouserListTable12[[#This Row],[Price (USD)]]</f>
        <v>2.95</v>
      </c>
      <c r="F103" s="103">
        <f>MouserListTable12[[#This Row],[Total Price]]</f>
        <v>0</v>
      </c>
    </row>
    <row r="104" spans="1:6" s="146" customFormat="1" hidden="1" x14ac:dyDescent="0.3">
      <c r="A104" s="103">
        <f>IF(MouserListTable1215[[#This Row],[Qty.]]&gt;0,IF($A103="List #",1,$A103+1),IF($A103="List #",0,$A103))</f>
        <v>26</v>
      </c>
      <c r="B104" s="103" t="str">
        <f>MouserListTable12[[#This Row],[SKU]]</f>
        <v>485-368</v>
      </c>
      <c r="C104" s="103">
        <f>MouserListTable12[[#This Row],['# Initial]]</f>
        <v>0</v>
      </c>
      <c r="D104" s="103" t="str">
        <f>MouserListTable12[[#This Row],[Name]]</f>
        <v>Female DC Power adapter - 2.1mm jack to screw terminal block</v>
      </c>
      <c r="E104" s="103">
        <f>MouserListTable12[[#This Row],[Price (USD)]]</f>
        <v>2</v>
      </c>
      <c r="F104" s="103">
        <f>MouserListTable12[[#This Row],[Total Price]]</f>
        <v>0</v>
      </c>
    </row>
    <row r="105" spans="1:6" s="146" customFormat="1" hidden="1" x14ac:dyDescent="0.3">
      <c r="A105" s="103">
        <f>IF(MouserListTable1215[[#This Row],[Qty.]]&gt;0,IF($A104="List #",1,$A104+1),IF($A104="List #",0,$A104))</f>
        <v>26</v>
      </c>
      <c r="B105" s="103" t="str">
        <f>MouserListTable12[[#This Row],[SKU]]</f>
        <v>485-369</v>
      </c>
      <c r="C105" s="103">
        <f>MouserListTable12[[#This Row],['# Initial]]</f>
        <v>0</v>
      </c>
      <c r="D105" s="103" t="str">
        <f>MouserListTable12[[#This Row],[Name]]</f>
        <v>Male DC Power adapter - 2.1mm plug to screw terminal block</v>
      </c>
      <c r="E105" s="103">
        <f>MouserListTable12[[#This Row],[Price (USD)]]</f>
        <v>2</v>
      </c>
      <c r="F105" s="103">
        <f>MouserListTable12[[#This Row],[Total Price]]</f>
        <v>0</v>
      </c>
    </row>
    <row r="106" spans="1:6" s="146" customFormat="1" hidden="1" x14ac:dyDescent="0.3">
      <c r="A106" s="103">
        <f>IF(MouserListTable1215[[#This Row],[Qty.]]&gt;0,IF($A105="List #",1,$A105+1),IF($A105="List #",0,$A105))</f>
        <v>26</v>
      </c>
      <c r="B106" s="103" t="str">
        <f>MouserListTable12[[#This Row],[SKU]]</f>
        <v>474-PRT-13126</v>
      </c>
      <c r="C106" s="103">
        <f>MouserListTable12[[#This Row],['# Initial]]</f>
        <v>0</v>
      </c>
      <c r="D106" s="103" t="str">
        <f>MouserListTable12[[#This Row],[Name]]</f>
        <v>DC Barrel Jack Plug - Female</v>
      </c>
      <c r="E106" s="103">
        <f>MouserListTable12[[#This Row],[Price (USD)]]</f>
        <v>0.95</v>
      </c>
      <c r="F106" s="103">
        <f>MouserListTable12[[#This Row],[Total Price]]</f>
        <v>0</v>
      </c>
    </row>
    <row r="107" spans="1:6" s="146" customFormat="1" x14ac:dyDescent="0.3">
      <c r="A107" s="193">
        <f>IF(MouserListTable1215[[#This Row],[Qty.]]&gt;0,IF($A106="List #",1,$A106+1),IF($A106="List #",0,$A106))</f>
        <v>27</v>
      </c>
      <c r="B107" s="103" t="str">
        <f>MouserListTable12[[#This Row],[SKU]]</f>
        <v>474-PRT-11476</v>
      </c>
      <c r="C107" s="103">
        <f>MouserListTable12[[#This Row],['# Initial]]</f>
        <v>5</v>
      </c>
      <c r="D107" s="103" t="str">
        <f>MouserListTable12[[#This Row],[Name]]</f>
        <v>DC Barrel Jack Plug - Male</v>
      </c>
      <c r="E107" s="179">
        <f>MouserListTable12[[#This Row],[Price (USD)]]</f>
        <v>0.95</v>
      </c>
      <c r="F107" s="179">
        <f>MouserListTable12[[#This Row],[Total Price]]</f>
        <v>4.75</v>
      </c>
    </row>
    <row r="108" spans="1:6" s="146" customFormat="1" hidden="1" x14ac:dyDescent="0.3">
      <c r="A108" s="103">
        <f>IF(MouserListTable1215[[#This Row],[Qty.]]&gt;0,IF($A107="List #",1,$A107+1),IF($A107="List #",0,$A107))</f>
        <v>27</v>
      </c>
      <c r="B108" s="103" t="str">
        <f>MouserListTable12[[#This Row],[SKU]]</f>
        <v>474-PRT-11474</v>
      </c>
      <c r="C108" s="103">
        <f>MouserListTable12[[#This Row],['# Initial]]</f>
        <v>0</v>
      </c>
      <c r="D108" s="103" t="str">
        <f>MouserListTable12[[#This Row],[Name]]</f>
        <v>Car Adapter Plug - Red LED</v>
      </c>
      <c r="E108" s="103">
        <f>MouserListTable12[[#This Row],[Price (USD)]]</f>
        <v>0.3</v>
      </c>
      <c r="F108" s="103">
        <f>MouserListTable12[[#This Row],[Total Price]]</f>
        <v>0</v>
      </c>
    </row>
    <row r="109" spans="1:6" s="146" customFormat="1" hidden="1" x14ac:dyDescent="0.3">
      <c r="A109" s="103">
        <f>IF(MouserListTable1215[[#This Row],[Qty.]]&gt;0,IF($A108="List #",1,$A108+1),IF($A108="List #",0,$A108))</f>
        <v>27</v>
      </c>
      <c r="B109" s="103" t="str">
        <f>MouserListTable12[[#This Row],[SKU]]</f>
        <v>485-1829</v>
      </c>
      <c r="C109" s="103">
        <f>MouserListTable12[[#This Row],['# Initial]]</f>
        <v>0</v>
      </c>
      <c r="D109" s="103" t="str">
        <f>MouserListTable12[[#This Row],[Name]]</f>
        <v>USB DIY Connector - MicroB Female Plug</v>
      </c>
      <c r="E109" s="103">
        <f>MouserListTable12[[#This Row],[Price (USD)]]</f>
        <v>0.95</v>
      </c>
      <c r="F109" s="103">
        <f>MouserListTable12[[#This Row],[Total Price]]</f>
        <v>0</v>
      </c>
    </row>
    <row r="110" spans="1:6" s="146" customFormat="1" hidden="1" x14ac:dyDescent="0.3">
      <c r="A110" s="103">
        <f>IF(MouserListTable1215[[#This Row],[Qty.]]&gt;0,IF($A109="List #",1,$A109+1),IF($A109="List #",0,$A109))</f>
        <v>27</v>
      </c>
      <c r="B110" s="103" t="str">
        <f>MouserListTable12[[#This Row],[SKU]]</f>
        <v>485-1388</v>
      </c>
      <c r="C110" s="103">
        <f>MouserListTable12[[#This Row],['# Initial]]</f>
        <v>0</v>
      </c>
      <c r="D110" s="103" t="str">
        <f>MouserListTable12[[#This Row],[Name]]</f>
        <v>USB DIY Connector Shell - Type A Socket</v>
      </c>
      <c r="E110" s="103">
        <f>MouserListTable12[[#This Row],[Price (USD)]]</f>
        <v>0.95</v>
      </c>
      <c r="F110" s="103">
        <f>MouserListTable12[[#This Row],[Total Price]]</f>
        <v>0</v>
      </c>
    </row>
    <row r="111" spans="1:6" s="146" customFormat="1" hidden="1" x14ac:dyDescent="0.3">
      <c r="A111" s="103">
        <f>IF(MouserListTable1215[[#This Row],[Qty.]]&gt;0,IF($A110="List #",1,$A110+1),IF($A110="List #",0,$A110))</f>
        <v>27</v>
      </c>
      <c r="B111" s="103" t="str">
        <f>MouserListTable12[[#This Row],[SKU]]</f>
        <v>485-1390</v>
      </c>
      <c r="C111" s="103">
        <f>MouserListTable12[[#This Row],['# Initial]]</f>
        <v>0</v>
      </c>
      <c r="D111" s="103" t="str">
        <f>MouserListTable12[[#This Row],[Name]]</f>
        <v>USB DIY Connector Shell - Type Micro-B Plug</v>
      </c>
      <c r="E111" s="103">
        <f>MouserListTable12[[#This Row],[Price (USD)]]</f>
        <v>0.95</v>
      </c>
      <c r="F111" s="103">
        <f>MouserListTable12[[#This Row],[Total Price]]</f>
        <v>0</v>
      </c>
    </row>
    <row r="112" spans="1:6" s="146" customFormat="1" hidden="1" x14ac:dyDescent="0.3">
      <c r="A112" s="103">
        <f>IF(MouserListTable1215[[#This Row],[Qty.]]&gt;0,IF($A111="List #",1,$A111+1),IF($A111="List #",0,$A111))</f>
        <v>27</v>
      </c>
      <c r="B112" s="103" t="str">
        <f>MouserListTable12[[#This Row],[SKU]]</f>
        <v>485-1389</v>
      </c>
      <c r="C112" s="103">
        <f>MouserListTable12[[#This Row],['# Initial]]</f>
        <v>0</v>
      </c>
      <c r="D112" s="103" t="str">
        <f>MouserListTable12[[#This Row],[Name]]</f>
        <v>USB DIY Connector Shell - Type Mini-B Plug</v>
      </c>
      <c r="E112" s="103">
        <f>MouserListTable12[[#This Row],[Price (USD)]]</f>
        <v>0.95</v>
      </c>
      <c r="F112" s="103">
        <f>MouserListTable12[[#This Row],[Total Price]]</f>
        <v>0</v>
      </c>
    </row>
    <row r="113" spans="1:6" s="146" customFormat="1" hidden="1" x14ac:dyDescent="0.3">
      <c r="A113" s="103">
        <f>IF(MouserListTable1215[[#This Row],[Qty.]]&gt;0,IF($A112="List #",1,$A112+1),IF($A112="List #",0,$A112))</f>
        <v>27</v>
      </c>
      <c r="B113" s="103" t="str">
        <f>MouserListTable12[[#This Row],[SKU]]</f>
        <v>485-1827</v>
      </c>
      <c r="C113" s="103">
        <f>MouserListTable12[[#This Row],['# Initial]]</f>
        <v>0</v>
      </c>
      <c r="D113" s="103" t="str">
        <f>MouserListTable12[[#This Row],[Name]]</f>
        <v>USB DIY Slim Connector Shell - A-M Plug</v>
      </c>
      <c r="E113" s="103">
        <f>MouserListTable12[[#This Row],[Price (USD)]]</f>
        <v>0.95</v>
      </c>
      <c r="F113" s="103">
        <f>MouserListTable12[[#This Row],[Total Price]]</f>
        <v>0</v>
      </c>
    </row>
    <row r="114" spans="1:6" s="146" customFormat="1" hidden="1" x14ac:dyDescent="0.3">
      <c r="A114" s="103">
        <f>IF(MouserListTable1215[[#This Row],[Qty.]]&gt;0,IF($A113="List #",1,$A113+1),IF($A113="List #",0,$A113))</f>
        <v>27</v>
      </c>
      <c r="B114" s="103" t="str">
        <f>MouserListTable12[[#This Row],[SKU]]</f>
        <v>485-1826</v>
      </c>
      <c r="C114" s="103">
        <f>MouserListTable12[[#This Row],['# Initial]]</f>
        <v>0</v>
      </c>
      <c r="D114" s="103" t="str">
        <f>MouserListTable12[[#This Row],[Name]]</f>
        <v>USB DIY Slim Connector Shell - MicroB Plug</v>
      </c>
      <c r="E114" s="103">
        <f>MouserListTable12[[#This Row],[Price (USD)]]</f>
        <v>0.95</v>
      </c>
      <c r="F114" s="103">
        <f>MouserListTable12[[#This Row],[Total Price]]</f>
        <v>0</v>
      </c>
    </row>
    <row r="115" spans="1:6" s="146" customFormat="1" hidden="1" x14ac:dyDescent="0.3">
      <c r="A115" s="103">
        <f>IF(MouserListTable1215[[#This Row],[Qty.]]&gt;0,IF($A114="List #",1,$A114+1),IF($A114="List #",0,$A114))</f>
        <v>27</v>
      </c>
      <c r="B115" s="103" t="str">
        <f>MouserListTable12[[#This Row],[SKU]]</f>
        <v>474-SEN-00246</v>
      </c>
      <c r="C115" s="103">
        <f>MouserListTable12[[#This Row],['# Initial]]</f>
        <v>0</v>
      </c>
      <c r="D115" s="103" t="str">
        <f>MouserListTable12[[#This Row],[Name]]</f>
        <v>Optical Detector / Phototransistor - QRD1114</v>
      </c>
      <c r="E115" s="103">
        <f>MouserListTable12[[#This Row],[Price (USD)]]</f>
        <v>0.95</v>
      </c>
      <c r="F115" s="103">
        <f>MouserListTable12[[#This Row],[Total Price]]</f>
        <v>0</v>
      </c>
    </row>
    <row r="116" spans="1:6" s="146" customFormat="1" x14ac:dyDescent="0.3">
      <c r="A116" s="193">
        <f>IF(MouserListTable1215[[#This Row],[Qty.]]&gt;0,IF($A115="List #",1,$A115+1),IF($A115="List #",0,$A115))</f>
        <v>28</v>
      </c>
      <c r="B116" s="103" t="str">
        <f>MouserListTable12[[#This Row],[SKU]]</f>
        <v>474-SEN-00241</v>
      </c>
      <c r="C116" s="103">
        <f>MouserListTable12[[#This Row],['# Initial]]</f>
        <v>20</v>
      </c>
      <c r="D116" s="103" t="str">
        <f>MouserListTable12[[#This Row],[Name]]</f>
        <v>Infrared Emitters and Detectors</v>
      </c>
      <c r="E116" s="179">
        <f>MouserListTable12[[#This Row],[Price (USD)]]</f>
        <v>1.95</v>
      </c>
      <c r="F116" s="179">
        <f>MouserListTable12[[#This Row],[Total Price]]</f>
        <v>39</v>
      </c>
    </row>
    <row r="117" spans="1:6" s="146" customFormat="1" x14ac:dyDescent="0.3">
      <c r="A117" s="193">
        <f>IF(MouserListTable1215[[#This Row],[Qty.]]&gt;0,IF($A116="List #",1,$A116+1),IF($A116="List #",0,$A116))</f>
        <v>29</v>
      </c>
      <c r="B117" s="103" t="str">
        <f>MouserListTable12[[#This Row],[SKU]]</f>
        <v>474-SEN-13968</v>
      </c>
      <c r="C117" s="103">
        <f>MouserListTable12[[#This Row],['# Initial]]</f>
        <v>5</v>
      </c>
      <c r="D117" s="103" t="str">
        <f>MouserListTable12[[#This Row],[Name]]</f>
        <v>SparkFun OpenPIR</v>
      </c>
      <c r="E117" s="179">
        <f>MouserListTable12[[#This Row],[Price (USD)]]</f>
        <v>14.95</v>
      </c>
      <c r="F117" s="179">
        <f>MouserListTable12[[#This Row],[Total Price]]</f>
        <v>74.75</v>
      </c>
    </row>
    <row r="118" spans="1:6" s="146" customFormat="1" x14ac:dyDescent="0.3">
      <c r="A118" s="193">
        <f>IF(MouserListTable1215[[#This Row],[Qty.]]&gt;0,IF($A117="List #",1,$A117+1),IF($A117="List #",0,$A117))</f>
        <v>30</v>
      </c>
      <c r="B118" s="103" t="str">
        <f>MouserListTable12[[#This Row],[SKU]]</f>
        <v>474-SEN-13959</v>
      </c>
      <c r="C118" s="103">
        <f>MouserListTable12[[#This Row],['# Initial]]</f>
        <v>5</v>
      </c>
      <c r="D118" s="103" t="str">
        <f>MouserListTable12[[#This Row],[Name]]</f>
        <v>Ultrasonic Sensor - HC-SR04</v>
      </c>
      <c r="E118" s="179">
        <f>MouserListTable12[[#This Row],[Price (USD)]]</f>
        <v>3.95</v>
      </c>
      <c r="F118" s="179">
        <f>MouserListTable12[[#This Row],[Total Price]]</f>
        <v>19.75</v>
      </c>
    </row>
    <row r="119" spans="1:6" s="146" customFormat="1" hidden="1" x14ac:dyDescent="0.3">
      <c r="A119" s="103">
        <f>IF(MouserListTable1215[[#This Row],[Qty.]]&gt;0,IF($A118="List #",1,$A118+1),IF($A118="List #",0,$A118))</f>
        <v>30</v>
      </c>
      <c r="B119" s="103" t="str">
        <f>MouserListTable12[[#This Row],[SKU]]</f>
        <v>474-SEN-12785</v>
      </c>
      <c r="C119" s="103">
        <f>MouserListTable12[[#This Row],['# Initial]]</f>
        <v>0</v>
      </c>
      <c r="D119" s="103" t="str">
        <f>MouserListTable12[[#This Row],[Name]]</f>
        <v>SparkFun ToF Range Finder Sensor - VL6180</v>
      </c>
      <c r="E119" s="103">
        <f>MouserListTable12[[#This Row],[Price (USD)]]</f>
        <v>24.95</v>
      </c>
      <c r="F119" s="103">
        <f>MouserListTable12[[#This Row],[Total Price]]</f>
        <v>0</v>
      </c>
    </row>
    <row r="120" spans="1:6" s="146" customFormat="1" hidden="1" x14ac:dyDescent="0.3">
      <c r="A120" s="103">
        <f>IF(MouserListTable1215[[#This Row],[Qty.]]&gt;0,IF($A119="List #",1,$A119+1),IF($A119="List #",0,$A119))</f>
        <v>30</v>
      </c>
      <c r="B120" s="103" t="str">
        <f>MouserListTable12[[#This Row],[SKU]]</f>
        <v>474-SEN-13162</v>
      </c>
      <c r="C120" s="103">
        <f>MouserListTable12[[#This Row],['# Initial]]</f>
        <v>0</v>
      </c>
      <c r="D120" s="103" t="str">
        <f>MouserListTable12[[#This Row],[Name]]</f>
        <v>ZX Distance and Gesture Sensor</v>
      </c>
      <c r="E120" s="103">
        <f>MouserListTable12[[#This Row],[Price (USD)]]</f>
        <v>24.95</v>
      </c>
      <c r="F120" s="103">
        <f>MouserListTable12[[#This Row],[Total Price]]</f>
        <v>0</v>
      </c>
    </row>
    <row r="121" spans="1:6" s="146" customFormat="1" hidden="1" x14ac:dyDescent="0.3">
      <c r="A121" s="103">
        <f>IF(MouserListTable1215[[#This Row],[Qty.]]&gt;0,IF($A120="List #",1,$A120+1),IF($A120="List #",0,$A120))</f>
        <v>30</v>
      </c>
      <c r="B121" s="103" t="str">
        <f>MouserListTable12[[#This Row],[SKU]]</f>
        <v>474-SEN-12787</v>
      </c>
      <c r="C121" s="103">
        <f>MouserListTable12[[#This Row],['# Initial]]</f>
        <v>0</v>
      </c>
      <c r="D121" s="103" t="str">
        <f>MouserListTable12[[#This Row],[Name]]</f>
        <v>SparkFun RGB and Gesture Sensor - APDS-9960</v>
      </c>
      <c r="E121" s="103">
        <f>MouserListTable12[[#This Row],[Price (USD)]]</f>
        <v>14.95</v>
      </c>
      <c r="F121" s="103">
        <f>MouserListTable12[[#This Row],[Total Price]]</f>
        <v>0</v>
      </c>
    </row>
    <row r="122" spans="1:6" s="146" customFormat="1" hidden="1" x14ac:dyDescent="0.3">
      <c r="A122" s="103">
        <f>IF(MouserListTable1215[[#This Row],[Qty.]]&gt;0,IF($A121="List #",1,$A121+1),IF($A121="List #",0,$A121))</f>
        <v>30</v>
      </c>
      <c r="B122" s="103" t="str">
        <f>MouserListTable12[[#This Row],[SKU]]</f>
        <v>474-SPX-14343</v>
      </c>
      <c r="C122" s="103">
        <f>MouserListTable12[[#This Row],['# Initial]]</f>
        <v>0</v>
      </c>
      <c r="D122" s="103" t="str">
        <f>MouserListTable12[[#This Row],[Name]]</f>
        <v>Qwiic Distance Sensor - RFD77402</v>
      </c>
      <c r="E122" s="103">
        <f>MouserListTable12[[#This Row],[Price (USD)]]</f>
        <v>19.95</v>
      </c>
      <c r="F122" s="103">
        <f>MouserListTable12[[#This Row],[Total Price]]</f>
        <v>0</v>
      </c>
    </row>
    <row r="123" spans="1:6" s="144" customFormat="1" hidden="1" x14ac:dyDescent="0.3">
      <c r="A123" s="103">
        <f>IF(MouserListTable1215[[#This Row],[Qty.]]&gt;0,IF($A122="List #",1,$A122+1),IF($A122="List #",0,$A122))</f>
        <v>30</v>
      </c>
      <c r="B123" s="103" t="str">
        <f>MouserListTable12[[#This Row],[SKU]]</f>
        <v>474-SEN-00242</v>
      </c>
      <c r="C123" s="103">
        <f>MouserListTable12[[#This Row],['# Initial]]</f>
        <v>0</v>
      </c>
      <c r="D123" s="103" t="str">
        <f>MouserListTable12[[#This Row],[Name]]</f>
        <v>Infrared Proximity Sensor - Sharp GP2Y0A21YK</v>
      </c>
      <c r="E123" s="103">
        <f>MouserListTable12[[#This Row],[Price (USD)]]</f>
        <v>13.95</v>
      </c>
      <c r="F123" s="103">
        <f>MouserListTable12[[#This Row],[Total Price]]</f>
        <v>0</v>
      </c>
    </row>
    <row r="124" spans="1:6" s="144" customFormat="1" hidden="1" x14ac:dyDescent="0.3">
      <c r="A124" s="103">
        <f>IF(MouserListTable1215[[#This Row],[Qty.]]&gt;0,IF($A123="List #",1,$A123+1),IF($A123="List #",0,$A123))</f>
        <v>30</v>
      </c>
      <c r="B124" s="103" t="str">
        <f>MouserListTable12[[#This Row],[SKU]]</f>
        <v>474-SEN-08733</v>
      </c>
      <c r="C124" s="103">
        <f>MouserListTable12[[#This Row],['# Initial]]</f>
        <v>0</v>
      </c>
      <c r="D124" s="103" t="str">
        <f>MouserListTable12[[#This Row],[Name]]</f>
        <v>Infrared Sensor Jumper Wire - 3-Pin JST</v>
      </c>
      <c r="E124" s="103">
        <f>MouserListTable12[[#This Row],[Price (USD)]]</f>
        <v>1.5</v>
      </c>
      <c r="F124" s="103">
        <f>MouserListTable12[[#This Row],[Total Price]]</f>
        <v>0</v>
      </c>
    </row>
    <row r="125" spans="1:6" s="144" customFormat="1" hidden="1" x14ac:dyDescent="0.3">
      <c r="A125" s="103">
        <f>IF(MouserListTable1215[[#This Row],[Qty.]]&gt;0,IF($A124="List #",1,$A124+1),IF($A124="List #",0,$A124))</f>
        <v>30</v>
      </c>
      <c r="B125" s="103" t="str">
        <f>MouserListTable12[[#This Row],[SKU]]</f>
        <v>485-3538</v>
      </c>
      <c r="C125" s="103">
        <f>MouserListTable12[[#This Row],['# Initial]]</f>
        <v>0</v>
      </c>
      <c r="D125" s="103" t="str">
        <f>MouserListTable12[[#This Row],[Name]]</f>
        <v xml:space="preserve">Adafruit AMG8833 IR Thermal Camera Breakout </v>
      </c>
      <c r="E125" s="103">
        <f>MouserListTable12[[#This Row],[Price (USD)]]</f>
        <v>39.950000000000003</v>
      </c>
      <c r="F125" s="103">
        <f>MouserListTable12[[#This Row],[Total Price]]</f>
        <v>0</v>
      </c>
    </row>
    <row r="126" spans="1:6" s="144" customFormat="1" x14ac:dyDescent="0.3">
      <c r="A126" s="193">
        <f>IF(MouserListTable1215[[#This Row],[Qty.]]&gt;0,IF($A125="List #",1,$A125+1),IF($A125="List #",0,$A125))</f>
        <v>31</v>
      </c>
      <c r="B126" s="103" t="str">
        <f>MouserListTable12[[#This Row],[SKU]]</f>
        <v>485-3317</v>
      </c>
      <c r="C126" s="103">
        <f>MouserListTable12[[#This Row],['# Initial]]</f>
        <v>10</v>
      </c>
      <c r="D126" s="103" t="str">
        <f>MouserListTable12[[#This Row],[Name]]</f>
        <v>Adafruit VL53L0X Time of Flight Distance Sensor - ~30 to 1000mm</v>
      </c>
      <c r="E126" s="179">
        <f>MouserListTable12[[#This Row],[Price (USD)]]</f>
        <v>14.95</v>
      </c>
      <c r="F126" s="179">
        <f>MouserListTable12[[#This Row],[Total Price]]</f>
        <v>149.5</v>
      </c>
    </row>
    <row r="127" spans="1:6" s="144" customFormat="1" hidden="1" x14ac:dyDescent="0.3">
      <c r="A127" s="103">
        <f>IF(MouserListTable1215[[#This Row],[Qty.]]&gt;0,IF($A126="List #",1,$A126+1),IF($A126="List #",0,$A126))</f>
        <v>31</v>
      </c>
      <c r="B127" s="103" t="str">
        <f>MouserListTable12[[#This Row],[SKU]]</f>
        <v>485-3316</v>
      </c>
      <c r="C127" s="103">
        <f>MouserListTable12[[#This Row],['# Initial]]</f>
        <v>0</v>
      </c>
      <c r="D127" s="103" t="str">
        <f>MouserListTable12[[#This Row],[Name]]</f>
        <v>Adafruit VL6180X Time of Flight Distance Ranging Sensor (VL6180)</v>
      </c>
      <c r="E127" s="103">
        <f>MouserListTable12[[#This Row],[Price (USD)]]</f>
        <v>13.95</v>
      </c>
      <c r="F127" s="103">
        <f>MouserListTable12[[#This Row],[Total Price]]</f>
        <v>0</v>
      </c>
    </row>
    <row r="128" spans="1:6" s="144" customFormat="1" hidden="1" x14ac:dyDescent="0.3">
      <c r="A128" s="103">
        <f>IF(MouserListTable1215[[#This Row],[Qty.]]&gt;0,IF($A127="List #",1,$A127+1),IF($A127="List #",0,$A127))</f>
        <v>31</v>
      </c>
      <c r="B128" s="103" t="str">
        <f>MouserListTable12[[#This Row],[SKU]]</f>
        <v>485-1568</v>
      </c>
      <c r="C128" s="103">
        <f>MouserListTable12[[#This Row],['# Initial]]</f>
        <v>0</v>
      </c>
      <c r="D128" s="103" t="str">
        <f>MouserListTable12[[#This Row],[Name]]</f>
        <v>IR Distance Sensor - Includes Cable (100cm-500cm) - GP2Y0A710K0F</v>
      </c>
      <c r="E128" s="103">
        <f>MouserListTable12[[#This Row],[Price (USD)]]</f>
        <v>24.95</v>
      </c>
      <c r="F128" s="103">
        <f>MouserListTable12[[#This Row],[Total Price]]</f>
        <v>0</v>
      </c>
    </row>
    <row r="129" spans="1:6" s="144" customFormat="1" hidden="1" x14ac:dyDescent="0.3">
      <c r="A129" s="103">
        <f>IF(MouserListTable1215[[#This Row],[Qty.]]&gt;0,IF($A128="List #",1,$A128+1),IF($A128="List #",0,$A128))</f>
        <v>31</v>
      </c>
      <c r="B129" s="103" t="str">
        <f>MouserListTable12[[#This Row],[SKU]]</f>
        <v>485-164</v>
      </c>
      <c r="C129" s="103">
        <f>MouserListTable12[[#This Row],['# Initial]]</f>
        <v>0</v>
      </c>
      <c r="D129" s="103" t="str">
        <f>MouserListTable12[[#This Row],[Name]]</f>
        <v>IR distance sensor includes cable (10cm-80cm) - GP2Y0A21YK0F</v>
      </c>
      <c r="E129" s="103">
        <f>MouserListTable12[[#This Row],[Price (USD)]]</f>
        <v>14.95</v>
      </c>
      <c r="F129" s="103">
        <f>MouserListTable12[[#This Row],[Total Price]]</f>
        <v>0</v>
      </c>
    </row>
    <row r="130" spans="1:6" s="144" customFormat="1" hidden="1" x14ac:dyDescent="0.3">
      <c r="A130" s="103">
        <f>IF(MouserListTable1215[[#This Row],[Qty.]]&gt;0,IF($A129="List #",1,$A129+1),IF($A129="List #",0,$A129))</f>
        <v>31</v>
      </c>
      <c r="B130" s="103" t="str">
        <f>MouserListTable12[[#This Row],[SKU]]</f>
        <v>485-1031</v>
      </c>
      <c r="C130" s="103">
        <f>MouserListTable12[[#This Row],['# Initial]]</f>
        <v>0</v>
      </c>
      <c r="D130" s="103" t="str">
        <f>MouserListTable12[[#This Row],[Name]]</f>
        <v>IR distance sensor includes cable (20cm-150cm) - GP2Y0A02YK</v>
      </c>
      <c r="E130" s="103">
        <f>MouserListTable12[[#This Row],[Price (USD)]]</f>
        <v>15.95</v>
      </c>
      <c r="F130" s="103">
        <f>MouserListTable12[[#This Row],[Total Price]]</f>
        <v>0</v>
      </c>
    </row>
    <row r="131" spans="1:6" s="144" customFormat="1" x14ac:dyDescent="0.3">
      <c r="A131" s="193">
        <f>IF(MouserListTable1215[[#This Row],[Qty.]]&gt;0,IF($A130="List #",1,$A130+1),IF($A130="List #",0,$A130))</f>
        <v>32</v>
      </c>
      <c r="B131" s="103" t="str">
        <f>MouserListTable12[[#This Row],[SKU]]</f>
        <v>511-53L0-SATEL-I1</v>
      </c>
      <c r="C131" s="103">
        <f>MouserListTable12[[#This Row],['# Initial]]</f>
        <v>5</v>
      </c>
      <c r="D131" s="103" t="str">
        <f>MouserListTable12[[#This Row],[Name]]</f>
        <v>Satellite: mini-PCB with VL53L0X</v>
      </c>
      <c r="E131" s="179">
        <f>MouserListTable12[[#This Row],[Price (USD)]]</f>
        <v>18.5</v>
      </c>
      <c r="F131" s="179">
        <f>MouserListTable12[[#This Row],[Total Price]]</f>
        <v>92.5</v>
      </c>
    </row>
    <row r="132" spans="1:6" s="144" customFormat="1" x14ac:dyDescent="0.3">
      <c r="A132" s="193">
        <f>IF(MouserListTable1215[[#This Row],[Qty.]]&gt;0,IF($A131="List #",1,$A131+1),IF($A131="List #",0,$A131))</f>
        <v>33</v>
      </c>
      <c r="B132" s="103" t="str">
        <f>MouserListTable12[[#This Row],[SKU]]</f>
        <v>474-SEN-09196</v>
      </c>
      <c r="C132" s="103">
        <f>MouserListTable12[[#This Row],['# Initial]]</f>
        <v>5</v>
      </c>
      <c r="D132" s="103" t="str">
        <f>MouserListTable12[[#This Row],[Name]]</f>
        <v>Piezo Vibration Sensor - Large</v>
      </c>
      <c r="E132" s="179">
        <f>MouserListTable12[[#This Row],[Price (USD)]]</f>
        <v>2.95</v>
      </c>
      <c r="F132" s="179">
        <f>MouserListTable12[[#This Row],[Total Price]]</f>
        <v>14.75</v>
      </c>
    </row>
    <row r="133" spans="1:6" s="146" customFormat="1" hidden="1" x14ac:dyDescent="0.3">
      <c r="A133" s="103">
        <f>IF(MouserListTable1215[[#This Row],[Qty.]]&gt;0,IF($A132="List #",1,$A132+1),IF($A132="List #",0,$A132))</f>
        <v>33</v>
      </c>
      <c r="B133" s="103" t="str">
        <f>MouserListTable12[[#This Row],[SKU]]</f>
        <v>474-SEN-09197</v>
      </c>
      <c r="C133" s="103">
        <f>MouserListTable12[[#This Row],['# Initial]]</f>
        <v>0</v>
      </c>
      <c r="D133" s="103" t="str">
        <f>MouserListTable12[[#This Row],[Name]]</f>
        <v>Piezo Vibration Sensor - Large with Mass</v>
      </c>
      <c r="E133" s="103">
        <f>MouserListTable12[[#This Row],[Price (USD)]]</f>
        <v>2.95</v>
      </c>
      <c r="F133" s="103">
        <f>MouserListTable12[[#This Row],[Total Price]]</f>
        <v>0</v>
      </c>
    </row>
    <row r="134" spans="1:6" s="146" customFormat="1" hidden="1" x14ac:dyDescent="0.3">
      <c r="A134" s="103">
        <f>IF(MouserListTable1215[[#This Row],[Qty.]]&gt;0,IF($A133="List #",1,$A133+1),IF($A133="List #",0,$A133))</f>
        <v>33</v>
      </c>
      <c r="B134" s="103" t="str">
        <f>MouserListTable12[[#This Row],[SKU]]</f>
        <v>474-SEN-09198</v>
      </c>
      <c r="C134" s="103">
        <f>MouserListTable12[[#This Row],['# Initial]]</f>
        <v>0</v>
      </c>
      <c r="D134" s="103" t="str">
        <f>MouserListTable12[[#This Row],[Name]]</f>
        <v>Piezo Vibration Sensor - Small Horizontal</v>
      </c>
      <c r="E134" s="103">
        <f>MouserListTable12[[#This Row],[Price (USD)]]</f>
        <v>2.95</v>
      </c>
      <c r="F134" s="103">
        <f>MouserListTable12[[#This Row],[Total Price]]</f>
        <v>0</v>
      </c>
    </row>
    <row r="135" spans="1:6" s="146" customFormat="1" hidden="1" x14ac:dyDescent="0.3">
      <c r="A135" s="103">
        <f>IF(MouserListTable1215[[#This Row],[Qty.]]&gt;0,IF($A134="List #",1,$A134+1),IF($A134="List #",0,$A134))</f>
        <v>33</v>
      </c>
      <c r="B135" s="103" t="str">
        <f>MouserListTable12[[#This Row],[SKU]]</f>
        <v>474-SEN-09199</v>
      </c>
      <c r="C135" s="103">
        <f>MouserListTable12[[#This Row],['# Initial]]</f>
        <v>0</v>
      </c>
      <c r="D135" s="103" t="str">
        <f>MouserListTable12[[#This Row],[Name]]</f>
        <v>Piezo Vibration Sensor - Small Vertical</v>
      </c>
      <c r="E135" s="103">
        <f>MouserListTable12[[#This Row],[Price (USD)]]</f>
        <v>2.95</v>
      </c>
      <c r="F135" s="103">
        <f>MouserListTable12[[#This Row],[Total Price]]</f>
        <v>0</v>
      </c>
    </row>
    <row r="136" spans="1:6" s="146" customFormat="1" hidden="1" x14ac:dyDescent="0.3">
      <c r="A136" s="103">
        <f>IF(MouserListTable1215[[#This Row],[Qty.]]&gt;0,IF($A135="List #",1,$A135+1),IF($A135="List #",0,$A135))</f>
        <v>33</v>
      </c>
      <c r="B136" s="103" t="str">
        <f>MouserListTable12[[#This Row],[SKU]]</f>
        <v>485-1071</v>
      </c>
      <c r="C136" s="103">
        <f>MouserListTable12[[#This Row],['# Initial]]</f>
        <v>0</v>
      </c>
      <c r="D136" s="103" t="str">
        <f>MouserListTable12[[#This Row],[Name]]</f>
        <v xml:space="preserve">Extra-long force-sensitive resistor (FSR) - Interlink 408 </v>
      </c>
      <c r="E136" s="103">
        <f>MouserListTable12[[#This Row],[Price (USD)]]</f>
        <v>17.95</v>
      </c>
      <c r="F136" s="103">
        <f>MouserListTable12[[#This Row],[Total Price]]</f>
        <v>0</v>
      </c>
    </row>
    <row r="137" spans="1:6" s="146" customFormat="1" hidden="1" x14ac:dyDescent="0.3">
      <c r="A137" s="103">
        <f>IF(MouserListTable1215[[#This Row],[Qty.]]&gt;0,IF($A136="List #",1,$A136+1),IF($A136="List #",0,$A136))</f>
        <v>33</v>
      </c>
      <c r="B137" s="103" t="str">
        <f>MouserListTable12[[#This Row],[SKU]]</f>
        <v>474-SEN-09674</v>
      </c>
      <c r="C137" s="103">
        <f>MouserListTable12[[#This Row],['# Initial]]</f>
        <v>0</v>
      </c>
      <c r="D137" s="103" t="str">
        <f>MouserListTable12[[#This Row],[Name]]</f>
        <v>Force Sensitive Resistor - Long</v>
      </c>
      <c r="E137" s="103">
        <f>MouserListTable12[[#This Row],[Price (USD)]]</f>
        <v>20.95</v>
      </c>
      <c r="F137" s="103">
        <f>MouserListTable12[[#This Row],[Total Price]]</f>
        <v>0</v>
      </c>
    </row>
    <row r="138" spans="1:6" s="146" customFormat="1" hidden="1" x14ac:dyDescent="0.3">
      <c r="A138" s="103">
        <f>IF(MouserListTable1215[[#This Row],[Qty.]]&gt;0,IF($A137="List #",1,$A137+1),IF($A137="List #",0,$A137))</f>
        <v>33</v>
      </c>
      <c r="B138" s="103" t="str">
        <f>MouserListTable12[[#This Row],[SKU]]</f>
        <v>474-SEN-09673</v>
      </c>
      <c r="C138" s="103">
        <f>MouserListTable12[[#This Row],['# Initial]]</f>
        <v>0</v>
      </c>
      <c r="D138" s="103" t="str">
        <f>MouserListTable12[[#This Row],[Name]]</f>
        <v>Force Sensitive Resistor - Small</v>
      </c>
      <c r="E138" s="103">
        <f>MouserListTable12[[#This Row],[Price (USD)]]</f>
        <v>5.95</v>
      </c>
      <c r="F138" s="103">
        <f>MouserListTable12[[#This Row],[Total Price]]</f>
        <v>0</v>
      </c>
    </row>
    <row r="139" spans="1:6" s="146" customFormat="1" hidden="1" x14ac:dyDescent="0.3">
      <c r="A139" s="103">
        <f>IF(MouserListTable1215[[#This Row],[Qty.]]&gt;0,IF($A138="List #",1,$A138+1),IF($A138="List #",0,$A138))</f>
        <v>33</v>
      </c>
      <c r="B139" s="103" t="str">
        <f>MouserListTable12[[#This Row],[SKU]]</f>
        <v>474-SEN-09376</v>
      </c>
      <c r="C139" s="103">
        <f>MouserListTable12[[#This Row],['# Initial]]</f>
        <v>0</v>
      </c>
      <c r="D139" s="103" t="str">
        <f>MouserListTable12[[#This Row],[Name]]</f>
        <v>Force Sensitive Resistor - Square</v>
      </c>
      <c r="E139" s="103">
        <f>MouserListTable12[[#This Row],[Price (USD)]]</f>
        <v>9.9499999999999993</v>
      </c>
      <c r="F139" s="103">
        <f>MouserListTable12[[#This Row],[Total Price]]</f>
        <v>0</v>
      </c>
    </row>
    <row r="140" spans="1:6" s="146" customFormat="1" hidden="1" x14ac:dyDescent="0.3">
      <c r="A140" s="103">
        <f>IF(MouserListTable1215[[#This Row],[Qty.]]&gt;0,IF($A139="List #",1,$A139+1),IF($A139="List #",0,$A139))</f>
        <v>33</v>
      </c>
      <c r="B140" s="103" t="str">
        <f>MouserListTable12[[#This Row],[SKU]]</f>
        <v>485-1075</v>
      </c>
      <c r="C140" s="103">
        <f>MouserListTable12[[#This Row],['# Initial]]</f>
        <v>0</v>
      </c>
      <c r="D140" s="103" t="str">
        <f>MouserListTable12[[#This Row],[Name]]</f>
        <v>Square Force-Sensitive Resistor (FSR) - Interlink 406</v>
      </c>
      <c r="E140" s="103">
        <f>MouserListTable12[[#This Row],[Price (USD)]]</f>
        <v>7.95</v>
      </c>
      <c r="F140" s="103">
        <f>MouserListTable12[[#This Row],[Total Price]]</f>
        <v>0</v>
      </c>
    </row>
    <row r="141" spans="1:6" s="146" customFormat="1" hidden="1" x14ac:dyDescent="0.3">
      <c r="A141" s="103">
        <f>IF(MouserListTable1215[[#This Row],[Qty.]]&gt;0,IF($A140="List #",1,$A140+1),IF($A140="List #",0,$A140))</f>
        <v>33</v>
      </c>
      <c r="B141" s="103" t="str">
        <f>MouserListTable12[[#This Row],[SKU]]</f>
        <v>474-SEN-09375</v>
      </c>
      <c r="C141" s="103">
        <f>MouserListTable12[[#This Row],['# Initial]]</f>
        <v>0</v>
      </c>
      <c r="D141" s="103" t="str">
        <f>MouserListTable12[[#This Row],[Name]]</f>
        <v>Force Sensitive Resistor 0.5\"</v>
      </c>
      <c r="E141" s="103">
        <f>MouserListTable12[[#This Row],[Price (USD)]]</f>
        <v>6.95</v>
      </c>
      <c r="F141" s="103">
        <f>MouserListTable12[[#This Row],[Total Price]]</f>
        <v>0</v>
      </c>
    </row>
    <row r="142" spans="1:6" s="146" customFormat="1" hidden="1" x14ac:dyDescent="0.3">
      <c r="A142" s="103">
        <f>IF(MouserListTable1215[[#This Row],[Qty.]]&gt;0,IF($A141="List #",1,$A141+1),IF($A141="List #",0,$A141))</f>
        <v>33</v>
      </c>
      <c r="B142" s="103" t="str">
        <f>MouserListTable12[[#This Row],[SKU]]</f>
        <v>474-SEN-08606</v>
      </c>
      <c r="C142" s="103">
        <f>MouserListTable12[[#This Row],['# Initial]]</f>
        <v>0</v>
      </c>
      <c r="D142" s="103" t="str">
        <f>MouserListTable12[[#This Row],[Name]]</f>
        <v>Flex Sensor 4.5\"</v>
      </c>
      <c r="E142" s="103">
        <f>MouserListTable12[[#This Row],[Price (USD)]]</f>
        <v>12.95</v>
      </c>
      <c r="F142" s="103">
        <f>MouserListTable12[[#This Row],[Total Price]]</f>
        <v>0</v>
      </c>
    </row>
    <row r="143" spans="1:6" s="146" customFormat="1" hidden="1" x14ac:dyDescent="0.3">
      <c r="A143" s="103">
        <f>IF(MouserListTable1215[[#This Row],[Qty.]]&gt;0,IF($A142="List #",1,$A142+1),IF($A142="List #",0,$A142))</f>
        <v>33</v>
      </c>
      <c r="B143" s="103" t="str">
        <f>MouserListTable12[[#This Row],[SKU]]</f>
        <v>474-SEN-10293</v>
      </c>
      <c r="C143" s="103">
        <f>MouserListTable12[[#This Row],['# Initial]]</f>
        <v>0</v>
      </c>
      <c r="D143" s="103" t="str">
        <f>MouserListTable12[[#This Row],[Name]]</f>
        <v>Piezo Element</v>
      </c>
      <c r="E143" s="103">
        <f>MouserListTable12[[#This Row],[Price (USD)]]</f>
        <v>1.5</v>
      </c>
      <c r="F143" s="103">
        <f>MouserListTable12[[#This Row],[Total Price]]</f>
        <v>0</v>
      </c>
    </row>
    <row r="144" spans="1:6" s="146" customFormat="1" hidden="1" x14ac:dyDescent="0.3">
      <c r="A144" s="103">
        <f>IF(MouserListTable1215[[#This Row],[Qty.]]&gt;0,IF($A143="List #",1,$A143+1),IF($A143="List #",0,$A143))</f>
        <v>33</v>
      </c>
      <c r="B144" s="103" t="str">
        <f>MouserListTable12[[#This Row],[SKU]]</f>
        <v>485-1739</v>
      </c>
      <c r="C144" s="103">
        <f>MouserListTable12[[#This Row],['# Initial]]</f>
        <v>0</v>
      </c>
      <c r="D144" s="103" t="str">
        <f>MouserListTable12[[#This Row],[Name]]</f>
        <v xml:space="preserve">Large Enclosed Piezo Element w/Wires </v>
      </c>
      <c r="E144" s="103">
        <f>MouserListTable12[[#This Row],[Price (USD)]]</f>
        <v>0.95</v>
      </c>
      <c r="F144" s="103">
        <f>MouserListTable12[[#This Row],[Total Price]]</f>
        <v>0</v>
      </c>
    </row>
    <row r="145" spans="1:6" s="146" customFormat="1" x14ac:dyDescent="0.3">
      <c r="A145" s="193">
        <f>IF(MouserListTable1215[[#This Row],[Qty.]]&gt;0,IF($A144="List #",1,$A144+1),IF($A144="List #",0,$A144))</f>
        <v>34</v>
      </c>
      <c r="B145" s="103" t="str">
        <f>MouserListTable12[[#This Row],[SKU]]</f>
        <v>474-SEN-10289</v>
      </c>
      <c r="C145" s="103">
        <f>MouserListTable12[[#This Row],['# Initial]]</f>
        <v>5</v>
      </c>
      <c r="D145" s="103" t="str">
        <f>MouserListTable12[[#This Row],[Name]]</f>
        <v>Tilt Sensor - AT407</v>
      </c>
      <c r="E145" s="179">
        <f>MouserListTable12[[#This Row],[Price (USD)]]</f>
        <v>1.95</v>
      </c>
      <c r="F145" s="179">
        <f>MouserListTable12[[#This Row],[Total Price]]</f>
        <v>9.75</v>
      </c>
    </row>
    <row r="146" spans="1:6" s="146" customFormat="1" hidden="1" x14ac:dyDescent="0.3">
      <c r="A146" s="103">
        <f>IF(MouserListTable1215[[#This Row],[Qty.]]&gt;0,IF($A145="List #",1,$A145+1),IF($A145="List #",0,$A145))</f>
        <v>34</v>
      </c>
      <c r="B146" s="103" t="str">
        <f>MouserListTable12[[#This Row],[SKU]]</f>
        <v>485-1917</v>
      </c>
      <c r="C146" s="103">
        <f>MouserListTable12[[#This Row],['# Initial]]</f>
        <v>0</v>
      </c>
      <c r="D146" s="103" t="str">
        <f>MouserListTable12[[#This Row],[Name]]</f>
        <v>DIY Sensor Film Kit - 4x6" Small Kit</v>
      </c>
      <c r="E146" s="103">
        <f>MouserListTable12[[#This Row],[Price (USD)]]</f>
        <v>18</v>
      </c>
      <c r="F146" s="103">
        <f>MouserListTable12[[#This Row],[Total Price]]</f>
        <v>0</v>
      </c>
    </row>
    <row r="147" spans="1:6" s="146" customFormat="1" x14ac:dyDescent="0.3">
      <c r="A147" s="193">
        <f>IF(MouserListTable1215[[#This Row],[Qty.]]&gt;0,IF($A146="List #",1,$A146+1),IF($A146="List #",0,$A146))</f>
        <v>35</v>
      </c>
      <c r="B147" s="103" t="str">
        <f>MouserListTable12[[#This Row],[SKU]]</f>
        <v>485-1361</v>
      </c>
      <c r="C147" s="103">
        <f>MouserListTable12[[#This Row],['# Initial]]</f>
        <v>1</v>
      </c>
      <c r="D147" s="103" t="str">
        <f>MouserListTable12[[#This Row],[Name]]</f>
        <v>Pressure-Sensitive Conductive Sheet (Velostat/Linqstat)</v>
      </c>
      <c r="E147" s="179">
        <f>MouserListTable12[[#This Row],[Price (USD)]]</f>
        <v>3.95</v>
      </c>
      <c r="F147" s="179">
        <f>MouserListTable12[[#This Row],[Total Price]]</f>
        <v>3.95</v>
      </c>
    </row>
    <row r="148" spans="1:6" s="146" customFormat="1" x14ac:dyDescent="0.3">
      <c r="A148" s="193">
        <f>IF(MouserListTable1215[[#This Row],[Qty.]]&gt;0,IF($A147="List #",1,$A147+1),IF($A147="List #",0,$A147))</f>
        <v>36</v>
      </c>
      <c r="B148" s="103" t="str">
        <f>MouserListTable12[[#This Row],[SKU]]</f>
        <v>474-COM-14111</v>
      </c>
      <c r="C148" s="103">
        <f>MouserListTable12[[#This Row],['# Initial]]</f>
        <v>2</v>
      </c>
      <c r="D148" s="103" t="str">
        <f>MouserListTable12[[#This Row],[Name]]</f>
        <v>EeonTex Pressure Sensing Fabric</v>
      </c>
      <c r="E148" s="179">
        <f>MouserListTable12[[#This Row],[Price (USD)]]</f>
        <v>25</v>
      </c>
      <c r="F148" s="179">
        <f>MouserListTable12[[#This Row],[Total Price]]</f>
        <v>50</v>
      </c>
    </row>
    <row r="149" spans="1:6" s="146" customFormat="1" x14ac:dyDescent="0.3">
      <c r="A149" s="193">
        <f>IF(MouserListTable1215[[#This Row],[Qty.]]&gt;0,IF($A148="List #",1,$A148+1),IF($A148="List #",0,$A148))</f>
        <v>37</v>
      </c>
      <c r="B149" s="103" t="str">
        <f>MouserListTable12[[#This Row],[SKU]]</f>
        <v>485-1168</v>
      </c>
      <c r="C149" s="103">
        <f>MouserListTable12[[#This Row],['# Initial]]</f>
        <v>1</v>
      </c>
      <c r="D149" s="103" t="str">
        <f>MouserListTable12[[#This Row],[Name]]</f>
        <v>Woven Conductive Fabric - 20cm square</v>
      </c>
      <c r="E149" s="179">
        <f>MouserListTable12[[#This Row],[Price (USD)]]</f>
        <v>4.95</v>
      </c>
      <c r="F149" s="179">
        <f>MouserListTable12[[#This Row],[Total Price]]</f>
        <v>4.95</v>
      </c>
    </row>
    <row r="150" spans="1:6" s="146" customFormat="1" hidden="1" x14ac:dyDescent="0.3">
      <c r="A150" s="103">
        <f>IF(MouserListTable1215[[#This Row],[Qty.]]&gt;0,IF($A149="List #",1,$A149+1),IF($A149="List #",0,$A149))</f>
        <v>37</v>
      </c>
      <c r="B150" s="103" t="str">
        <f>MouserListTable12[[#This Row],[SKU]]</f>
        <v>474-DEV-13293</v>
      </c>
      <c r="C150" s="103">
        <f>MouserListTable12[[#This Row],['# Initial]]</f>
        <v>0</v>
      </c>
      <c r="D150" s="103" t="str">
        <f>MouserListTable12[[#This Row],[Name]]</f>
        <v>LCD Button Shield V2</v>
      </c>
      <c r="E150" s="103">
        <f>MouserListTable12[[#This Row],[Price (USD)]]</f>
        <v>12.95</v>
      </c>
      <c r="F150" s="103">
        <f>MouserListTable12[[#This Row],[Total Price]]</f>
        <v>0</v>
      </c>
    </row>
    <row r="151" spans="1:6" s="146" customFormat="1" x14ac:dyDescent="0.3">
      <c r="A151" s="193">
        <f>IF(MouserListTable1215[[#This Row],[Qty.]]&gt;0,IF($A150="List #",1,$A150+1),IF($A150="List #",0,$A150))</f>
        <v>38</v>
      </c>
      <c r="B151" s="103" t="str">
        <f>MouserListTable12[[#This Row],[SKU]]</f>
        <v>485-716</v>
      </c>
      <c r="C151" s="103">
        <f>MouserListTable12[[#This Row],['# Initial]]</f>
        <v>5</v>
      </c>
      <c r="D151" s="103" t="str">
        <f>MouserListTable12[[#This Row],[Name]]</f>
        <v>RGB LCD Shield Kit w/ 16x2 Character Display - Only 2 pins used! - POSITIVE DISPLAY</v>
      </c>
      <c r="E151" s="179">
        <f>MouserListTable12[[#This Row],[Price (USD)]]</f>
        <v>23.95</v>
      </c>
      <c r="F151" s="179">
        <f>MouserListTable12[[#This Row],[Total Price]]</f>
        <v>119.75</v>
      </c>
    </row>
    <row r="152" spans="1:6" s="146" customFormat="1" hidden="1" x14ac:dyDescent="0.3">
      <c r="A152" s="103">
        <f>IF(MouserListTable1215[[#This Row],[Qty.]]&gt;0,IF($A151="List #",1,$A151+1),IF($A151="List #",0,$A151))</f>
        <v>38</v>
      </c>
      <c r="B152" s="103" t="str">
        <f>MouserListTable12[[#This Row],[SKU]]</f>
        <v>485-772</v>
      </c>
      <c r="C152" s="103">
        <f>MouserListTable12[[#This Row],['# Initial]]</f>
        <v>0</v>
      </c>
      <c r="D152" s="103" t="str">
        <f>MouserListTable12[[#This Row],[Name]]</f>
        <v>LCD Shield Kit w/ 16x2 Character Display - Only 2 pins used! - BLUE AND WHITE</v>
      </c>
      <c r="E152" s="103">
        <f>MouserListTable12[[#This Row],[Price (USD)]]</f>
        <v>19.95</v>
      </c>
      <c r="F152" s="103">
        <f>MouserListTable12[[#This Row],[Total Price]]</f>
        <v>0</v>
      </c>
    </row>
    <row r="153" spans="1:6" s="146" customFormat="1" hidden="1" x14ac:dyDescent="0.3">
      <c r="A153" s="103">
        <f>IF(MouserListTable1215[[#This Row],[Qty.]]&gt;0,IF($A152="List #",1,$A152+1),IF($A152="List #",0,$A152))</f>
        <v>38</v>
      </c>
      <c r="B153" s="103" t="str">
        <f>MouserListTable12[[#This Row],[SKU]]</f>
        <v>474-LCD-00710</v>
      </c>
      <c r="C153" s="103">
        <f>MouserListTable12[[#This Row],['# Initial]]</f>
        <v>0</v>
      </c>
      <c r="D153" s="103" t="str">
        <f>MouserListTable12[[#This Row],[Name]]</f>
        <v>Graphic LCD 128x64 STN LED Backlight</v>
      </c>
      <c r="E153" s="103">
        <f>MouserListTable12[[#This Row],[Price (USD)]]</f>
        <v>19.95</v>
      </c>
      <c r="F153" s="103">
        <f>MouserListTable12[[#This Row],[Total Price]]</f>
        <v>0</v>
      </c>
    </row>
    <row r="154" spans="1:6" s="146" customFormat="1" hidden="1" x14ac:dyDescent="0.3">
      <c r="A154" s="103">
        <f>IF(MouserListTable1215[[#This Row],[Qty.]]&gt;0,IF($A153="List #",1,$A153+1),IF($A153="List #",0,$A153))</f>
        <v>38</v>
      </c>
      <c r="B154" s="103" t="str">
        <f>MouserListTable12[[#This Row],[SKU]]</f>
        <v>474-LCD-09568</v>
      </c>
      <c r="C154" s="103">
        <f>MouserListTable12[[#This Row],['# Initial]]</f>
        <v>0</v>
      </c>
      <c r="D154" s="103" t="str">
        <f>MouserListTable12[[#This Row],[Name]]</f>
        <v>Serial Enabled 20x4 LCD - Black on Green 5V</v>
      </c>
      <c r="E154" s="103">
        <f>MouserListTable12[[#This Row],[Price (USD)]]</f>
        <v>29.95</v>
      </c>
      <c r="F154" s="103">
        <f>MouserListTable12[[#This Row],[Total Price]]</f>
        <v>0</v>
      </c>
    </row>
    <row r="155" spans="1:6" s="146" customFormat="1" hidden="1" x14ac:dyDescent="0.3">
      <c r="A155" s="103">
        <f>IF(MouserListTable1215[[#This Row],[Qty.]]&gt;0,IF($A154="List #",1,$A154+1),IF($A154="List #",0,$A154))</f>
        <v>38</v>
      </c>
      <c r="B155" s="103" t="str">
        <f>MouserListTable12[[#This Row],[SKU]]</f>
        <v>485-198</v>
      </c>
      <c r="C155" s="103">
        <f>MouserListTable12[[#This Row],['# Initial]]</f>
        <v>0</v>
      </c>
      <c r="D155" s="103" t="str">
        <f>MouserListTable12[[#This Row],[Name]]</f>
        <v>Standard LCD 20x4 + extras - white on blue</v>
      </c>
      <c r="E155" s="103">
        <f>MouserListTable12[[#This Row],[Price (USD)]]</f>
        <v>17.95</v>
      </c>
      <c r="F155" s="103">
        <f>MouserListTable12[[#This Row],[Total Price]]</f>
        <v>0</v>
      </c>
    </row>
    <row r="156" spans="1:6" s="146" customFormat="1" hidden="1" x14ac:dyDescent="0.3">
      <c r="A156" s="103">
        <f>IF(MouserListTable1215[[#This Row],[Qty.]]&gt;0,IF($A155="List #",1,$A155+1),IF($A155="List #",0,$A155))</f>
        <v>38</v>
      </c>
      <c r="B156" s="103" t="str">
        <f>MouserListTable12[[#This Row],[SKU]]</f>
        <v>485-3330</v>
      </c>
      <c r="C156" s="103">
        <f>MouserListTable12[[#This Row],['# Initial]]</f>
        <v>0</v>
      </c>
      <c r="D156" s="103" t="str">
        <f>MouserListTable12[[#This Row],[Name]]</f>
        <v xml:space="preserve">Liquid Crystal Light Valve - LCD Controllable Shutter Glass </v>
      </c>
      <c r="E156" s="103">
        <f>MouserListTable12[[#This Row],[Price (USD)]]</f>
        <v>7.5</v>
      </c>
      <c r="F156" s="103">
        <f>MouserListTable12[[#This Row],[Total Price]]</f>
        <v>0</v>
      </c>
    </row>
    <row r="157" spans="1:6" s="146" customFormat="1" hidden="1" x14ac:dyDescent="0.3">
      <c r="A157" s="103">
        <f>IF(MouserListTable1215[[#This Row],[Qty.]]&gt;0,IF($A156="List #",1,$A156+1),IF($A156="List #",0,$A156))</f>
        <v>38</v>
      </c>
      <c r="B157" s="103" t="str">
        <f>MouserListTable12[[#This Row],[SKU]]</f>
        <v>485-1332</v>
      </c>
      <c r="C157" s="103">
        <f>MouserListTable12[[#This Row],['# Initial]]</f>
        <v>0</v>
      </c>
      <c r="D157" s="103" t="str">
        <f>MouserListTable12[[#This Row],[Name]]</f>
        <v xml:space="preserve">Membrane 1x4 Keypad + Extras </v>
      </c>
      <c r="E157" s="103">
        <f>MouserListTable12[[#This Row],[Price (USD)]]</f>
        <v>2.95</v>
      </c>
      <c r="F157" s="103">
        <f>MouserListTable12[[#This Row],[Total Price]]</f>
        <v>0</v>
      </c>
    </row>
    <row r="158" spans="1:6" s="146" customFormat="1" x14ac:dyDescent="0.3">
      <c r="A158" s="193">
        <f>IF(MouserListTable1215[[#This Row],[Qty.]]&gt;0,IF($A157="List #",1,$A157+1),IF($A157="List #",0,$A157))</f>
        <v>39</v>
      </c>
      <c r="B158" s="103" t="str">
        <f>MouserListTable12[[#This Row],[SKU]]</f>
        <v>485-419</v>
      </c>
      <c r="C158" s="103">
        <f>MouserListTable12[[#This Row],['# Initial]]</f>
        <v>5</v>
      </c>
      <c r="D158" s="103" t="str">
        <f>MouserListTable12[[#This Row],[Name]]</f>
        <v xml:space="preserve">Membrane 3x4 Matrix Keypad + extras - 3x4 </v>
      </c>
      <c r="E158" s="179">
        <f>MouserListTable12[[#This Row],[Price (USD)]]</f>
        <v>3.95</v>
      </c>
      <c r="F158" s="179">
        <f>MouserListTable12[[#This Row],[Total Price]]</f>
        <v>19.75</v>
      </c>
    </row>
    <row r="159" spans="1:6" s="146" customFormat="1" hidden="1" x14ac:dyDescent="0.3">
      <c r="A159" s="103">
        <f>IF(MouserListTable1215[[#This Row],[Qty.]]&gt;0,IF($A158="List #",1,$A158+1),IF($A158="List #",0,$A158))</f>
        <v>39</v>
      </c>
      <c r="B159" s="103" t="str">
        <f>MouserListTable12[[#This Row],[SKU]]</f>
        <v>474-SEN-14348</v>
      </c>
      <c r="C159" s="103">
        <f>MouserListTable12[[#This Row],['# Initial]]</f>
        <v>0</v>
      </c>
      <c r="D159" s="103" t="str">
        <f>MouserListTable12[[#This Row],[Name]]</f>
        <v>SparkFun Environmental Combo Breakout - CCS811/BME280 (Qwiic)</v>
      </c>
      <c r="E159" s="103">
        <f>MouserListTable12[[#This Row],[Price (USD)]]</f>
        <v>34.950000000000003</v>
      </c>
      <c r="F159" s="103">
        <f>MouserListTable12[[#This Row],[Total Price]]</f>
        <v>0</v>
      </c>
    </row>
    <row r="160" spans="1:6" s="146" customFormat="1" hidden="1" x14ac:dyDescent="0.3">
      <c r="A160" s="103">
        <f>IF(MouserListTable1215[[#This Row],[Qty.]]&gt;0,IF($A159="List #",1,$A159+1),IF($A159="List #",0,$A159))</f>
        <v>39</v>
      </c>
      <c r="B160" s="103" t="str">
        <f>MouserListTable12[[#This Row],[SKU]]</f>
        <v>474-SEN-14045</v>
      </c>
      <c r="C160" s="103">
        <f>MouserListTable12[[#This Row],['# Initial]]</f>
        <v>0</v>
      </c>
      <c r="D160" s="103" t="str">
        <f>MouserListTable12[[#This Row],[Name]]</f>
        <v>SparkFun Particle Sensor Breakout - MAX30105</v>
      </c>
      <c r="E160" s="103">
        <f>MouserListTable12[[#This Row],[Price (USD)]]</f>
        <v>12.95</v>
      </c>
      <c r="F160" s="103">
        <f>MouserListTable12[[#This Row],[Total Price]]</f>
        <v>0</v>
      </c>
    </row>
    <row r="161" spans="1:6" s="146" customFormat="1" hidden="1" x14ac:dyDescent="0.3">
      <c r="A161" s="103">
        <f>IF(MouserListTable1215[[#This Row],[Qty.]]&gt;0,IF($A160="List #",1,$A160+1),IF($A160="List #",0,$A160))</f>
        <v>39</v>
      </c>
      <c r="B161" s="103" t="str">
        <f>MouserListTable12[[#This Row],[SKU]]</f>
        <v>474-BOB-08891</v>
      </c>
      <c r="C161" s="103">
        <f>MouserListTable12[[#This Row],['# Initial]]</f>
        <v>0</v>
      </c>
      <c r="D161" s="103" t="str">
        <f>MouserListTable12[[#This Row],[Name]]</f>
        <v>Gas Sensor Breakout</v>
      </c>
      <c r="E161" s="103">
        <f>MouserListTable12[[#This Row],[Price (USD)]]</f>
        <v>0.95</v>
      </c>
      <c r="F161" s="103">
        <f>MouserListTable12[[#This Row],[Total Price]]</f>
        <v>0</v>
      </c>
    </row>
    <row r="162" spans="1:6" s="146" customFormat="1" hidden="1" x14ac:dyDescent="0.3">
      <c r="A162" s="103">
        <f>IF(MouserListTable1215[[#This Row],[Qty.]]&gt;0,IF($A161="List #",1,$A161+1),IF($A161="List #",0,$A161))</f>
        <v>39</v>
      </c>
      <c r="B162" s="103" t="str">
        <f>MouserListTable12[[#This Row],[SKU]]</f>
        <v>474-SEN-09403</v>
      </c>
      <c r="C162" s="103">
        <f>MouserListTable12[[#This Row],['# Initial]]</f>
        <v>0</v>
      </c>
      <c r="D162" s="103" t="str">
        <f>MouserListTable12[[#This Row],[Name]]</f>
        <v>Carbon Monoxide Sensor - MQ-7</v>
      </c>
      <c r="E162" s="103">
        <f>MouserListTable12[[#This Row],[Price (USD)]]</f>
        <v>7.25</v>
      </c>
      <c r="F162" s="103">
        <f>MouserListTable12[[#This Row],[Total Price]]</f>
        <v>0</v>
      </c>
    </row>
    <row r="163" spans="1:6" s="146" customFormat="1" hidden="1" x14ac:dyDescent="0.3">
      <c r="A163" s="103">
        <f>IF(MouserListTable1215[[#This Row],[Qty.]]&gt;0,IF($A162="List #",1,$A162+1),IF($A162="List #",0,$A162))</f>
        <v>39</v>
      </c>
      <c r="B163" s="103" t="str">
        <f>MouserListTable12[[#This Row],[SKU]]</f>
        <v>474-SEN-12055</v>
      </c>
      <c r="C163" s="103">
        <f>MouserListTable12[[#This Row],['# Initial]]</f>
        <v>0</v>
      </c>
      <c r="D163" s="103" t="str">
        <f>MouserListTable12[[#This Row],[Name]]</f>
        <v>SparkFun Luminosity Sensor Breakout - TSL2561</v>
      </c>
      <c r="E163" s="103">
        <f>MouserListTable12[[#This Row],[Price (USD)]]</f>
        <v>5.95</v>
      </c>
      <c r="F163" s="103">
        <f>MouserListTable12[[#This Row],[Total Price]]</f>
        <v>0</v>
      </c>
    </row>
    <row r="164" spans="1:6" s="146" customFormat="1" hidden="1" x14ac:dyDescent="0.3">
      <c r="A164" s="103">
        <f>IF(MouserListTable1215[[#This Row],[Qty.]]&gt;0,IF($A163="List #",1,$A163+1),IF($A163="List #",0,$A163))</f>
        <v>39</v>
      </c>
      <c r="B164" s="103" t="str">
        <f>MouserListTable12[[#This Row],[SKU]]</f>
        <v>474-BOB-08688</v>
      </c>
      <c r="C164" s="103">
        <f>MouserListTable12[[#This Row],['# Initial]]</f>
        <v>0</v>
      </c>
      <c r="D164" s="103" t="str">
        <f>MouserListTable12[[#This Row],[Name]]</f>
        <v>SparkFun Ambient Light Sensor Breakout - TEMT6000</v>
      </c>
      <c r="E164" s="103">
        <f>MouserListTable12[[#This Row],[Price (USD)]]</f>
        <v>3.95</v>
      </c>
      <c r="F164" s="103">
        <f>MouserListTable12[[#This Row],[Total Price]]</f>
        <v>0</v>
      </c>
    </row>
    <row r="165" spans="1:6" s="146" customFormat="1" hidden="1" x14ac:dyDescent="0.3">
      <c r="A165" s="103">
        <f>IF(MouserListTable1215[[#This Row],[Qty.]]&gt;0,IF($A164="List #",1,$A164+1),IF($A164="List #",0,$A164))</f>
        <v>39</v>
      </c>
      <c r="B165" s="103" t="str">
        <f>MouserListTable12[[#This Row],[SKU]]</f>
        <v>474-WRL-13677</v>
      </c>
      <c r="C165" s="103">
        <f>MouserListTable12[[#This Row],['# Initial]]</f>
        <v>0</v>
      </c>
      <c r="D165" s="103" t="str">
        <f>MouserListTable12[[#This Row],[Name]]</f>
        <v>Edimax WiFi Adapter (EW-7811UN)</v>
      </c>
      <c r="E165" s="103">
        <f>MouserListTable12[[#This Row],[Price (USD)]]</f>
        <v>14.95</v>
      </c>
      <c r="F165" s="103">
        <f>MouserListTable12[[#This Row],[Total Price]]</f>
        <v>0</v>
      </c>
    </row>
    <row r="166" spans="1:6" s="146" customFormat="1" hidden="1" x14ac:dyDescent="0.3">
      <c r="A166" s="103">
        <f>IF(MouserListTable1215[[#This Row],[Qty.]]&gt;0,IF($A165="List #",1,$A165+1),IF($A165="List #",0,$A165))</f>
        <v>39</v>
      </c>
      <c r="B166" s="103" t="str">
        <f>MouserListTable12[[#This Row],[SKU]]</f>
        <v>474-WRL-13678</v>
      </c>
      <c r="C166" s="103">
        <f>MouserListTable12[[#This Row],['# Initial]]</f>
        <v>0</v>
      </c>
      <c r="D166" s="103" t="str">
        <f>MouserListTable12[[#This Row],[Name]]</f>
        <v>WiFi Module - ESP8266</v>
      </c>
      <c r="E166" s="103">
        <f>MouserListTable12[[#This Row],[Price (USD)]]</f>
        <v>6.95</v>
      </c>
      <c r="F166" s="103">
        <f>MouserListTable12[[#This Row],[Total Price]]</f>
        <v>0</v>
      </c>
    </row>
    <row r="167" spans="1:6" s="146" customFormat="1" hidden="1" x14ac:dyDescent="0.3">
      <c r="A167" s="103">
        <f>IF(MouserListTable1215[[#This Row],[Qty.]]&gt;0,IF($A166="List #",1,$A166+1),IF($A166="List #",0,$A166))</f>
        <v>39</v>
      </c>
      <c r="B167" s="103" t="str">
        <f>MouserListTable12[[#This Row],[SKU]]</f>
        <v>409-OPT-UP-WF-002</v>
      </c>
      <c r="C167" s="103">
        <f>MouserListTable12[[#This Row],['# Initial]]</f>
        <v>0</v>
      </c>
      <c r="D167" s="103" t="str">
        <f>MouserListTable12[[#This Row],[Name]]</f>
        <v>USB WIFI DONGLE BL-WN2210</v>
      </c>
      <c r="E167" s="103">
        <f>MouserListTable12[[#This Row],[Price (USD)]]</f>
        <v>9.99</v>
      </c>
      <c r="F167" s="103">
        <f>MouserListTable12[[#This Row],[Total Price]]</f>
        <v>0</v>
      </c>
    </row>
    <row r="168" spans="1:6" s="146" customFormat="1" hidden="1" x14ac:dyDescent="0.3">
      <c r="A168" s="103">
        <f>IF(MouserListTable1215[[#This Row],[Qty.]]&gt;0,IF($A167="List #",1,$A167+1),IF($A167="List #",0,$A167))</f>
        <v>39</v>
      </c>
      <c r="B168" s="103" t="str">
        <f>MouserListTable12[[#This Row],[SKU]]</f>
        <v>485-2810</v>
      </c>
      <c r="C168" s="103">
        <f>MouserListTable12[[#This Row],['# Initial]]</f>
        <v>0</v>
      </c>
      <c r="D168" s="103" t="str">
        <f>MouserListTable12[[#This Row],[Name]]</f>
        <v>Mini USB WiFi Module - RTL8188eu - 802.11b/g/n</v>
      </c>
      <c r="E168" s="103">
        <f>MouserListTable12[[#This Row],[Price (USD)]]</f>
        <v>11.99</v>
      </c>
      <c r="F168" s="103">
        <f>MouserListTable12[[#This Row],[Total Price]]</f>
        <v>0</v>
      </c>
    </row>
    <row r="169" spans="1:6" s="146" customFormat="1" x14ac:dyDescent="0.3">
      <c r="A169" s="193">
        <f>IF(MouserListTable1215[[#This Row],[Qty.]]&gt;0,IF($A168="List #",1,$A168+1),IF($A168="List #",0,$A168))</f>
        <v>40</v>
      </c>
      <c r="B169" s="103" t="str">
        <f>MouserListTable12[[#This Row],[SKU]]</f>
        <v>485-2649</v>
      </c>
      <c r="C169" s="103">
        <f>MouserListTable12[[#This Row],['# Initial]]</f>
        <v>5</v>
      </c>
      <c r="D169" s="103" t="str">
        <f>MouserListTable12[[#This Row],[Name]]</f>
        <v>Bluetooth / WiFi Combination USB Dongle</v>
      </c>
      <c r="E169" s="179">
        <f>MouserListTable12[[#This Row],[Price (USD)]]</f>
        <v>19.95</v>
      </c>
      <c r="F169" s="179">
        <f>MouserListTable12[[#This Row],[Total Price]]</f>
        <v>99.75</v>
      </c>
    </row>
    <row r="170" spans="1:6" s="146" customFormat="1" hidden="1" x14ac:dyDescent="0.3">
      <c r="A170" s="103">
        <f>IF(MouserListTable1215[[#This Row],[Qty.]]&gt;0,IF($A169="List #",1,$A169+1),IF($A169="List #",0,$A169))</f>
        <v>40</v>
      </c>
      <c r="B170" s="103" t="str">
        <f>MouserListTable12[[#This Row],[SKU]]</f>
        <v>474-WRL-12579</v>
      </c>
      <c r="C170" s="103">
        <f>MouserListTable12[[#This Row],['# Initial]]</f>
        <v>0</v>
      </c>
      <c r="D170" s="103" t="str">
        <f>MouserListTable12[[#This Row],[Name]]</f>
        <v>SparkFun Bluetooth Module Breakout - Roving Networks (RN-41 v6.15)</v>
      </c>
      <c r="E170" s="103">
        <f>MouserListTable12[[#This Row],[Price (USD)]]</f>
        <v>34.950000000000003</v>
      </c>
      <c r="F170" s="103">
        <f>MouserListTable12[[#This Row],[Total Price]]</f>
        <v>0</v>
      </c>
    </row>
    <row r="171" spans="1:6" s="144" customFormat="1" hidden="1" x14ac:dyDescent="0.3">
      <c r="A171" s="103">
        <f>IF(MouserListTable1215[[#This Row],[Qty.]]&gt;0,IF($A170="List #",1,$A170+1),IF($A170="List #",0,$A170))</f>
        <v>40</v>
      </c>
      <c r="B171" s="103" t="str">
        <f>MouserListTable12[[#This Row],[SKU]]</f>
        <v>474-WRL-11048</v>
      </c>
      <c r="C171" s="103">
        <f>MouserListTable12[[#This Row],['# Initial]]</f>
        <v>0</v>
      </c>
      <c r="D171" s="103" t="str">
        <f>MouserListTable12[[#This Row],[Name]]</f>
        <v>RN-XV WiFly Module - U.FL Connector</v>
      </c>
      <c r="E171" s="103">
        <f>MouserListTable12[[#This Row],[Price (USD)]]</f>
        <v>34.950000000000003</v>
      </c>
      <c r="F171" s="103">
        <f>MouserListTable12[[#This Row],[Total Price]]</f>
        <v>0</v>
      </c>
    </row>
    <row r="172" spans="1:6" s="144" customFormat="1" x14ac:dyDescent="0.3">
      <c r="A172" s="193">
        <f>IF(MouserListTable1215[[#This Row],[Qty.]]&gt;0,IF($A171="List #",1,$A171+1),IF($A171="List #",0,$A171))</f>
        <v>41</v>
      </c>
      <c r="B172" s="103" t="str">
        <f>MouserListTable12[[#This Row],[SKU]]</f>
        <v>474-WRL-11320</v>
      </c>
      <c r="C172" s="103">
        <f>MouserListTable12[[#This Row],['# Initial]]</f>
        <v>5</v>
      </c>
      <c r="D172" s="103" t="str">
        <f>MouserListTable12[[#This Row],[Name]]</f>
        <v>2.4GHz Antenna - Adhesive (U.FL Connector)</v>
      </c>
      <c r="E172" s="179">
        <f>MouserListTable12[[#This Row],[Price (USD)]]</f>
        <v>5</v>
      </c>
      <c r="F172" s="179">
        <f>MouserListTable12[[#This Row],[Total Price]]</f>
        <v>25</v>
      </c>
    </row>
    <row r="173" spans="1:6" s="144" customFormat="1" x14ac:dyDescent="0.3">
      <c r="A173" s="193">
        <f>IF(MouserListTable1215[[#This Row],[Qty.]]&gt;0,IF($A172="List #",1,$A172+1),IF($A172="List #",0,$A172))</f>
        <v>42</v>
      </c>
      <c r="B173" s="103" t="str">
        <f>MouserListTable12[[#This Row],[SKU]]</f>
        <v>474-WRL-13287</v>
      </c>
      <c r="C173" s="103">
        <f>MouserListTable12[[#This Row],['# Initial]]</f>
        <v>5</v>
      </c>
      <c r="D173" s="103" t="str">
        <f>MouserListTable12[[#This Row],[Name]]</f>
        <v>SparkFun WiFi Shield - ESP8266</v>
      </c>
      <c r="E173" s="179">
        <f>MouserListTable12[[#This Row],[Price (USD)]]</f>
        <v>14.95</v>
      </c>
      <c r="F173" s="179">
        <f>MouserListTable12[[#This Row],[Total Price]]</f>
        <v>74.75</v>
      </c>
    </row>
    <row r="174" spans="1:6" s="144" customFormat="1" hidden="1" x14ac:dyDescent="0.3">
      <c r="A174" s="103">
        <f>IF(MouserListTable1215[[#This Row],[Qty.]]&gt;0,IF($A173="List #",1,$A173+1),IF($A173="List #",0,$A173))</f>
        <v>42</v>
      </c>
      <c r="B174" s="103" t="str">
        <f>MouserListTable12[[#This Row],[SKU]]</f>
        <v>474-KIT-11591</v>
      </c>
      <c r="C174" s="103">
        <f>MouserListTable12[[#This Row],['# Initial]]</f>
        <v>0</v>
      </c>
      <c r="D174" s="103" t="str">
        <f>MouserListTable12[[#This Row],[Name]]</f>
        <v>SparkFun ISP Pogo Adapter</v>
      </c>
      <c r="E174" s="103">
        <f>MouserListTable12[[#This Row],[Price (USD)]]</f>
        <v>9.9499999999999993</v>
      </c>
      <c r="F174" s="103">
        <f>MouserListTable12[[#This Row],[Total Price]]</f>
        <v>0</v>
      </c>
    </row>
    <row r="175" spans="1:6" s="146" customFormat="1" hidden="1" x14ac:dyDescent="0.3">
      <c r="A175" s="103">
        <f>IF(MouserListTable1215[[#This Row],[Qty.]]&gt;0,IF($A174="List #",1,$A174+1),IF($A174="List #",0,$A174))</f>
        <v>42</v>
      </c>
      <c r="B175" s="103" t="str">
        <f>MouserListTable12[[#This Row],[SKU]]</f>
        <v>474-DEV-09215</v>
      </c>
      <c r="C175" s="103">
        <f>MouserListTable12[[#This Row],['# Initial]]</f>
        <v>0</v>
      </c>
      <c r="D175" s="103" t="str">
        <f>MouserListTable12[[#This Row],[Name]]</f>
        <v>AVR Programming Cable</v>
      </c>
      <c r="E175" s="103">
        <f>MouserListTable12[[#This Row],[Price (USD)]]</f>
        <v>1.95</v>
      </c>
      <c r="F175" s="103">
        <f>MouserListTable12[[#This Row],[Total Price]]</f>
        <v>0</v>
      </c>
    </row>
    <row r="176" spans="1:6" s="146" customFormat="1" x14ac:dyDescent="0.3">
      <c r="A176" s="193">
        <f>IF(MouserListTable1215[[#This Row],[Qty.]]&gt;0,IF($A175="List #",1,$A175+1),IF($A175="List #",0,$A175))</f>
        <v>43</v>
      </c>
      <c r="B176" s="103" t="str">
        <f>MouserListTable12[[#This Row],[SKU]]</f>
        <v>474-BOB-12009</v>
      </c>
      <c r="C176" s="103">
        <f>MouserListTable12[[#This Row],['# Initial]]</f>
        <v>10</v>
      </c>
      <c r="D176" s="103" t="str">
        <f>MouserListTable12[[#This Row],[Name]]</f>
        <v>SparkFun Logic Level Converter - Bi-Directional</v>
      </c>
      <c r="E176" s="179">
        <f>MouserListTable12[[#This Row],[Price (USD)]]</f>
        <v>2.95</v>
      </c>
      <c r="F176" s="179">
        <f>MouserListTable12[[#This Row],[Total Price]]</f>
        <v>29.5</v>
      </c>
    </row>
    <row r="177" spans="1:6" s="146" customFormat="1" hidden="1" x14ac:dyDescent="0.3">
      <c r="A177" s="103">
        <f>IF(MouserListTable1215[[#This Row],[Qty.]]&gt;0,IF($A176="List #",1,$A176+1),IF($A176="List #",0,$A176))</f>
        <v>43</v>
      </c>
      <c r="B177" s="103" t="str">
        <f>MouserListTable12[[#This Row],[SKU]]</f>
        <v>474-BOB-11955</v>
      </c>
      <c r="C177" s="103">
        <f>MouserListTable12[[#This Row],['# Initial]]</f>
        <v>0</v>
      </c>
      <c r="D177" s="103" t="str">
        <f>MouserListTable12[[#This Row],[Name]]</f>
        <v>SparkFun Level Translator Breakout - PCA9306</v>
      </c>
      <c r="E177" s="103">
        <f>MouserListTable12[[#This Row],[Price (USD)]]</f>
        <v>6.95</v>
      </c>
      <c r="F177" s="103">
        <f>MouserListTable12[[#This Row],[Total Price]]</f>
        <v>0</v>
      </c>
    </row>
    <row r="178" spans="1:6" s="146" customFormat="1" x14ac:dyDescent="0.3">
      <c r="A178" s="193">
        <f>IF(MouserListTable1215[[#This Row],[Qty.]]&gt;0,IF($A177="List #",1,$A177+1),IF($A177="List #",0,$A177))</f>
        <v>44</v>
      </c>
      <c r="B178" s="103" t="str">
        <f>MouserListTable12[[#This Row],[SKU]]</f>
        <v>474-BOB-11771</v>
      </c>
      <c r="C178" s="103">
        <f>MouserListTable12[[#This Row],['# Initial]]</f>
        <v>5</v>
      </c>
      <c r="D178" s="103" t="str">
        <f>MouserListTable12[[#This Row],[Name]]</f>
        <v>SparkFun Voltage-Level Translator Breakout - TXB0104</v>
      </c>
      <c r="E178" s="179">
        <f>MouserListTable12[[#This Row],[Price (USD)]]</f>
        <v>3.95</v>
      </c>
      <c r="F178" s="179">
        <f>MouserListTable12[[#This Row],[Total Price]]</f>
        <v>19.75</v>
      </c>
    </row>
    <row r="179" spans="1:6" s="146" customFormat="1" x14ac:dyDescent="0.3">
      <c r="A179" s="193">
        <f>IF(MouserListTable1215[[#This Row],[Qty.]]&gt;0,IF($A178="List #",1,$A178+1),IF($A178="List #",0,$A178))</f>
        <v>45</v>
      </c>
      <c r="B179" s="103" t="str">
        <f>MouserListTable12[[#This Row],[SKU]]</f>
        <v>474-BOB-12918</v>
      </c>
      <c r="C179" s="103">
        <f>MouserListTable12[[#This Row],['# Initial]]</f>
        <v>5</v>
      </c>
      <c r="D179" s="103" t="str">
        <f>MouserListTable12[[#This Row],[Name]]</f>
        <v>SparkFun I2C DAC Breakout - MCP4725</v>
      </c>
      <c r="E179" s="179">
        <f>MouserListTable12[[#This Row],[Price (USD)]]</f>
        <v>4.95</v>
      </c>
      <c r="F179" s="179">
        <f>MouserListTable12[[#This Row],[Total Price]]</f>
        <v>24.75</v>
      </c>
    </row>
    <row r="180" spans="1:6" s="146" customFormat="1" hidden="1" x14ac:dyDescent="0.3">
      <c r="A180" s="103">
        <f>IF(MouserListTable1215[[#This Row],[Qty.]]&gt;0,IF($A179="List #",1,$A179+1),IF($A179="List #",0,$A179))</f>
        <v>45</v>
      </c>
      <c r="B180" s="103" t="str">
        <f>MouserListTable12[[#This Row],[SKU]]</f>
        <v>485-935</v>
      </c>
      <c r="C180" s="103">
        <f>MouserListTable12[[#This Row],['# Initial]]</f>
        <v>0</v>
      </c>
      <c r="D180" s="103" t="str">
        <f>MouserListTable12[[#This Row],[Name]]</f>
        <v xml:space="preserve">MCP4725 Breakout Board - 12-Bit DAC w/I2C Interface </v>
      </c>
      <c r="E180" s="103">
        <f>MouserListTable12[[#This Row],[Price (USD)]]</f>
        <v>4.95</v>
      </c>
      <c r="F180" s="103">
        <f>MouserListTable12[[#This Row],[Total Price]]</f>
        <v>0</v>
      </c>
    </row>
    <row r="181" spans="1:6" s="146" customFormat="1" hidden="1" x14ac:dyDescent="0.3">
      <c r="A181" s="103">
        <f>IF(MouserListTable1215[[#This Row],[Qty.]]&gt;0,IF($A180="List #",1,$A180+1),IF($A180="List #",0,$A180))</f>
        <v>45</v>
      </c>
      <c r="B181" s="103" t="str">
        <f>MouserListTable12[[#This Row],[SKU]]</f>
        <v>485-1895</v>
      </c>
      <c r="C181" s="103">
        <f>MouserListTable12[[#This Row],['# Initial]]</f>
        <v>0</v>
      </c>
      <c r="D181" s="103" t="str">
        <f>MouserListTable12[[#This Row],[Name]]</f>
        <v xml:space="preserve">Adafruit I2C Non-Volatile FRAM Breakout - 256Kbit / 32KByte </v>
      </c>
      <c r="E181" s="103">
        <f>MouserListTable12[[#This Row],[Price (USD)]]</f>
        <v>9.9499999999999993</v>
      </c>
      <c r="F181" s="103">
        <f>MouserListTable12[[#This Row],[Total Price]]</f>
        <v>0</v>
      </c>
    </row>
    <row r="182" spans="1:6" s="144" customFormat="1" hidden="1" x14ac:dyDescent="0.3">
      <c r="A182" s="103">
        <f>IF(MouserListTable1215[[#This Row],[Qty.]]&gt;0,IF($A181="List #",1,$A181+1),IF($A181="List #",0,$A181))</f>
        <v>45</v>
      </c>
      <c r="B182" s="103" t="str">
        <f>MouserListTable12[[#This Row],[SKU]]</f>
        <v>485-1897</v>
      </c>
      <c r="C182" s="103">
        <f>MouserListTable12[[#This Row],['# Initial]]</f>
        <v>0</v>
      </c>
      <c r="D182" s="103" t="str">
        <f>MouserListTable12[[#This Row],[Name]]</f>
        <v xml:space="preserve">Adafruit SPI Non-Volatile FRAM Breakout - 64Kbit / 8KByte </v>
      </c>
      <c r="E182" s="103">
        <f>MouserListTable12[[#This Row],[Price (USD)]]</f>
        <v>5.95</v>
      </c>
      <c r="F182" s="103">
        <f>MouserListTable12[[#This Row],[Total Price]]</f>
        <v>0</v>
      </c>
    </row>
    <row r="183" spans="1:6" s="144" customFormat="1" hidden="1" x14ac:dyDescent="0.3">
      <c r="A183" s="103">
        <f>IF(MouserListTable1215[[#This Row],[Qty.]]&gt;0,IF($A182="List #",1,$A182+1),IF($A182="List #",0,$A182))</f>
        <v>45</v>
      </c>
      <c r="B183" s="103" t="str">
        <f>MouserListTable12[[#This Row],[SKU]]</f>
        <v>474-PRT-14425</v>
      </c>
      <c r="C183" s="103">
        <f>MouserListTable12[[#This Row],['# Initial]]</f>
        <v>0</v>
      </c>
      <c r="D183" s="103" t="str">
        <f>MouserListTable12[[#This Row],[Name]]</f>
        <v>Qwiic Cable - Breadboard Jumper (4-pin)</v>
      </c>
      <c r="E183" s="103">
        <f>MouserListTable12[[#This Row],[Price (USD)]]</f>
        <v>1.5</v>
      </c>
      <c r="F183" s="103">
        <f>MouserListTable12[[#This Row],[Total Price]]</f>
        <v>0</v>
      </c>
    </row>
    <row r="184" spans="1:6" s="146" customFormat="1" hidden="1" x14ac:dyDescent="0.3">
      <c r="A184" s="103">
        <f>IF(MouserListTable1215[[#This Row],[Qty.]]&gt;0,IF($A183="List #",1,$A183+1),IF($A183="List #",0,$A183))</f>
        <v>45</v>
      </c>
      <c r="B184" s="103" t="str">
        <f>MouserListTable12[[#This Row],[SKU]]</f>
        <v>474-SPX-14291</v>
      </c>
      <c r="C184" s="103">
        <f>MouserListTable12[[#This Row],['# Initial]]</f>
        <v>0</v>
      </c>
      <c r="D184" s="103" t="str">
        <f>MouserListTable12[[#This Row],[Name]]</f>
        <v>1-Wire to Qwiic Bridge - DS28E17</v>
      </c>
      <c r="E184" s="103">
        <f>MouserListTable12[[#This Row],[Price (USD)]]</f>
        <v>14.95</v>
      </c>
      <c r="F184" s="103">
        <f>MouserListTable12[[#This Row],[Total Price]]</f>
        <v>0</v>
      </c>
    </row>
    <row r="185" spans="1:6" s="146" customFormat="1" hidden="1" x14ac:dyDescent="0.3">
      <c r="A185" s="103">
        <f>IF(MouserListTable1215[[#This Row],[Qty.]]&gt;0,IF($A184="List #",1,$A184+1),IF($A184="List #",0,$A184))</f>
        <v>45</v>
      </c>
      <c r="B185" s="103" t="str">
        <f>MouserListTable12[[#This Row],[SKU]]</f>
        <v>474-SPX-14286</v>
      </c>
      <c r="C185" s="103">
        <f>MouserListTable12[[#This Row],['# Initial]]</f>
        <v>0</v>
      </c>
      <c r="D185" s="103" t="str">
        <f>MouserListTable12[[#This Row],[Name]]</f>
        <v>Qwiic Shield for Arduino</v>
      </c>
      <c r="E185" s="103">
        <f>MouserListTable12[[#This Row],[Price (USD)]]</f>
        <v>2.95</v>
      </c>
      <c r="F185" s="103">
        <f>MouserListTable12[[#This Row],[Total Price]]</f>
        <v>0</v>
      </c>
    </row>
    <row r="186" spans="1:6" s="146" customFormat="1" hidden="1" x14ac:dyDescent="0.3">
      <c r="A186" s="103">
        <f>IF(MouserListTable1215[[#This Row],[Qty.]]&gt;0,IF($A185="List #",1,$A185+1),IF($A185="List #",0,$A185))</f>
        <v>45</v>
      </c>
      <c r="B186" s="103" t="str">
        <f>MouserListTable12[[#This Row],[SKU]]</f>
        <v>474-SPX-14257</v>
      </c>
      <c r="C186" s="103">
        <f>MouserListTable12[[#This Row],['# Initial]]</f>
        <v>0</v>
      </c>
      <c r="D186" s="103" t="str">
        <f>MouserListTable12[[#This Row],[Name]]</f>
        <v>Qwiic Mux Shield for Arduino - PCA9548A</v>
      </c>
      <c r="E186" s="103">
        <f>MouserListTable12[[#This Row],[Price (USD)]]</f>
        <v>9.9499999999999993</v>
      </c>
      <c r="F186" s="103">
        <f>MouserListTable12[[#This Row],[Total Price]]</f>
        <v>0</v>
      </c>
    </row>
    <row r="187" spans="1:6" s="146" customFormat="1" hidden="1" x14ac:dyDescent="0.3">
      <c r="A187" s="103">
        <f>IF(MouserListTable1215[[#This Row],[Qty.]]&gt;0,IF($A186="List #",1,$A186+1),IF($A186="List #",0,$A186))</f>
        <v>45</v>
      </c>
      <c r="B187" s="103" t="str">
        <f>MouserListTable12[[#This Row],[SKU]]</f>
        <v>474-SPX-14293</v>
      </c>
      <c r="C187" s="103">
        <f>MouserListTable12[[#This Row],['# Initial]]</f>
        <v>0</v>
      </c>
      <c r="D187" s="103" t="str">
        <f>MouserListTable12[[#This Row],[Name]]</f>
        <v>Qwiic Mux - PCA9548A</v>
      </c>
      <c r="E187" s="103">
        <f>MouserListTable12[[#This Row],[Price (USD)]]</f>
        <v>14.95</v>
      </c>
      <c r="F187" s="103">
        <f>MouserListTable12[[#This Row],[Total Price]]</f>
        <v>0</v>
      </c>
    </row>
    <row r="188" spans="1:6" s="146" customFormat="1" hidden="1" x14ac:dyDescent="0.3">
      <c r="A188" s="103">
        <f>IF(MouserListTable1215[[#This Row],[Qty.]]&gt;0,IF($A187="List #",1,$A187+1),IF($A187="List #",0,$A187))</f>
        <v>45</v>
      </c>
      <c r="B188" s="103" t="str">
        <f>MouserListTable12[[#This Row],[SKU]]</f>
        <v>474-SPX-14289</v>
      </c>
      <c r="C188" s="103">
        <f>MouserListTable12[[#This Row],['# Initial]]</f>
        <v>0</v>
      </c>
      <c r="D188" s="103" t="str">
        <f>MouserListTable12[[#This Row],[Name]]</f>
        <v>Qwiic Human Presence Sensor - AK9750</v>
      </c>
      <c r="E188" s="103">
        <f>MouserListTable12[[#This Row],[Price (USD)]]</f>
        <v>39.950000000000003</v>
      </c>
      <c r="F188" s="103">
        <f>MouserListTable12[[#This Row],[Total Price]]</f>
        <v>0</v>
      </c>
    </row>
    <row r="189" spans="1:6" s="146" customFormat="1" hidden="1" x14ac:dyDescent="0.3">
      <c r="A189" s="103">
        <f>IF(MouserListTable1215[[#This Row],[Qty.]]&gt;0,IF($A188="List #",1,$A188+1),IF($A188="List #",0,$A188))</f>
        <v>45</v>
      </c>
      <c r="B189" s="103" t="str">
        <f>MouserListTable12[[#This Row],[SKU]]</f>
        <v>474-SPX-14269</v>
      </c>
      <c r="C189" s="103">
        <f>MouserListTable12[[#This Row],['# Initial]]</f>
        <v>0</v>
      </c>
      <c r="D189" s="103" t="str">
        <f>MouserListTable12[[#This Row],[Name]]</f>
        <v>Qwiic Micro OLED</v>
      </c>
      <c r="E189" s="103">
        <f>MouserListTable12[[#This Row],[Price (USD)]]</f>
        <v>14.95</v>
      </c>
      <c r="F189" s="103">
        <f>MouserListTable12[[#This Row],[Total Price]]</f>
        <v>0</v>
      </c>
    </row>
    <row r="190" spans="1:6" s="146" customFormat="1" hidden="1" x14ac:dyDescent="0.3">
      <c r="A190" s="103">
        <f>IF(MouserListTable1215[[#This Row],[Qty.]]&gt;0,IF($A189="List #",1,$A189+1),IF($A189="List #",0,$A189))</f>
        <v>45</v>
      </c>
      <c r="B190" s="103" t="str">
        <f>MouserListTable12[[#This Row],[SKU]]</f>
        <v>474-PRT-14426</v>
      </c>
      <c r="C190" s="103">
        <f>MouserListTable12[[#This Row],['# Initial]]</f>
        <v>0</v>
      </c>
      <c r="D190" s="103" t="str">
        <f>MouserListTable12[[#This Row],[Name]]</f>
        <v>Qwiic Cable - 50mm</v>
      </c>
      <c r="E190" s="103">
        <f>MouserListTable12[[#This Row],[Price (USD)]]</f>
        <v>0.95</v>
      </c>
      <c r="F190" s="103">
        <f>MouserListTable12[[#This Row],[Total Price]]</f>
        <v>0</v>
      </c>
    </row>
    <row r="191" spans="1:6" s="146" customFormat="1" hidden="1" x14ac:dyDescent="0.3">
      <c r="A191" s="103">
        <f>IF(MouserListTable1215[[#This Row],[Qty.]]&gt;0,IF($A190="List #",1,$A190+1),IF($A190="List #",0,$A190))</f>
        <v>45</v>
      </c>
      <c r="B191" s="103" t="str">
        <f>MouserListTable12[[#This Row],[SKU]]</f>
        <v>474-PRT-14427</v>
      </c>
      <c r="C191" s="103">
        <f>MouserListTable12[[#This Row],['# Initial]]</f>
        <v>0</v>
      </c>
      <c r="D191" s="103" t="str">
        <f>MouserListTable12[[#This Row],[Name]]</f>
        <v>Qwiic Cable - 100mm</v>
      </c>
      <c r="E191" s="103">
        <f>MouserListTable12[[#This Row],[Price (USD)]]</f>
        <v>1.5</v>
      </c>
      <c r="F191" s="103">
        <f>MouserListTable12[[#This Row],[Total Price]]</f>
        <v>0</v>
      </c>
    </row>
    <row r="192" spans="1:6" s="146" customFormat="1" hidden="1" x14ac:dyDescent="0.3">
      <c r="A192" s="103">
        <f>IF(MouserListTable1215[[#This Row],[Qty.]]&gt;0,IF($A191="List #",1,$A191+1),IF($A191="List #",0,$A191))</f>
        <v>45</v>
      </c>
      <c r="B192" s="103" t="str">
        <f>MouserListTable12[[#This Row],[SKU]]</f>
        <v>474-PRT-14428</v>
      </c>
      <c r="C192" s="103">
        <f>MouserListTable12[[#This Row],['# Initial]]</f>
        <v>0</v>
      </c>
      <c r="D192" s="103" t="str">
        <f>MouserListTable12[[#This Row],[Name]]</f>
        <v>Qwiic Cable - 200mm</v>
      </c>
      <c r="E192" s="103">
        <f>MouserListTable12[[#This Row],[Price (USD)]]</f>
        <v>1.5</v>
      </c>
      <c r="F192" s="103">
        <f>MouserListTable12[[#This Row],[Total Price]]</f>
        <v>0</v>
      </c>
    </row>
    <row r="193" spans="1:6" s="146" customFormat="1" hidden="1" x14ac:dyDescent="0.3">
      <c r="A193" s="103">
        <f>IF(MouserListTable1215[[#This Row],[Qty.]]&gt;0,IF($A192="List #",1,$A192+1),IF($A192="List #",0,$A192))</f>
        <v>45</v>
      </c>
      <c r="B193" s="103" t="str">
        <f>MouserListTable12[[#This Row],[SKU]]</f>
        <v>474-PRT-14429</v>
      </c>
      <c r="C193" s="103">
        <f>MouserListTable12[[#This Row],['# Initial]]</f>
        <v>0</v>
      </c>
      <c r="D193" s="103" t="str">
        <f>MouserListTable12[[#This Row],[Name]]</f>
        <v>Qwiic Cable - 500mm</v>
      </c>
      <c r="E193" s="103">
        <f>MouserListTable12[[#This Row],[Price (USD)]]</f>
        <v>1.95</v>
      </c>
      <c r="F193" s="103">
        <f>MouserListTable12[[#This Row],[Total Price]]</f>
        <v>0</v>
      </c>
    </row>
    <row r="194" spans="1:6" s="146" customFormat="1" hidden="1" x14ac:dyDescent="0.3">
      <c r="A194" s="103">
        <f>IF(MouserListTable1215[[#This Row],[Qty.]]&gt;0,IF($A193="List #",1,$A193+1),IF($A193="List #",0,$A193))</f>
        <v>45</v>
      </c>
      <c r="B194" s="103" t="str">
        <f>MouserListTable12[[#This Row],[SKU]]</f>
        <v>474-SPX-14323</v>
      </c>
      <c r="C194" s="103">
        <f>MouserListTable12[[#This Row],['# Initial]]</f>
        <v>0</v>
      </c>
      <c r="D194" s="103" t="str">
        <f>MouserListTable12[[#This Row],[Name]]</f>
        <v>Qwiic Connector SMD - Black 10 Pcs</v>
      </c>
      <c r="E194" s="103">
        <f>MouserListTable12[[#This Row],[Price (USD)]]</f>
        <v>2.95</v>
      </c>
      <c r="F194" s="103">
        <f>MouserListTable12[[#This Row],[Total Price]]</f>
        <v>0</v>
      </c>
    </row>
    <row r="195" spans="1:6" s="146" customFormat="1" hidden="1" x14ac:dyDescent="0.3">
      <c r="A195" s="103">
        <f>IF(MouserListTable1215[[#This Row],[Qty.]]&gt;0,IF($A194="List #",1,$A194+1),IF($A194="List #",0,$A194))</f>
        <v>45</v>
      </c>
      <c r="B195" s="103" t="str">
        <f>MouserListTable12[[#This Row],[SKU]]</f>
        <v>474-SPX-14324</v>
      </c>
      <c r="C195" s="103">
        <f>MouserListTable12[[#This Row],['# Initial]]</f>
        <v>0</v>
      </c>
      <c r="D195" s="103" t="str">
        <f>MouserListTable12[[#This Row],[Name]]</f>
        <v>Qwiic Connector SMD - White 10 Pcs</v>
      </c>
      <c r="E195" s="103">
        <f>MouserListTable12[[#This Row],[Price (USD)]]</f>
        <v>2.95</v>
      </c>
      <c r="F195" s="103">
        <f>MouserListTable12[[#This Row],[Total Price]]</f>
        <v>0</v>
      </c>
    </row>
    <row r="196" spans="1:6" s="144" customFormat="1" hidden="1" x14ac:dyDescent="0.3">
      <c r="A196" s="103">
        <f>IF(MouserListTable1215[[#This Row],[Qty.]]&gt;0,IF($A195="List #",1,$A195+1),IF($A195="List #",0,$A195))</f>
        <v>45</v>
      </c>
      <c r="B196" s="103" t="str">
        <f>MouserListTable12[[#This Row],[SKU]]</f>
        <v>474-DEV-11723</v>
      </c>
      <c r="C196" s="103">
        <f>MouserListTable12[[#This Row],['# Initial]]</f>
        <v>0</v>
      </c>
      <c r="D196" s="103" t="str">
        <f>MouserListTable12[[#This Row],[Name]]</f>
        <v>Mux Shield II</v>
      </c>
      <c r="E196" s="103">
        <f>MouserListTable12[[#This Row],[Price (USD)]]</f>
        <v>24.95</v>
      </c>
      <c r="F196" s="103">
        <f>MouserListTable12[[#This Row],[Total Price]]</f>
        <v>0</v>
      </c>
    </row>
    <row r="197" spans="1:6" s="144" customFormat="1" x14ac:dyDescent="0.3">
      <c r="A197" s="193">
        <f>IF(MouserListTable1215[[#This Row],[Qty.]]&gt;0,IF($A196="List #",1,$A196+1),IF($A196="List #",0,$A196))</f>
        <v>46</v>
      </c>
      <c r="B197" s="103" t="str">
        <f>MouserListTable12[[#This Row],[SKU]]</f>
        <v>474-BOB-09056</v>
      </c>
      <c r="C197" s="103">
        <f>MouserListTable12[[#This Row],['# Initial]]</f>
        <v>5</v>
      </c>
      <c r="D197" s="103" t="str">
        <f>MouserListTable12[[#This Row],[Name]]</f>
        <v>SparkFun Analog/Digital MUX Breakout - CD74HC4067</v>
      </c>
      <c r="E197" s="179">
        <f>MouserListTable12[[#This Row],[Price (USD)]]</f>
        <v>4.95</v>
      </c>
      <c r="F197" s="179">
        <f>MouserListTable12[[#This Row],[Total Price]]</f>
        <v>24.75</v>
      </c>
    </row>
    <row r="198" spans="1:6" s="144" customFormat="1" hidden="1" x14ac:dyDescent="0.3">
      <c r="A198" s="103">
        <f>IF(MouserListTable1215[[#This Row],[Qty.]]&gt;0,IF($A197="List #",1,$A197+1),IF($A197="List #",0,$A197))</f>
        <v>46</v>
      </c>
      <c r="B198" s="103" t="str">
        <f>MouserListTable12[[#This Row],[SKU]]</f>
        <v>485-2717</v>
      </c>
      <c r="C198" s="103">
        <f>MouserListTable12[[#This Row],['# Initial]]</f>
        <v>0</v>
      </c>
      <c r="D198" s="103" t="str">
        <f>MouserListTable12[[#This Row],[Name]]</f>
        <v xml:space="preserve">TCA9548A I2C Multiplexer </v>
      </c>
      <c r="E198" s="103">
        <f>MouserListTable12[[#This Row],[Price (USD)]]</f>
        <v>6.95</v>
      </c>
      <c r="F198" s="103">
        <f>MouserListTable12[[#This Row],[Total Price]]</f>
        <v>0</v>
      </c>
    </row>
    <row r="199" spans="1:6" s="144" customFormat="1" x14ac:dyDescent="0.3">
      <c r="A199" s="193">
        <f>IF(MouserListTable1215[[#This Row],[Qty.]]&gt;0,IF($A198="List #",1,$A198+1),IF($A198="List #",0,$A198))</f>
        <v>47</v>
      </c>
      <c r="B199" s="103" t="str">
        <f>MouserListTable12[[#This Row],[SKU]]</f>
        <v>474-BOB-09118</v>
      </c>
      <c r="C199" s="103">
        <f>MouserListTable12[[#This Row],['# Initial]]</f>
        <v>5</v>
      </c>
      <c r="D199" s="103" t="str">
        <f>MouserListTable12[[#This Row],[Name]]</f>
        <v>SparkFun Opto-isolator Breakout</v>
      </c>
      <c r="E199" s="179">
        <f>MouserListTable12[[#This Row],[Price (USD)]]</f>
        <v>4.95</v>
      </c>
      <c r="F199" s="179">
        <f>MouserListTable12[[#This Row],[Total Price]]</f>
        <v>24.75</v>
      </c>
    </row>
    <row r="200" spans="1:6" s="144" customFormat="1" hidden="1" x14ac:dyDescent="0.3">
      <c r="A200" s="103">
        <f>IF(MouserListTable1215[[#This Row],[Qty.]]&gt;0,IF($A199="List #",1,$A199+1),IF($A199="List #",0,$A199))</f>
        <v>47</v>
      </c>
      <c r="B200" s="103" t="str">
        <f>MouserListTable12[[#This Row],[SKU]]</f>
        <v>485-1085</v>
      </c>
      <c r="C200" s="103">
        <f>MouserListTable12[[#This Row],['# Initial]]</f>
        <v>0</v>
      </c>
      <c r="D200" s="103" t="str">
        <f>MouserListTable12[[#This Row],[Name]]</f>
        <v xml:space="preserve">ADS1115 16-Bit ADC - 4 Channel with Programmable Gain Amplifier </v>
      </c>
      <c r="E200" s="103">
        <f>MouserListTable12[[#This Row],[Price (USD)]]</f>
        <v>14.95</v>
      </c>
      <c r="F200" s="103">
        <f>MouserListTable12[[#This Row],[Total Price]]</f>
        <v>0</v>
      </c>
    </row>
    <row r="201" spans="1:6" s="144" customFormat="1" hidden="1" x14ac:dyDescent="0.3">
      <c r="A201" s="103">
        <f>IF(MouserListTable1215[[#This Row],[Qty.]]&gt;0,IF($A200="List #",1,$A200+1),IF($A200="List #",0,$A200))</f>
        <v>47</v>
      </c>
      <c r="B201" s="103" t="str">
        <f>MouserListTable12[[#This Row],[SKU]]</f>
        <v>485-856</v>
      </c>
      <c r="C201" s="103">
        <f>MouserListTable12[[#This Row],['# Initial]]</f>
        <v>0</v>
      </c>
      <c r="D201" s="103" t="str">
        <f>MouserListTable12[[#This Row],[Name]]</f>
        <v xml:space="preserve">MCP3008 - 8-Channel 10-Bit ADC With SPI Interface </v>
      </c>
      <c r="E201" s="103">
        <f>MouserListTable12[[#This Row],[Price (USD)]]</f>
        <v>3.75</v>
      </c>
      <c r="F201" s="103">
        <f>MouserListTable12[[#This Row],[Total Price]]</f>
        <v>0</v>
      </c>
    </row>
    <row r="202" spans="1:6" s="144" customFormat="1" hidden="1" x14ac:dyDescent="0.3">
      <c r="A202" s="103">
        <f>IF(MouserListTable1215[[#This Row],[Qty.]]&gt;0,IF($A201="List #",1,$A201+1),IF($A201="List #",0,$A201))</f>
        <v>47</v>
      </c>
      <c r="B202" s="103" t="str">
        <f>MouserListTable12[[#This Row],[SKU]]</f>
        <v>474-CAB-11604</v>
      </c>
      <c r="C202" s="103">
        <f>MouserListTable12[[#This Row],['# Initial]]</f>
        <v>0</v>
      </c>
      <c r="D202" s="103" t="str">
        <f>MouserListTable12[[#This Row],[Name]]</f>
        <v>USB OTG Cable - Female A to Micro A - 4\"</v>
      </c>
      <c r="E202" s="103">
        <f>MouserListTable12[[#This Row],[Price (USD)]]</f>
        <v>2.95</v>
      </c>
      <c r="F202" s="103">
        <f>MouserListTable12[[#This Row],[Total Price]]</f>
        <v>0</v>
      </c>
    </row>
    <row r="203" spans="1:6" s="144" customFormat="1" hidden="1" x14ac:dyDescent="0.3">
      <c r="A203" s="103">
        <f>IF(MouserListTable1215[[#This Row],[Qty.]]&gt;0,IF($A202="List #",1,$A202+1),IF($A202="List #",0,$A202))</f>
        <v>47</v>
      </c>
      <c r="B203" s="103" t="str">
        <f>MouserListTable12[[#This Row],[SKU]]</f>
        <v>474-CAB-14276</v>
      </c>
      <c r="C203" s="103">
        <f>MouserListTable12[[#This Row],['# Initial]]</f>
        <v>0</v>
      </c>
      <c r="D203" s="103" t="str">
        <f>MouserListTable12[[#This Row],[Name]]</f>
        <v>USB OTG Cable - Female A to Micro B - 5in</v>
      </c>
      <c r="E203" s="103">
        <f>MouserListTable12[[#This Row],[Price (USD)]]</f>
        <v>2.95</v>
      </c>
      <c r="F203" s="103">
        <f>MouserListTable12[[#This Row],[Total Price]]</f>
        <v>0</v>
      </c>
    </row>
    <row r="204" spans="1:6" s="144" customFormat="1" hidden="1" x14ac:dyDescent="0.3">
      <c r="A204" s="103">
        <f>IF(MouserListTable1215[[#This Row],[Qty.]]&gt;0,IF($A203="List #",1,$A203+1),IF($A203="List #",0,$A203))</f>
        <v>47</v>
      </c>
      <c r="B204" s="103" t="str">
        <f>MouserListTable12[[#This Row],[SKU]]</f>
        <v>485-1099</v>
      </c>
      <c r="C204" s="103">
        <f>MouserListTable12[[#This Row],['# Initial]]</f>
        <v>0</v>
      </c>
      <c r="D204" s="103" t="str">
        <f>MouserListTable12[[#This Row],[Name]]</f>
        <v>USB OTG Host Cable - MicroB OTG male to A female</v>
      </c>
      <c r="E204" s="103">
        <f>MouserListTable12[[#This Row],[Price (USD)]]</f>
        <v>2.5</v>
      </c>
      <c r="F204" s="103">
        <f>MouserListTable12[[#This Row],[Total Price]]</f>
        <v>0</v>
      </c>
    </row>
    <row r="205" spans="1:6" s="144" customFormat="1" x14ac:dyDescent="0.3">
      <c r="A205" s="193">
        <f>IF(MouserListTable1215[[#This Row],[Qty.]]&gt;0,IF($A204="List #",1,$A204+1),IF($A204="List #",0,$A204))</f>
        <v>48</v>
      </c>
      <c r="B205" s="103" t="str">
        <f>MouserListTable12[[#This Row],[SKU]]</f>
        <v>485-2910</v>
      </c>
      <c r="C205" s="103">
        <f>MouserListTable12[[#This Row],['# Initial]]</f>
        <v>5</v>
      </c>
      <c r="D205" s="103" t="str">
        <f>MouserListTable12[[#This Row],[Name]]</f>
        <v>Tiny OTG Adapter - USB Micro to USB</v>
      </c>
      <c r="E205" s="179">
        <f>MouserListTable12[[#This Row],[Price (USD)]]</f>
        <v>2.95</v>
      </c>
      <c r="F205" s="179">
        <f>MouserListTable12[[#This Row],[Total Price]]</f>
        <v>14.75</v>
      </c>
    </row>
    <row r="206" spans="1:6" s="144" customFormat="1" hidden="1" x14ac:dyDescent="0.3">
      <c r="A206" s="103">
        <f>IF(MouserListTable1215[[#This Row],[Qty.]]&gt;0,IF($A205="List #",1,$A205+1),IF($A205="List #",0,$A205))</f>
        <v>48</v>
      </c>
      <c r="B206" s="103" t="str">
        <f>MouserListTable12[[#This Row],[SKU]]</f>
        <v>474-CAB-12977</v>
      </c>
      <c r="C206" s="103">
        <f>MouserListTable12[[#This Row],['# Initial]]</f>
        <v>0</v>
      </c>
      <c r="D206" s="103" t="str">
        <f>MouserListTable12[[#This Row],[Name]]</f>
        <v>USB to TTL Serial Cable</v>
      </c>
      <c r="E206" s="103">
        <f>MouserListTable12[[#This Row],[Price (USD)]]</f>
        <v>9.9499999999999993</v>
      </c>
      <c r="F206" s="103">
        <f>MouserListTable12[[#This Row],[Total Price]]</f>
        <v>0</v>
      </c>
    </row>
    <row r="207" spans="1:6" s="144" customFormat="1" hidden="1" x14ac:dyDescent="0.3">
      <c r="A207" s="103">
        <f>IF(MouserListTable1215[[#This Row],[Qty.]]&gt;0,IF($A206="List #",1,$A206+1),IF($A206="List #",0,$A206))</f>
        <v>48</v>
      </c>
      <c r="B207" s="103" t="str">
        <f>MouserListTable12[[#This Row],[SKU]]</f>
        <v>485-1620</v>
      </c>
      <c r="C207" s="103">
        <f>MouserListTable12[[#This Row],['# Initial]]</f>
        <v>0</v>
      </c>
      <c r="D207" s="103" t="str">
        <f>MouserListTable12[[#This Row],[Name]]</f>
        <v>USB Cable with Switch</v>
      </c>
      <c r="E207" s="103">
        <f>MouserListTable12[[#This Row],[Price (USD)]]</f>
        <v>2.95</v>
      </c>
      <c r="F207" s="103">
        <f>MouserListTable12[[#This Row],[Total Price]]</f>
        <v>0</v>
      </c>
    </row>
    <row r="208" spans="1:6" s="144" customFormat="1" x14ac:dyDescent="0.3">
      <c r="A208" s="193">
        <f>IF(MouserListTable1215[[#This Row],[Qty.]]&gt;0,IF($A207="List #",1,$A207+1),IF($A207="List #",0,$A207))</f>
        <v>49</v>
      </c>
      <c r="B208" s="103" t="str">
        <f>MouserListTable12[[#This Row],[SKU]]</f>
        <v>474-CAB-12016</v>
      </c>
      <c r="C208" s="103">
        <f>MouserListTable12[[#This Row],['# Initial]]</f>
        <v>1</v>
      </c>
      <c r="D208" s="103" t="str">
        <f>MouserListTable12[[#This Row],[Name]]</f>
        <v>SparkFun Cerberus USB Cable - 6ft</v>
      </c>
      <c r="E208" s="179">
        <f>MouserListTable12[[#This Row],[Price (USD)]]</f>
        <v>6.97</v>
      </c>
      <c r="F208" s="179">
        <f>MouserListTable12[[#This Row],[Total Price]]</f>
        <v>6.97</v>
      </c>
    </row>
    <row r="209" spans="1:6" s="146" customFormat="1" x14ac:dyDescent="0.3">
      <c r="A209" s="193">
        <f>IF(MouserListTable1215[[#This Row],[Qty.]]&gt;0,IF($A208="List #",1,$A208+1),IF($A208="List #",0,$A208))</f>
        <v>50</v>
      </c>
      <c r="B209" s="103" t="str">
        <f>MouserListTable12[[#This Row],[SKU]]</f>
        <v>474-DEV-14050</v>
      </c>
      <c r="C209" s="103">
        <f>MouserListTable12[[#This Row],['# Initial]]</f>
        <v>5</v>
      </c>
      <c r="D209" s="103" t="str">
        <f>MouserListTable12[[#This Row],[Name]]</f>
        <v>SparkFun Serial Basic Breakout - CH340G</v>
      </c>
      <c r="E209" s="179">
        <f>MouserListTable12[[#This Row],[Price (USD)]]</f>
        <v>7.95</v>
      </c>
      <c r="F209" s="179">
        <f>MouserListTable12[[#This Row],[Total Price]]</f>
        <v>39.75</v>
      </c>
    </row>
    <row r="210" spans="1:6" s="146" customFormat="1" x14ac:dyDescent="0.3">
      <c r="A210" s="193">
        <f>IF(MouserListTable1215[[#This Row],[Qty.]]&gt;0,IF($A209="List #",1,$A209+1),IF($A209="List #",0,$A209))</f>
        <v>51</v>
      </c>
      <c r="B210" s="103" t="str">
        <f>MouserListTable12[[#This Row],[SKU]]</f>
        <v>474-BOB-13830</v>
      </c>
      <c r="C210" s="103">
        <f>MouserListTable12[[#This Row],['# Initial]]</f>
        <v>5</v>
      </c>
      <c r="D210" s="103" t="str">
        <f>MouserListTable12[[#This Row],[Name]]</f>
        <v>SparkFun USB UART Serial Breakout - CY7C65213</v>
      </c>
      <c r="E210" s="179">
        <f>MouserListTable12[[#This Row],[Price (USD)]]</f>
        <v>12.95</v>
      </c>
      <c r="F210" s="179">
        <f>MouserListTable12[[#This Row],[Total Price]]</f>
        <v>64.75</v>
      </c>
    </row>
    <row r="211" spans="1:6" s="146" customFormat="1" hidden="1" x14ac:dyDescent="0.3">
      <c r="A211" s="103">
        <f>IF(MouserListTable1215[[#This Row],[Qty.]]&gt;0,IF($A210="List #",1,$A210+1),IF($A210="List #",0,$A210))</f>
        <v>51</v>
      </c>
      <c r="B211" s="103" t="str">
        <f>MouserListTable12[[#This Row],[SKU]]</f>
        <v>474-BOB-12731</v>
      </c>
      <c r="C211" s="103">
        <f>MouserListTable12[[#This Row],['# Initial]]</f>
        <v>0</v>
      </c>
      <c r="D211" s="103" t="str">
        <f>MouserListTable12[[#This Row],[Name]]</f>
        <v>SparkFun USB to Serial Breakout - FT232RL</v>
      </c>
      <c r="E211" s="103">
        <f>MouserListTable12[[#This Row],[Price (USD)]]</f>
        <v>14.95</v>
      </c>
      <c r="F211" s="103">
        <f>MouserListTable12[[#This Row],[Total Price]]</f>
        <v>0</v>
      </c>
    </row>
    <row r="212" spans="1:6" s="146" customFormat="1" x14ac:dyDescent="0.3">
      <c r="A212" s="193">
        <f>IF(MouserListTable1215[[#This Row],[Qty.]]&gt;0,IF($A211="List #",1,$A211+1),IF($A211="List #",0,$A211))</f>
        <v>52</v>
      </c>
      <c r="B212" s="103" t="str">
        <f>MouserListTable12[[#This Row],[SKU]]</f>
        <v>474-BOB-13263</v>
      </c>
      <c r="C212" s="103">
        <f>MouserListTable12[[#This Row],['# Initial]]</f>
        <v>1</v>
      </c>
      <c r="D212" s="103" t="str">
        <f>MouserListTable12[[#This Row],[Name]]</f>
        <v>SparkFun FT231X Breakout</v>
      </c>
      <c r="E212" s="179">
        <f>MouserListTable12[[#This Row],[Price (USD)]]</f>
        <v>11.95</v>
      </c>
      <c r="F212" s="179">
        <f>MouserListTable12[[#This Row],[Total Price]]</f>
        <v>11.95</v>
      </c>
    </row>
    <row r="213" spans="1:6" s="146" customFormat="1" x14ac:dyDescent="0.3">
      <c r="A213" s="193">
        <f>IF(MouserListTable1215[[#This Row],[Qty.]]&gt;0,IF($A212="List #",1,$A212+1),IF($A212="List #",0,$A212))</f>
        <v>53</v>
      </c>
      <c r="B213" s="103" t="str">
        <f>MouserListTable12[[#This Row],[SKU]]</f>
        <v>474-DEV-12935</v>
      </c>
      <c r="C213" s="103">
        <f>MouserListTable12[[#This Row],['# Initial]]</f>
        <v>1</v>
      </c>
      <c r="D213" s="103" t="str">
        <f>MouserListTable12[[#This Row],[Name]]</f>
        <v>SparkFun FTDI SmartBasic</v>
      </c>
      <c r="E213" s="179">
        <f>MouserListTable12[[#This Row],[Price (USD)]]</f>
        <v>19.95</v>
      </c>
      <c r="F213" s="179">
        <f>MouserListTable12[[#This Row],[Total Price]]</f>
        <v>19.95</v>
      </c>
    </row>
    <row r="214" spans="1:6" s="146" customFormat="1" hidden="1" x14ac:dyDescent="0.3">
      <c r="A214" s="103">
        <f>IF(MouserListTable1215[[#This Row],[Qty.]]&gt;0,IF($A213="List #",1,$A213+1),IF($A213="List #",0,$A213))</f>
        <v>53</v>
      </c>
      <c r="B214" s="103" t="str">
        <f>MouserListTable12[[#This Row],[SKU]]</f>
        <v>474-PRT-12885</v>
      </c>
      <c r="C214" s="103">
        <f>MouserListTable12[[#This Row],['# Initial]]</f>
        <v>0</v>
      </c>
      <c r="D214" s="103" t="str">
        <f>MouserListTable12[[#This Row],[Name]]</f>
        <v>SparkFun Sunny Buddy - MPPT Solar Charger</v>
      </c>
      <c r="E214" s="103">
        <f>MouserListTable12[[#This Row],[Price (USD)]]</f>
        <v>24.95</v>
      </c>
      <c r="F214" s="103">
        <f>MouserListTable12[[#This Row],[Total Price]]</f>
        <v>0</v>
      </c>
    </row>
    <row r="215" spans="1:6" s="146" customFormat="1" hidden="1" x14ac:dyDescent="0.3">
      <c r="A215" s="103">
        <f>IF(MouserListTable1215[[#This Row],[Qty.]]&gt;0,IF($A214="List #",1,$A214+1),IF($A214="List #",0,$A214))</f>
        <v>53</v>
      </c>
      <c r="B215" s="106" t="str">
        <f>MouserListTable12[[#This Row],[SKU]]</f>
        <v>474-GPS-00177</v>
      </c>
      <c r="C215" s="121">
        <f>MouserListTable12[[#This Row],['# Initial]]</f>
        <v>0</v>
      </c>
      <c r="D215" s="103" t="s">
        <v>1530</v>
      </c>
      <c r="E215" s="157">
        <v>24.95</v>
      </c>
      <c r="F215" s="157">
        <f>MouserListTable12[[#This Row],[Total Price]]</f>
        <v>0</v>
      </c>
    </row>
    <row r="216" spans="1:6" s="146" customFormat="1" hidden="1" x14ac:dyDescent="0.3">
      <c r="A216" s="103">
        <f>IF(MouserListTable1215[[#This Row],[Qty.]]&gt;0,IF($A215="List #",1,$A215+1),IF($A215="List #",0,$A215))</f>
        <v>53</v>
      </c>
      <c r="B216" s="106" t="str">
        <f>MouserListTable12[[#This Row],[SKU]]</f>
        <v>474-SPX-14416</v>
      </c>
      <c r="C216" s="121">
        <f>MouserListTable12[[#This Row],['# Initial]]</f>
        <v>0</v>
      </c>
      <c r="D216" s="103" t="s">
        <v>952</v>
      </c>
      <c r="E216" s="157">
        <v>11.95</v>
      </c>
      <c r="F216" s="157">
        <f>MouserListTable12[[#This Row],[Total Price]]</f>
        <v>0</v>
      </c>
    </row>
    <row r="217" spans="1:6" s="151" customFormat="1" hidden="1" x14ac:dyDescent="0.3">
      <c r="A217" s="103">
        <f>IF(MouserListTable1215[[#This Row],[Qty.]]&gt;0,IF($A216="List #",1,$A216+1),IF($A216="List #",0,$A216))</f>
        <v>53</v>
      </c>
      <c r="B217" s="106" t="str">
        <f>MouserListTable12[[#This Row],[SKU]]</f>
        <v>474-GPS-13750</v>
      </c>
      <c r="C217" s="121">
        <f>MouserListTable12[[#This Row],['# Initial]]</f>
        <v>0</v>
      </c>
      <c r="D217" s="103" t="s">
        <v>972</v>
      </c>
      <c r="E217" s="157">
        <v>49.95</v>
      </c>
      <c r="F217" s="157">
        <f>MouserListTable12[[#This Row],[Total Price]]</f>
        <v>0</v>
      </c>
    </row>
    <row r="218" spans="1:6" s="151" customFormat="1" hidden="1" x14ac:dyDescent="0.3">
      <c r="A218" s="103">
        <f>IF(MouserListTable1215[[#This Row],[Qty.]]&gt;0,IF($A217="List #",1,$A217+1),IF($A217="List #",0,$A217))</f>
        <v>53</v>
      </c>
      <c r="B218" s="106" t="str">
        <f>MouserListTable12[[#This Row],[SKU]]</f>
        <v>474-GPS-10920</v>
      </c>
      <c r="C218" s="121">
        <f>MouserListTable12[[#This Row],['# Initial]]</f>
        <v>0</v>
      </c>
      <c r="D218" s="103" t="s">
        <v>992</v>
      </c>
      <c r="E218" s="157">
        <v>44.95</v>
      </c>
      <c r="F218" s="157">
        <f>MouserListTable12[[#This Row],[Total Price]]</f>
        <v>0</v>
      </c>
    </row>
    <row r="219" spans="1:6" s="151" customFormat="1" hidden="1" x14ac:dyDescent="0.3">
      <c r="A219" s="103">
        <f>IF(MouserListTable1215[[#This Row],[Qty.]]&gt;0,IF($A218="List #",1,$A218+1),IF($A218="List #",0,$A218))</f>
        <v>53</v>
      </c>
      <c r="B219" s="106" t="str">
        <f>MouserListTable12[[#This Row],[SKU]]</f>
        <v>485-1272</v>
      </c>
      <c r="C219" s="121">
        <f>MouserListTable12[[#This Row],['# Initial]]</f>
        <v>0</v>
      </c>
      <c r="D219" s="103" t="s">
        <v>956</v>
      </c>
      <c r="E219" s="157">
        <v>59.95</v>
      </c>
      <c r="F219" s="157">
        <f>MouserListTable12[[#This Row],[Total Price]]</f>
        <v>0</v>
      </c>
    </row>
    <row r="220" spans="1:6" s="144" customFormat="1" hidden="1" x14ac:dyDescent="0.3">
      <c r="A220" s="103">
        <f>IF(MouserListTable1215[[#This Row],[Qty.]]&gt;0,IF($A219="List #",1,$A219+1),IF($A219="List #",0,$A219))</f>
        <v>53</v>
      </c>
      <c r="B220" s="106" t="str">
        <f>MouserListTable12[[#This Row],[SKU]]</f>
        <v>485-2468</v>
      </c>
      <c r="C220" s="121">
        <f>MouserListTable12[[#This Row],['# Initial]]</f>
        <v>0</v>
      </c>
      <c r="D220" s="103" t="s">
        <v>2095</v>
      </c>
      <c r="E220" s="157">
        <v>44.95</v>
      </c>
      <c r="F220" s="157">
        <f>MouserListTable12[[#This Row],[Total Price]]</f>
        <v>0</v>
      </c>
    </row>
    <row r="221" spans="1:6" s="144" customFormat="1" hidden="1" x14ac:dyDescent="0.3">
      <c r="A221" s="103">
        <f>IF(MouserListTable1215[[#This Row],[Qty.]]&gt;0,IF($A220="List #",1,$A220+1),IF($A220="List #",0,$A220))</f>
        <v>53</v>
      </c>
      <c r="B221" s="106" t="str">
        <f>MouserListTable12[[#This Row],[SKU]]</f>
        <v>485-2505</v>
      </c>
      <c r="C221" s="121">
        <f>MouserListTable12[[#This Row],['# Initial]]</f>
        <v>0</v>
      </c>
      <c r="D221" s="103" t="s">
        <v>2072</v>
      </c>
      <c r="E221" s="157">
        <v>39.950000000000003</v>
      </c>
      <c r="F221" s="157">
        <f>MouserListTable12[[#This Row],[Total Price]]</f>
        <v>0</v>
      </c>
    </row>
    <row r="222" spans="1:6" s="144" customFormat="1" hidden="1" x14ac:dyDescent="0.3">
      <c r="A222" s="103">
        <f>IF(MouserListTable1215[[#This Row],[Qty.]]&gt;0,IF($A221="List #",1,$A221+1),IF($A221="List #",0,$A221))</f>
        <v>53</v>
      </c>
      <c r="B222" s="106" t="str">
        <f>MouserListTable12[[#This Row],[SKU]]</f>
        <v>485-1991</v>
      </c>
      <c r="C222" s="121">
        <f>MouserListTable12[[#This Row],['# Initial]]</f>
        <v>0</v>
      </c>
      <c r="D222" s="103" t="s">
        <v>2070</v>
      </c>
      <c r="E222" s="157">
        <v>9</v>
      </c>
      <c r="F222" s="157">
        <f>MouserListTable12[[#This Row],[Total Price]]</f>
        <v>0</v>
      </c>
    </row>
    <row r="223" spans="1:6" s="144" customFormat="1" hidden="1" x14ac:dyDescent="0.3">
      <c r="A223" s="103">
        <f>IF(MouserListTable1215[[#This Row],[Qty.]]&gt;0,IF($A222="List #",1,$A222+1),IF($A222="List #",0,$A222))</f>
        <v>53</v>
      </c>
      <c r="B223" s="106" t="str">
        <f>MouserListTable12[[#This Row],[SKU]]</f>
        <v>474-SEN-12916</v>
      </c>
      <c r="C223" s="121">
        <f>MouserListTable12[[#This Row],['# Initial]]</f>
        <v>0</v>
      </c>
      <c r="D223" s="103" t="s">
        <v>2068</v>
      </c>
      <c r="E223" s="157">
        <v>2.95</v>
      </c>
      <c r="F223" s="157">
        <f>MouserListTable12[[#This Row],[Total Price]]</f>
        <v>0</v>
      </c>
    </row>
    <row r="224" spans="1:6" s="151" customFormat="1" hidden="1" x14ac:dyDescent="0.3">
      <c r="A224" s="103">
        <f>IF(MouserListTable1215[[#This Row],[Qty.]]&gt;0,IF($A223="List #",1,$A223+1),IF($A223="List #",0,$A223))</f>
        <v>53</v>
      </c>
      <c r="B224" s="106" t="str">
        <f>MouserListTable12[[#This Row],[SKU]]</f>
        <v>474-CAB-14043</v>
      </c>
      <c r="C224" s="121">
        <f>MouserListTable12[[#This Row],['# Initial]]</f>
        <v>0</v>
      </c>
      <c r="D224" s="103" t="s">
        <v>1408</v>
      </c>
      <c r="E224" s="157">
        <v>149.94999999999999</v>
      </c>
      <c r="F224" s="157">
        <f>MouserListTable12[[#This Row],[Total Price]]</f>
        <v>0</v>
      </c>
    </row>
    <row r="225" spans="1:6" s="151" customFormat="1" hidden="1" x14ac:dyDescent="0.3">
      <c r="A225" s="103">
        <f>IF(MouserListTable1215[[#This Row],[Qty.]]&gt;0,IF($A224="List #",1,$A224+1),IF($A224="List #",0,$A224))</f>
        <v>53</v>
      </c>
      <c r="B225" s="106" t="str">
        <f>MouserListTable12[[#This Row],[SKU]]</f>
        <v>474-SEN-14117</v>
      </c>
      <c r="C225" s="121">
        <f>MouserListTable12[[#This Row],['# Initial]]</f>
        <v>0</v>
      </c>
      <c r="D225" s="103" t="s">
        <v>960</v>
      </c>
      <c r="E225" s="157">
        <v>4.95</v>
      </c>
      <c r="F225" s="157">
        <f>MouserListTable12[[#This Row],[Total Price]]</f>
        <v>0</v>
      </c>
    </row>
    <row r="226" spans="1:6" s="151" customFormat="1" hidden="1" x14ac:dyDescent="0.3">
      <c r="A226" s="103">
        <f>IF(MouserListTable1215[[#This Row],[Qty.]]&gt;0,IF($A225="List #",1,$A225+1),IF($A225="List #",0,$A225))</f>
        <v>53</v>
      </c>
      <c r="B226" s="106" t="str">
        <f>MouserListTable12[[#This Row],[SKU]]</f>
        <v>474-ROB-13064</v>
      </c>
      <c r="C226" s="121">
        <f>MouserListTable12[[#This Row],['# Initial]]</f>
        <v>0</v>
      </c>
      <c r="D226" s="103" t="s">
        <v>976</v>
      </c>
      <c r="E226" s="157">
        <v>349</v>
      </c>
      <c r="F226" s="157">
        <f>MouserListTable12[[#This Row],[Total Price]]</f>
        <v>0</v>
      </c>
    </row>
    <row r="227" spans="1:6" s="144" customFormat="1" hidden="1" x14ac:dyDescent="0.3">
      <c r="A227" s="103">
        <f>IF(MouserListTable1215[[#This Row],[Qty.]]&gt;0,IF($A226="List #",1,$A226+1),IF($A226="List #",0,$A226))</f>
        <v>53</v>
      </c>
      <c r="B227" s="106" t="str">
        <f>MouserListTable12[[#This Row],[SKU]]</f>
        <v>474-SEN-13284</v>
      </c>
      <c r="C227" s="121">
        <f>MouserListTable12[[#This Row],['# Initial]]</f>
        <v>0</v>
      </c>
      <c r="D227" s="103" t="s">
        <v>1031</v>
      </c>
      <c r="E227" s="157">
        <v>14.95</v>
      </c>
      <c r="F227" s="157">
        <f>MouserListTable12[[#This Row],[Total Price]]</f>
        <v>0</v>
      </c>
    </row>
    <row r="228" spans="1:6" s="151" customFormat="1" hidden="1" x14ac:dyDescent="0.3">
      <c r="A228" s="103">
        <f>IF(MouserListTable1215[[#This Row],[Qty.]]&gt;0,IF($A227="List #",1,$A227+1),IF($A227="List #",0,$A227))</f>
        <v>53</v>
      </c>
      <c r="B228" s="106" t="str">
        <f>MouserListTable12[[#This Row],[SKU]]</f>
        <v>474-SEN-13762</v>
      </c>
      <c r="C228" s="121">
        <f>MouserListTable12[[#This Row],['# Initial]]</f>
        <v>0</v>
      </c>
      <c r="D228" s="103" t="s">
        <v>920</v>
      </c>
      <c r="E228" s="157">
        <v>24.95</v>
      </c>
      <c r="F228" s="157">
        <f>MouserListTable12[[#This Row],[Total Price]]</f>
        <v>0</v>
      </c>
    </row>
    <row r="229" spans="1:6" s="151" customFormat="1" hidden="1" x14ac:dyDescent="0.3">
      <c r="A229" s="103">
        <f>IF(MouserListTable1215[[#This Row],[Qty.]]&gt;0,IF($A228="List #",1,$A228+1),IF($A228="List #",0,$A228))</f>
        <v>53</v>
      </c>
      <c r="B229" s="106" t="str">
        <f>MouserListTable12[[#This Row],[SKU]]</f>
        <v>474-LCD-12725</v>
      </c>
      <c r="C229" s="121">
        <f>MouserListTable12[[#This Row],['# Initial]]</f>
        <v>0</v>
      </c>
      <c r="D229" s="103" t="s">
        <v>924</v>
      </c>
      <c r="E229" s="157">
        <v>14.95</v>
      </c>
      <c r="F229" s="157">
        <f>MouserListTable12[[#This Row],[Total Price]]</f>
        <v>0</v>
      </c>
    </row>
    <row r="230" spans="1:6" s="151" customFormat="1" hidden="1" x14ac:dyDescent="0.3">
      <c r="A230" s="103">
        <f>IF(MouserListTable1215[[#This Row],[Qty.]]&gt;0,IF($A229="List #",1,$A229+1),IF($A229="List #",0,$A229))</f>
        <v>53</v>
      </c>
      <c r="B230" s="106" t="str">
        <f>MouserListTable12[[#This Row],[SKU]]</f>
        <v>474-LCD-11741</v>
      </c>
      <c r="C230" s="121">
        <f>MouserListTable12[[#This Row],['# Initial]]</f>
        <v>0</v>
      </c>
      <c r="D230" s="103" t="s">
        <v>988</v>
      </c>
      <c r="E230" s="157">
        <v>179.95</v>
      </c>
      <c r="F230" s="157">
        <f>MouserListTable12[[#This Row],[Total Price]]</f>
        <v>0</v>
      </c>
    </row>
    <row r="231" spans="1:6" s="144" customFormat="1" hidden="1" x14ac:dyDescent="0.3">
      <c r="A231" s="103">
        <f>IF(MouserListTable1215[[#This Row],[Qty.]]&gt;0,IF($A230="List #",1,$A230+1),IF($A230="List #",0,$A230))</f>
        <v>53</v>
      </c>
      <c r="B231" s="106" t="str">
        <f>MouserListTable12[[#This Row],[SKU]]</f>
        <v>474-LCD-11677</v>
      </c>
      <c r="C231" s="121">
        <f>MouserListTable12[[#This Row],['# Initial]]</f>
        <v>0</v>
      </c>
      <c r="D231" s="103" t="s">
        <v>1786</v>
      </c>
      <c r="E231" s="157">
        <v>84.95</v>
      </c>
      <c r="F231" s="157">
        <f>MouserListTable12[[#This Row],[Total Price]]</f>
        <v>0</v>
      </c>
    </row>
    <row r="232" spans="1:6" s="144" customFormat="1" hidden="1" x14ac:dyDescent="0.3">
      <c r="A232" s="103">
        <f>IF(MouserListTable1215[[#This Row],[Qty.]]&gt;0,IF($A231="List #",1,$A231+1),IF($A231="List #",0,$A231))</f>
        <v>53</v>
      </c>
      <c r="B232" s="106" t="str">
        <f>MouserListTable12[[#This Row],[SKU]]</f>
        <v>485-2090</v>
      </c>
      <c r="C232" s="121">
        <f>MouserListTable12[[#This Row],['# Initial]]</f>
        <v>0</v>
      </c>
      <c r="D232" s="103" t="s">
        <v>1750</v>
      </c>
      <c r="E232" s="157">
        <v>84.95</v>
      </c>
      <c r="F232" s="157">
        <f>MouserListTable12[[#This Row],[Total Price]]</f>
        <v>0</v>
      </c>
    </row>
    <row r="233" spans="1:6" s="144" customFormat="1" hidden="1" x14ac:dyDescent="0.3">
      <c r="A233" s="103">
        <f>IF(MouserListTable1215[[#This Row],[Qty.]]&gt;0,IF($A232="List #",1,$A232+1),IF($A232="List #",0,$A232))</f>
        <v>53</v>
      </c>
      <c r="B233" s="106" t="str">
        <f>MouserListTable12[[#This Row],[SKU]]</f>
        <v>485-1947</v>
      </c>
      <c r="C233" s="121">
        <f>MouserListTable12[[#This Row],['# Initial]]</f>
        <v>0</v>
      </c>
      <c r="D233" s="103" t="s">
        <v>2097</v>
      </c>
      <c r="E233" s="157">
        <v>39.950000000000003</v>
      </c>
      <c r="F233" s="157">
        <f>MouserListTable12[[#This Row],[Total Price]]</f>
        <v>0</v>
      </c>
    </row>
    <row r="234" spans="1:6" s="144" customFormat="1" hidden="1" x14ac:dyDescent="0.3">
      <c r="A234" s="103">
        <f>IF(MouserListTable1215[[#This Row],[Qty.]]&gt;0,IF($A233="List #",1,$A233+1),IF($A233="List #",0,$A233))</f>
        <v>53</v>
      </c>
      <c r="B234" s="106" t="str">
        <f>MouserListTable12[[#This Row],[SKU]]</f>
        <v>474-DEV-11814</v>
      </c>
      <c r="C234" s="121">
        <f>MouserListTable12[[#This Row],['# Initial]]</f>
        <v>0</v>
      </c>
      <c r="D234" s="126" t="s">
        <v>2099</v>
      </c>
      <c r="E234" s="158">
        <v>44.95</v>
      </c>
      <c r="F234" s="157">
        <f>MouserListTable12[[#This Row],[Total Price]]</f>
        <v>0</v>
      </c>
    </row>
    <row r="235" spans="1:6" s="146" customFormat="1" hidden="1" x14ac:dyDescent="0.3">
      <c r="A235" s="103">
        <f>IF(MouserListTable1215[[#This Row],[Qty.]]&gt;0,IF($A234="List #",1,$A234+1),IF($A234="List #",0,$A234))</f>
        <v>53</v>
      </c>
      <c r="B235" s="106" t="str">
        <f>MouserListTable12[[#This Row],[SKU]]</f>
        <v>474-DEV-14022</v>
      </c>
      <c r="C235" s="121">
        <f>MouserListTable12[[#This Row],['# Initial]]</f>
        <v>0</v>
      </c>
      <c r="D235" s="103" t="s">
        <v>1746</v>
      </c>
      <c r="E235" s="157">
        <v>24.95</v>
      </c>
      <c r="F235" s="157">
        <f>MouserListTable12[[#This Row],[Total Price]]</f>
        <v>0</v>
      </c>
    </row>
    <row r="236" spans="1:6" s="146" customFormat="1" hidden="1" x14ac:dyDescent="0.3">
      <c r="A236" s="103">
        <f>IF(MouserListTable1215[[#This Row],[Qty.]]&gt;0,IF($A235="List #",1,$A235+1),IF($A235="List #",0,$A235))</f>
        <v>53</v>
      </c>
      <c r="B236" s="106" t="str">
        <f>MouserListTable12[[#This Row],[SKU]]</f>
        <v>474-COM-13316</v>
      </c>
      <c r="C236" s="121">
        <f>MouserListTable12[[#This Row],['# Initial]]</f>
        <v>0</v>
      </c>
      <c r="D236" s="103" t="s">
        <v>984</v>
      </c>
      <c r="E236" s="157">
        <v>209.95</v>
      </c>
      <c r="F236" s="157">
        <f>MouserListTable12[[#This Row],[Total Price]]</f>
        <v>0</v>
      </c>
    </row>
    <row r="237" spans="1:6" s="146" customFormat="1" hidden="1" x14ac:dyDescent="0.3">
      <c r="A237" s="103">
        <f>IF(MouserListTable1215[[#This Row],[Qty.]]&gt;0,IF($A236="List #",1,$A236+1),IF($A236="List #",0,$A236))</f>
        <v>53</v>
      </c>
      <c r="B237" s="106" t="str">
        <f>MouserListTable12[[#This Row],[SKU]]</f>
        <v>485-1407</v>
      </c>
      <c r="C237" s="121">
        <f>MouserListTable12[[#This Row],['# Initial]]</f>
        <v>0</v>
      </c>
      <c r="D237" s="103" t="s">
        <v>980</v>
      </c>
      <c r="E237" s="157">
        <v>49.95</v>
      </c>
      <c r="F237" s="157">
        <f>MouserListTable12[[#This Row],[Total Price]]</f>
        <v>0</v>
      </c>
    </row>
    <row r="238" spans="1:6" s="146" customFormat="1" hidden="1" x14ac:dyDescent="0.3">
      <c r="A238" s="103">
        <f>IF(MouserListTable1215[[#This Row],[Qty.]]&gt;0,IF($A237="List #",1,$A237+1),IF($A237="List #",0,$A237))</f>
        <v>53</v>
      </c>
      <c r="B238" s="106" t="str">
        <f>MouserListTable12[[#This Row],[SKU]]</f>
        <v>485-2116</v>
      </c>
      <c r="C238" s="121">
        <f>MouserListTable12[[#This Row],['# Initial]]</f>
        <v>0</v>
      </c>
      <c r="D238" s="126" t="s">
        <v>2349</v>
      </c>
      <c r="E238" s="158">
        <v>9.9499999999999993</v>
      </c>
      <c r="F238" s="157">
        <f>MouserListTable12[[#This Row],[Total Price]]</f>
        <v>0</v>
      </c>
    </row>
    <row r="239" spans="1:6" s="146" customFormat="1" hidden="1" x14ac:dyDescent="0.3">
      <c r="A239" s="103">
        <f>IF(MouserListTable1215[[#This Row],[Qty.]]&gt;0,IF($A238="List #",1,$A238+1),IF($A238="List #",0,$A238))</f>
        <v>53</v>
      </c>
      <c r="B239" s="106" t="str">
        <f>MouserListTable12[[#This Row],[SKU]]</f>
        <v>485-2162</v>
      </c>
      <c r="C239" s="121">
        <f>MouserListTable12[[#This Row],['# Initial]]</f>
        <v>0</v>
      </c>
      <c r="D239" s="126" t="s">
        <v>2351</v>
      </c>
      <c r="E239" s="158">
        <v>24.95</v>
      </c>
      <c r="F239" s="157">
        <f>MouserListTable12[[#This Row],[Total Price]]</f>
        <v>0</v>
      </c>
    </row>
    <row r="240" spans="1:6" s="146" customFormat="1" hidden="1" x14ac:dyDescent="0.3">
      <c r="A240" s="103">
        <f>IF(MouserListTable1215[[#This Row],[Qty.]]&gt;0,IF($A239="List #",1,$A239+1),IF($A239="List #",0,$A239))</f>
        <v>53</v>
      </c>
      <c r="B240" s="106" t="str">
        <f>MouserListTable12[[#This Row],[SKU]]</f>
        <v>485-1901</v>
      </c>
      <c r="C240" s="121">
        <f>MouserListTable12[[#This Row],['# Initial]]</f>
        <v>0</v>
      </c>
      <c r="D240" s="126" t="s">
        <v>2353</v>
      </c>
      <c r="E240" s="158">
        <v>26.95</v>
      </c>
      <c r="F240" s="157">
        <f>MouserListTable12[[#This Row],[Total Price]]</f>
        <v>0</v>
      </c>
    </row>
    <row r="241" spans="1:6" s="146" customFormat="1" hidden="1" x14ac:dyDescent="0.3">
      <c r="A241" s="103">
        <f>IF(MouserListTable1215[[#This Row],[Qty.]]&gt;0,IF($A240="List #",1,$A240+1),IF($A240="List #",0,$A240))</f>
        <v>53</v>
      </c>
      <c r="B241" s="106" t="str">
        <f>MouserListTable12[[#This Row],[SKU]]</f>
        <v>474-DEV-14135</v>
      </c>
      <c r="C241" s="121">
        <f>MouserListTable12[[#This Row],['# Initial]]</f>
        <v>0</v>
      </c>
      <c r="D241" s="126" t="s">
        <v>2355</v>
      </c>
      <c r="E241" s="158">
        <v>14.95</v>
      </c>
      <c r="F241" s="157">
        <f>MouserListTable12[[#This Row],[Total Price]]</f>
        <v>0</v>
      </c>
    </row>
    <row r="242" spans="1:6" s="146" customFormat="1" hidden="1" x14ac:dyDescent="0.3">
      <c r="A242" s="103">
        <f>IF(MouserListTable1215[[#This Row],[Qty.]]&gt;0,IF($A241="List #",1,$A241+1),IF($A241="List #",0,$A241))</f>
        <v>53</v>
      </c>
      <c r="B242" s="106" t="str">
        <f>MouserListTable12[[#This Row],[SKU]]</f>
        <v>474-DEV-14162</v>
      </c>
      <c r="C242" s="121">
        <f>MouserListTable12[[#This Row],['# Initial]]</f>
        <v>0</v>
      </c>
      <c r="D242" s="103" t="s">
        <v>362</v>
      </c>
      <c r="E242" s="157">
        <v>94.95</v>
      </c>
      <c r="F242" s="157">
        <f>MouserListTable12[[#This Row],[Total Price]]</f>
        <v>0</v>
      </c>
    </row>
    <row r="243" spans="1:6" s="146" customFormat="1" hidden="1" x14ac:dyDescent="0.3">
      <c r="A243" s="103">
        <f>IF(MouserListTable1215[[#This Row],[Qty.]]&gt;0,IF($A242="List #",1,$A242+1),IF($A242="List #",0,$A242))</f>
        <v>53</v>
      </c>
      <c r="B243" s="106" t="str">
        <f>MouserListTable12[[#This Row],[SKU]]</f>
        <v>474-DEV-12774</v>
      </c>
      <c r="C243" s="121">
        <f>MouserListTable12[[#This Row],['# Initial]]</f>
        <v>0</v>
      </c>
      <c r="D243" s="103" t="s">
        <v>1333</v>
      </c>
      <c r="E243" s="157">
        <v>69.95</v>
      </c>
      <c r="F243" s="157">
        <f>MouserListTable12[[#This Row],[Total Price]]</f>
        <v>0</v>
      </c>
    </row>
    <row r="244" spans="1:6" s="146" customFormat="1" hidden="1" x14ac:dyDescent="0.3">
      <c r="A244" s="103">
        <f>IF(MouserListTable1215[[#This Row],[Qty.]]&gt;0,IF($A243="List #",1,$A243+1),IF($A243="List #",0,$A243))</f>
        <v>53</v>
      </c>
      <c r="B244" s="106" t="str">
        <f>MouserListTable12[[#This Row],[SKU]]</f>
        <v>474-DEV-12086</v>
      </c>
      <c r="C244" s="121">
        <f>MouserListTable12[[#This Row],['# Initial]]</f>
        <v>0</v>
      </c>
      <c r="D244" s="103" t="s">
        <v>1321</v>
      </c>
      <c r="E244" s="157">
        <v>9.9499999999999993</v>
      </c>
      <c r="F244" s="157">
        <f>MouserListTable12[[#This Row],[Total Price]]</f>
        <v>0</v>
      </c>
    </row>
    <row r="245" spans="1:6" s="146" customFormat="1" hidden="1" x14ac:dyDescent="0.3">
      <c r="A245" s="103">
        <f>IF(MouserListTable1215[[#This Row],[Qty.]]&gt;0,IF($A244="List #",1,$A244+1),IF($A244="List #",0,$A244))</f>
        <v>53</v>
      </c>
      <c r="B245" s="106" t="str">
        <f>MouserListTable12[[#This Row],[SKU]]</f>
        <v>474-DEV-12085</v>
      </c>
      <c r="C245" s="121">
        <f>MouserListTable12[[#This Row],['# Initial]]</f>
        <v>0</v>
      </c>
      <c r="D245" s="103" t="s">
        <v>1325</v>
      </c>
      <c r="E245" s="157">
        <v>99.95</v>
      </c>
      <c r="F245" s="157">
        <f>MouserListTable12[[#This Row],[Total Price]]</f>
        <v>0</v>
      </c>
    </row>
    <row r="246" spans="1:6" s="146" customFormat="1" hidden="1" x14ac:dyDescent="0.3">
      <c r="A246" s="103">
        <f>IF(MouserListTable1215[[#This Row],[Qty.]]&gt;0,IF($A245="List #",1,$A245+1),IF($A245="List #",0,$A245))</f>
        <v>53</v>
      </c>
      <c r="B246" s="106" t="str">
        <f>MouserListTable12[[#This Row],[SKU]]</f>
        <v>474-PRT-12842</v>
      </c>
      <c r="C246" s="121">
        <f>MouserListTable12[[#This Row],['# Initial]]</f>
        <v>0</v>
      </c>
      <c r="D246" s="103" t="s">
        <v>1329</v>
      </c>
      <c r="E246" s="157">
        <v>65.95</v>
      </c>
      <c r="F246" s="157">
        <f>MouserListTable12[[#This Row],[Total Price]]</f>
        <v>0</v>
      </c>
    </row>
    <row r="247" spans="1:6" s="146" customFormat="1" hidden="1" x14ac:dyDescent="0.3">
      <c r="A247" s="103">
        <f>IF(MouserListTable1215[[#This Row],[Qty.]]&gt;0,IF($A246="List #",1,$A246+1),IF($A246="List #",0,$A246))</f>
        <v>53</v>
      </c>
      <c r="B247" s="106" t="str">
        <f>MouserListTable12[[#This Row],[SKU]]</f>
        <v>485-3396</v>
      </c>
      <c r="C247" s="121">
        <f>MouserListTable12[[#This Row],['# Initial]]</f>
        <v>0</v>
      </c>
      <c r="D247" s="103" t="s">
        <v>1317</v>
      </c>
      <c r="E247" s="157">
        <v>7.95</v>
      </c>
      <c r="F247" s="157">
        <f>MouserListTable12[[#This Row],[Total Price]]</f>
        <v>0</v>
      </c>
    </row>
    <row r="248" spans="1:6" s="146" customFormat="1" hidden="1" x14ac:dyDescent="0.3">
      <c r="A248" s="103">
        <f>IF(MouserListTable1215[[#This Row],[Qty.]]&gt;0,IF($A247="List #",1,$A247+1),IF($A247="List #",0,$A247))</f>
        <v>53</v>
      </c>
      <c r="B248" s="106" t="str">
        <f>MouserListTable12[[#This Row],[SKU]]</f>
        <v>485-1555</v>
      </c>
      <c r="C248" s="121">
        <f>MouserListTable12[[#This Row],['# Initial]]</f>
        <v>0</v>
      </c>
      <c r="D248" s="103" t="s">
        <v>2377</v>
      </c>
      <c r="E248" s="157">
        <v>49.95</v>
      </c>
      <c r="F248" s="157">
        <f>MouserListTable12[[#This Row],[Total Price]]</f>
        <v>0</v>
      </c>
    </row>
    <row r="249" spans="1:6" s="146" customFormat="1" hidden="1" x14ac:dyDescent="0.3">
      <c r="A249" s="103">
        <f>IF(MouserListTable1215[[#This Row],[Qty.]]&gt;0,IF($A248="List #",1,$A248+1),IF($A248="List #",0,$A248))</f>
        <v>53</v>
      </c>
      <c r="B249" s="106" t="str">
        <f>MouserListTable12[[#This Row],[SKU]]</f>
        <v>485-699</v>
      </c>
      <c r="C249" s="121">
        <f>MouserListTable12[[#This Row],['# Initial]]</f>
        <v>0</v>
      </c>
      <c r="D249" s="126" t="s">
        <v>2379</v>
      </c>
      <c r="E249" s="158">
        <v>9.9499999999999993</v>
      </c>
      <c r="F249" s="157">
        <f>MouserListTable12[[#This Row],[Total Price]]</f>
        <v>0</v>
      </c>
    </row>
    <row r="250" spans="1:6" s="146" customFormat="1" hidden="1" x14ac:dyDescent="0.3">
      <c r="A250" s="103">
        <f>IF(MouserListTable1215[[#This Row],[Qty.]]&gt;0,IF($A249="List #",1,$A249+1),IF($A249="List #",0,$A249))</f>
        <v>53</v>
      </c>
      <c r="B250" s="106" t="str">
        <f>MouserListTable12[[#This Row],[SKU]]</f>
        <v>485-572</v>
      </c>
      <c r="C250" s="121">
        <f>MouserListTable12[[#This Row],['# Initial]]</f>
        <v>0</v>
      </c>
      <c r="D250" s="126" t="s">
        <v>2381</v>
      </c>
      <c r="E250" s="158">
        <v>19.95</v>
      </c>
      <c r="F250" s="157">
        <f>MouserListTable12[[#This Row],[Total Price]]</f>
        <v>0</v>
      </c>
    </row>
    <row r="251" spans="1:6" s="146" customFormat="1" hidden="1" x14ac:dyDescent="0.3">
      <c r="A251" s="103">
        <f>IF(MouserListTable1215[[#This Row],[Qty.]]&gt;0,IF($A250="List #",1,$A250+1),IF($A250="List #",0,$A250))</f>
        <v>53</v>
      </c>
      <c r="B251" s="106" t="str">
        <f>MouserListTable12[[#This Row],[SKU]]</f>
        <v>485-702</v>
      </c>
      <c r="C251" s="121">
        <f>MouserListTable12[[#This Row],['# Initial]]</f>
        <v>0</v>
      </c>
      <c r="D251" s="103" t="s">
        <v>2383</v>
      </c>
      <c r="E251" s="157">
        <v>9.9499999999999993</v>
      </c>
      <c r="F251" s="157">
        <f>MouserListTable12[[#This Row],[Total Price]]</f>
        <v>0</v>
      </c>
    </row>
    <row r="252" spans="1:6" s="146" customFormat="1" hidden="1" x14ac:dyDescent="0.3">
      <c r="A252" s="103">
        <f>IF(MouserListTable1215[[#This Row],[Qty.]]&gt;0,IF($A251="List #",1,$A251+1),IF($A251="List #",0,$A251))</f>
        <v>53</v>
      </c>
      <c r="B252" s="106" t="str">
        <f>MouserListTable12[[#This Row],[SKU]]</f>
        <v>485-2627</v>
      </c>
      <c r="C252" s="121">
        <f>MouserListTable12[[#This Row],['# Initial]]</f>
        <v>0</v>
      </c>
      <c r="D252" s="126" t="s">
        <v>2385</v>
      </c>
      <c r="E252" s="158">
        <v>7.95</v>
      </c>
      <c r="F252" s="157">
        <f>MouserListTable12[[#This Row],[Total Price]]</f>
        <v>0</v>
      </c>
    </row>
    <row r="253" spans="1:6" s="146" customFormat="1" hidden="1" x14ac:dyDescent="0.3">
      <c r="A253" s="103">
        <f>IF(MouserListTable1215[[#This Row],[Qty.]]&gt;0,IF($A252="List #",1,$A252+1),IF($A252="List #",0,$A252))</f>
        <v>53</v>
      </c>
      <c r="B253" s="106" t="str">
        <f>MouserListTable12[[#This Row],[SKU]]</f>
        <v>485-2628</v>
      </c>
      <c r="C253" s="121">
        <f>MouserListTable12[[#This Row],['# Initial]]</f>
        <v>0</v>
      </c>
      <c r="D253" s="103" t="s">
        <v>2387</v>
      </c>
      <c r="E253" s="157">
        <v>39.950000000000003</v>
      </c>
      <c r="F253" s="157">
        <f>MouserListTable12[[#This Row],[Total Price]]</f>
        <v>0</v>
      </c>
    </row>
    <row r="254" spans="1:6" s="146" customFormat="1" hidden="1" x14ac:dyDescent="0.3">
      <c r="A254" s="103">
        <f>IF(MouserListTable1215[[#This Row],[Qty.]]&gt;0,IF($A253="List #",1,$A253+1),IF($A253="List #",0,$A253))</f>
        <v>53</v>
      </c>
      <c r="B254" s="106" t="str">
        <f>MouserListTable12[[#This Row],[SKU]]</f>
        <v>485-1810</v>
      </c>
      <c r="C254" s="121">
        <f>MouserListTable12[[#This Row],['# Initial]]</f>
        <v>0</v>
      </c>
      <c r="D254" s="126" t="s">
        <v>2389</v>
      </c>
      <c r="E254" s="158">
        <v>39.950000000000003</v>
      </c>
      <c r="F254" s="157">
        <f>MouserListTable12[[#This Row],[Total Price]]</f>
        <v>0</v>
      </c>
    </row>
    <row r="255" spans="1:6" s="146" customFormat="1" hidden="1" x14ac:dyDescent="0.3">
      <c r="A255" s="103">
        <f>IF(MouserListTable1215[[#This Row],[Qty.]]&gt;0,IF($A254="List #",1,$A254+1),IF($A254="List #",0,$A254))</f>
        <v>53</v>
      </c>
      <c r="B255" s="106" t="str">
        <f>MouserListTable12[[#This Row],[SKU]]</f>
        <v>474-DEV-09564</v>
      </c>
      <c r="C255" s="121">
        <f>MouserListTable12[[#This Row],['# Initial]]</f>
        <v>0</v>
      </c>
      <c r="D255" s="126" t="s">
        <v>2391</v>
      </c>
      <c r="E255" s="158">
        <v>49.95</v>
      </c>
      <c r="F255" s="157">
        <f>MouserListTable12[[#This Row],[Total Price]]</f>
        <v>0</v>
      </c>
    </row>
    <row r="256" spans="1:6" s="146" customFormat="1" hidden="1" x14ac:dyDescent="0.3">
      <c r="A256" s="103">
        <f>IF(MouserListTable1215[[#This Row],[Qty.]]&gt;0,IF($A255="List #",1,$A255+1),IF($A255="List #",0,$A255))</f>
        <v>53</v>
      </c>
      <c r="B256" s="106" t="str">
        <f>MouserListTable12[[#This Row],[SKU]]</f>
        <v>474-DEV-11695</v>
      </c>
      <c r="C256" s="121">
        <f>MouserListTable12[[#This Row],['# Initial]]</f>
        <v>0</v>
      </c>
      <c r="D256" s="103" t="s">
        <v>343</v>
      </c>
      <c r="E256" s="157">
        <v>54.95</v>
      </c>
      <c r="F256" s="157">
        <f>MouserListTable12[[#This Row],[Total Price]]</f>
        <v>0</v>
      </c>
    </row>
    <row r="257" spans="1:6" s="146" customFormat="1" hidden="1" x14ac:dyDescent="0.3">
      <c r="A257" s="103">
        <f>IF(MouserListTable1215[[#This Row],[Qty.]]&gt;0,IF($A256="List #",1,$A256+1),IF($A256="List #",0,$A256))</f>
        <v>53</v>
      </c>
      <c r="B257" s="106" t="str">
        <f>MouserListTable12[[#This Row],[SKU]]</f>
        <v>474-DEV-13097</v>
      </c>
      <c r="C257" s="121">
        <f>MouserListTable12[[#This Row],['# Initial]]</f>
        <v>0</v>
      </c>
      <c r="D257" s="103" t="s">
        <v>339</v>
      </c>
      <c r="E257" s="157">
        <v>59.95</v>
      </c>
      <c r="F257" s="157">
        <f>MouserListTable12[[#This Row],[Total Price]]</f>
        <v>0</v>
      </c>
    </row>
    <row r="258" spans="1:6" s="146" customFormat="1" hidden="1" x14ac:dyDescent="0.3">
      <c r="A258" s="103">
        <f>IF(MouserListTable1215[[#This Row],[Qty.]]&gt;0,IF($A257="List #",1,$A257+1),IF($A257="List #",0,$A257))</f>
        <v>53</v>
      </c>
      <c r="B258" s="106" t="str">
        <f>MouserListTable12[[#This Row],[SKU]]</f>
        <v>474-DEV-13045</v>
      </c>
      <c r="C258" s="121">
        <f>MouserListTable12[[#This Row],['# Initial]]</f>
        <v>0</v>
      </c>
      <c r="D258" s="103" t="s">
        <v>303</v>
      </c>
      <c r="E258" s="157">
        <v>99.95</v>
      </c>
      <c r="F258" s="157">
        <f>MouserListTable12[[#This Row],[Total Price]]</f>
        <v>0</v>
      </c>
    </row>
    <row r="259" spans="1:6" s="146" customFormat="1" hidden="1" x14ac:dyDescent="0.3">
      <c r="A259" s="103">
        <f>IF(MouserListTable1215[[#This Row],[Qty.]]&gt;0,IF($A258="List #",1,$A258+1),IF($A258="List #",0,$A258))</f>
        <v>53</v>
      </c>
      <c r="B259" s="106" t="str">
        <f>MouserListTable12[[#This Row],[SKU]]</f>
        <v>474-DEV-13038</v>
      </c>
      <c r="C259" s="121">
        <f>MouserListTable12[[#This Row],['# Initial]]</f>
        <v>0</v>
      </c>
      <c r="D259" s="103" t="s">
        <v>323</v>
      </c>
      <c r="E259" s="157">
        <v>19.95</v>
      </c>
      <c r="F259" s="157">
        <f>MouserListTable12[[#This Row],[Total Price]]</f>
        <v>0</v>
      </c>
    </row>
    <row r="260" spans="1:6" s="146" customFormat="1" hidden="1" x14ac:dyDescent="0.3">
      <c r="A260" s="103">
        <f>IF(MouserListTable1215[[#This Row],[Qty.]]&gt;0,IF($A259="List #",1,$A259+1),IF($A259="List #",0,$A259))</f>
        <v>53</v>
      </c>
      <c r="B260" s="106" t="str">
        <f>MouserListTable12[[#This Row],[SKU]]</f>
        <v>474-DEV-13034</v>
      </c>
      <c r="C260" s="121">
        <f>MouserListTable12[[#This Row],['# Initial]]</f>
        <v>0</v>
      </c>
      <c r="D260" s="103" t="s">
        <v>311</v>
      </c>
      <c r="E260" s="157">
        <v>9.9499999999999993</v>
      </c>
      <c r="F260" s="157">
        <f>MouserListTable12[[#This Row],[Total Price]]</f>
        <v>0</v>
      </c>
    </row>
    <row r="261" spans="1:6" s="146" customFormat="1" hidden="1" x14ac:dyDescent="0.3">
      <c r="A261" s="103">
        <f>IF(MouserListTable1215[[#This Row],[Qty.]]&gt;0,IF($A260="List #",1,$A260+1),IF($A260="List #",0,$A260))</f>
        <v>53</v>
      </c>
      <c r="B261" s="106" t="str">
        <f>MouserListTable12[[#This Row],[SKU]]</f>
        <v>474-DEV-13041</v>
      </c>
      <c r="C261" s="121">
        <f>MouserListTable12[[#This Row],['# Initial]]</f>
        <v>0</v>
      </c>
      <c r="D261" s="103" t="s">
        <v>315</v>
      </c>
      <c r="E261" s="157">
        <v>9.9499999999999993</v>
      </c>
      <c r="F261" s="157">
        <f>MouserListTable12[[#This Row],[Total Price]]</f>
        <v>0</v>
      </c>
    </row>
    <row r="262" spans="1:6" s="151" customFormat="1" hidden="1" x14ac:dyDescent="0.3">
      <c r="A262" s="103">
        <f>IF(MouserListTable1215[[#This Row],[Qty.]]&gt;0,IF($A261="List #",1,$A261+1),IF($A261="List #",0,$A261))</f>
        <v>53</v>
      </c>
      <c r="B262" s="106" t="str">
        <f>MouserListTable12[[#This Row],[SKU]]</f>
        <v>474-DEV-13727</v>
      </c>
      <c r="C262" s="121">
        <f>MouserListTable12[[#This Row],['# Initial]]</f>
        <v>0</v>
      </c>
      <c r="D262" s="103" t="s">
        <v>319</v>
      </c>
      <c r="E262" s="157">
        <v>9.9499999999999993</v>
      </c>
      <c r="F262" s="157">
        <f>MouserListTable12[[#This Row],[Total Price]]</f>
        <v>0</v>
      </c>
    </row>
    <row r="263" spans="1:6" s="151" customFormat="1" hidden="1" x14ac:dyDescent="0.3">
      <c r="A263" s="103">
        <f>IF(MouserListTable1215[[#This Row],[Qty.]]&gt;0,IF($A262="List #",1,$A262+1),IF($A262="List #",0,$A262))</f>
        <v>53</v>
      </c>
      <c r="B263" s="106" t="str">
        <f>MouserListTable12[[#This Row],[SKU]]</f>
        <v>474-DEV-13035</v>
      </c>
      <c r="C263" s="121">
        <f>MouserListTable12[[#This Row],['# Initial]]</f>
        <v>0</v>
      </c>
      <c r="D263" s="103" t="s">
        <v>307</v>
      </c>
      <c r="E263" s="157">
        <v>9.9499999999999993</v>
      </c>
      <c r="F263" s="157">
        <f>MouserListTable12[[#This Row],[Total Price]]</f>
        <v>0</v>
      </c>
    </row>
    <row r="264" spans="1:6" s="151" customFormat="1" hidden="1" x14ac:dyDescent="0.3">
      <c r="A264" s="103">
        <f>IF(MouserListTable1215[[#This Row],[Qty.]]&gt;0,IF($A263="List #",1,$A263+1),IF($A263="List #",0,$A263))</f>
        <v>53</v>
      </c>
      <c r="B264" s="106" t="str">
        <f>MouserListTable12[[#This Row],[SKU]]</f>
        <v>474-DEV-13770</v>
      </c>
      <c r="C264" s="121">
        <f>MouserListTable12[[#This Row],['# Initial]]</f>
        <v>0</v>
      </c>
      <c r="D264" s="103" t="s">
        <v>1131</v>
      </c>
      <c r="E264" s="157">
        <v>14.95</v>
      </c>
      <c r="F264" s="157">
        <f>MouserListTable12[[#This Row],[Total Price]]</f>
        <v>0</v>
      </c>
    </row>
    <row r="265" spans="1:6" s="151" customFormat="1" hidden="1" x14ac:dyDescent="0.3">
      <c r="A265" s="103">
        <f>IF(MouserListTable1215[[#This Row],[Qty.]]&gt;0,IF($A264="List #",1,$A264+1),IF($A264="List #",0,$A264))</f>
        <v>53</v>
      </c>
      <c r="B265" s="106" t="str">
        <f>MouserListTable12[[#This Row],[SKU]]</f>
        <v>474-COM-13187</v>
      </c>
      <c r="C265" s="121">
        <f>MouserListTable12[[#This Row],['# Initial]]</f>
        <v>0</v>
      </c>
      <c r="D265" s="103" t="s">
        <v>1151</v>
      </c>
      <c r="E265" s="157">
        <v>9.9499999999999993</v>
      </c>
      <c r="F265" s="157">
        <f>MouserListTable12[[#This Row],[Total Price]]</f>
        <v>0</v>
      </c>
    </row>
    <row r="266" spans="1:6" s="151" customFormat="1" hidden="1" x14ac:dyDescent="0.3">
      <c r="A266" s="103">
        <f>IF(MouserListTable1215[[#This Row],[Qty.]]&gt;0,IF($A265="List #",1,$A265+1),IF($A265="List #",0,$A265))</f>
        <v>53</v>
      </c>
      <c r="B266" s="106" t="str">
        <f>MouserListTable12[[#This Row],[SKU]]</f>
        <v>474-DEV-14438</v>
      </c>
      <c r="C266" s="121">
        <f>MouserListTable12[[#This Row],['# Initial]]</f>
        <v>0</v>
      </c>
      <c r="D266" s="103" t="s">
        <v>802</v>
      </c>
      <c r="E266" s="157">
        <v>2.95</v>
      </c>
      <c r="F266" s="157">
        <f>MouserListTable12[[#This Row],[Total Price]]</f>
        <v>0</v>
      </c>
    </row>
    <row r="267" spans="1:6" s="151" customFormat="1" hidden="1" x14ac:dyDescent="0.3">
      <c r="A267" s="103">
        <f>IF(MouserListTable1215[[#This Row],[Qty.]]&gt;0,IF($A266="List #",1,$A266+1),IF($A266="List #",0,$A266))</f>
        <v>53</v>
      </c>
      <c r="B267" s="106" t="str">
        <f>MouserListTable12[[#This Row],[SKU]]</f>
        <v>474-DEV-14431</v>
      </c>
      <c r="C267" s="121">
        <f>MouserListTable12[[#This Row],['# Initial]]</f>
        <v>0</v>
      </c>
      <c r="D267" s="103" t="s">
        <v>1175</v>
      </c>
      <c r="E267" s="157">
        <v>20</v>
      </c>
      <c r="F267" s="157">
        <f>MouserListTable12[[#This Row],[Total Price]]</f>
        <v>0</v>
      </c>
    </row>
    <row r="268" spans="1:6" s="151" customFormat="1" hidden="1" x14ac:dyDescent="0.3">
      <c r="A268" s="103">
        <f>IF(MouserListTable1215[[#This Row],[Qty.]]&gt;0,IF($A267="List #",1,$A267+1),IF($A267="List #",0,$A267))</f>
        <v>53</v>
      </c>
      <c r="B268" s="106" t="str">
        <f>MouserListTable12[[#This Row],[SKU]]</f>
        <v>474-DEV-14443</v>
      </c>
      <c r="C268" s="121">
        <f>MouserListTable12[[#This Row],['# Initial]]</f>
        <v>0</v>
      </c>
      <c r="D268" s="103" t="s">
        <v>1155</v>
      </c>
      <c r="E268" s="157">
        <v>9</v>
      </c>
      <c r="F268" s="157">
        <f>MouserListTable12[[#This Row],[Total Price]]</f>
        <v>0</v>
      </c>
    </row>
    <row r="269" spans="1:6" s="151" customFormat="1" hidden="1" x14ac:dyDescent="0.3">
      <c r="A269" s="103">
        <f>IF(MouserListTable1215[[#This Row],[Qty.]]&gt;0,IF($A268="List #",1,$A268+1),IF($A268="List #",0,$A268))</f>
        <v>53</v>
      </c>
      <c r="B269" s="106" t="str">
        <f>MouserListTable12[[#This Row],[SKU]]</f>
        <v>474-DEV-14442</v>
      </c>
      <c r="C269" s="121">
        <f>MouserListTable12[[#This Row],['# Initial]]</f>
        <v>0</v>
      </c>
      <c r="D269" s="103" t="s">
        <v>1159</v>
      </c>
      <c r="E269" s="157">
        <v>5</v>
      </c>
      <c r="F269" s="157">
        <f>MouserListTable12[[#This Row],[Total Price]]</f>
        <v>0</v>
      </c>
    </row>
    <row r="270" spans="1:6" s="151" customFormat="1" hidden="1" x14ac:dyDescent="0.3">
      <c r="A270" s="103">
        <f>IF(MouserListTable1215[[#This Row],[Qty.]]&gt;0,IF($A269="List #",1,$A269+1),IF($A269="List #",0,$A269))</f>
        <v>53</v>
      </c>
      <c r="B270" s="106" t="str">
        <f>MouserListTable12[[#This Row],[SKU]]</f>
        <v>474-DEV-14441</v>
      </c>
      <c r="C270" s="121">
        <f>MouserListTable12[[#This Row],['# Initial]]</f>
        <v>0</v>
      </c>
      <c r="D270" s="103" t="s">
        <v>1167</v>
      </c>
      <c r="E270" s="157">
        <v>15</v>
      </c>
      <c r="F270" s="157">
        <f>MouserListTable12[[#This Row],[Total Price]]</f>
        <v>0</v>
      </c>
    </row>
    <row r="271" spans="1:6" s="151" customFormat="1" hidden="1" x14ac:dyDescent="0.3">
      <c r="A271" s="103">
        <f>IF(MouserListTable1215[[#This Row],[Qty.]]&gt;0,IF($A270="List #",1,$A270+1),IF($A270="List #",0,$A270))</f>
        <v>53</v>
      </c>
      <c r="B271" s="106" t="str">
        <f>MouserListTable12[[#This Row],[SKU]]</f>
        <v>474-DEV-14437</v>
      </c>
      <c r="C271" s="121">
        <f>MouserListTable12[[#This Row],['# Initial]]</f>
        <v>0</v>
      </c>
      <c r="D271" s="103" t="s">
        <v>1171</v>
      </c>
      <c r="E271" s="157">
        <v>15</v>
      </c>
      <c r="F271" s="157">
        <f>MouserListTable12[[#This Row],[Total Price]]</f>
        <v>0</v>
      </c>
    </row>
    <row r="272" spans="1:6" s="144" customFormat="1" hidden="1" x14ac:dyDescent="0.3">
      <c r="A272" s="103">
        <f>IF(MouserListTable1215[[#This Row],[Qty.]]&gt;0,IF($A271="List #",1,$A271+1),IF($A271="List #",0,$A271))</f>
        <v>53</v>
      </c>
      <c r="B272" s="106" t="str">
        <f>MouserListTable12[[#This Row],[SKU]]</f>
        <v>474-DEV-14436</v>
      </c>
      <c r="C272" s="121">
        <f>MouserListTable12[[#This Row],['# Initial]]</f>
        <v>0</v>
      </c>
      <c r="D272" s="103" t="s">
        <v>2440</v>
      </c>
      <c r="E272" s="157">
        <v>15</v>
      </c>
      <c r="F272" s="157">
        <f>MouserListTable12[[#This Row],[Total Price]]</f>
        <v>0</v>
      </c>
    </row>
    <row r="273" spans="1:6" s="144" customFormat="1" hidden="1" x14ac:dyDescent="0.3">
      <c r="A273" s="103">
        <f>IF(MouserListTable1215[[#This Row],[Qty.]]&gt;0,IF($A272="List #",1,$A272+1),IF($A272="List #",0,$A272))</f>
        <v>53</v>
      </c>
      <c r="B273" s="106" t="str">
        <f>MouserListTable12[[#This Row],[SKU]]</f>
        <v>474-DEV-14439</v>
      </c>
      <c r="C273" s="121">
        <f>MouserListTable12[[#This Row],['# Initial]]</f>
        <v>0</v>
      </c>
      <c r="D273" s="103" t="s">
        <v>2444</v>
      </c>
      <c r="E273" s="157">
        <v>10</v>
      </c>
      <c r="F273" s="157">
        <f>MouserListTable12[[#This Row],[Total Price]]</f>
        <v>0</v>
      </c>
    </row>
    <row r="274" spans="1:6" s="151" customFormat="1" hidden="1" x14ac:dyDescent="0.3">
      <c r="A274" s="103">
        <f>IF(MouserListTable1215[[#This Row],[Qty.]]&gt;0,IF($A273="List #",1,$A273+1),IF($A273="List #",0,$A273))</f>
        <v>53</v>
      </c>
      <c r="B274" s="106" t="str">
        <f>MouserListTable12[[#This Row],[SKU]]</f>
        <v>474-DEV-14431</v>
      </c>
      <c r="C274" s="121">
        <f>MouserListTable12[[#This Row],['# Initial]]</f>
        <v>0</v>
      </c>
      <c r="D274" s="103" t="s">
        <v>1079</v>
      </c>
      <c r="E274" s="157">
        <v>15</v>
      </c>
      <c r="F274" s="157">
        <f>MouserListTable12[[#This Row],[Total Price]]</f>
        <v>0</v>
      </c>
    </row>
    <row r="275" spans="1:6" s="151" customFormat="1" hidden="1" x14ac:dyDescent="0.3">
      <c r="A275" s="103">
        <f>IF(MouserListTable1215[[#This Row],[Qty.]]&gt;0,IF($A274="List #",1,$A274+1),IF($A274="List #",0,$A274))</f>
        <v>53</v>
      </c>
      <c r="B275" s="106" t="str">
        <f>MouserListTable12[[#This Row],[SKU]]</f>
        <v>474-DEV-14446</v>
      </c>
      <c r="C275" s="121">
        <f>MouserListTable12[[#This Row],['# Initial]]</f>
        <v>0</v>
      </c>
      <c r="D275" s="103" t="s">
        <v>1155</v>
      </c>
      <c r="E275" s="157">
        <v>9</v>
      </c>
      <c r="F275" s="157">
        <f>MouserListTable12[[#This Row],[Total Price]]</f>
        <v>0</v>
      </c>
    </row>
    <row r="276" spans="1:6" s="151" customFormat="1" hidden="1" x14ac:dyDescent="0.3">
      <c r="A276" s="103">
        <f>IF(MouserListTable1215[[#This Row],[Qty.]]&gt;0,IF($A275="List #",1,$A275+1),IF($A275="List #",0,$A275))</f>
        <v>53</v>
      </c>
      <c r="B276" s="106" t="str">
        <f>MouserListTable12[[#This Row],[SKU]]</f>
        <v>474-DEV-14443</v>
      </c>
      <c r="C276" s="121">
        <f>MouserListTable12[[#This Row],['# Initial]]</f>
        <v>0</v>
      </c>
      <c r="D276" s="103" t="s">
        <v>1163</v>
      </c>
      <c r="E276" s="157">
        <v>30</v>
      </c>
      <c r="F276" s="157">
        <f>MouserListTable12[[#This Row],[Total Price]]</f>
        <v>0</v>
      </c>
    </row>
    <row r="277" spans="1:6" s="151" customFormat="1" hidden="1" x14ac:dyDescent="0.3">
      <c r="A277" s="103">
        <f>IF(MouserListTable1215[[#This Row],[Qty.]]&gt;0,IF($A276="List #",1,$A276+1),IF($A276="List #",0,$A276))</f>
        <v>53</v>
      </c>
      <c r="B277" s="106" t="str">
        <f>MouserListTable12[[#This Row],[SKU]]</f>
        <v>474-DEV-14442</v>
      </c>
      <c r="C277" s="121">
        <f>MouserListTable12[[#This Row],['# Initial]]</f>
        <v>0</v>
      </c>
      <c r="D277" s="103" t="s">
        <v>1159</v>
      </c>
      <c r="E277" s="157">
        <v>5</v>
      </c>
      <c r="F277" s="157">
        <f>MouserListTable12[[#This Row],[Total Price]]</f>
        <v>0</v>
      </c>
    </row>
    <row r="278" spans="1:6" s="151" customFormat="1" hidden="1" x14ac:dyDescent="0.3">
      <c r="A278" s="103">
        <f>IF(MouserListTable1215[[#This Row],[Qty.]]&gt;0,IF($A277="List #",1,$A277+1),IF($A277="List #",0,$A277))</f>
        <v>53</v>
      </c>
      <c r="B278" s="106" t="str">
        <f>MouserListTable12[[#This Row],[SKU]]</f>
        <v>474-WRL-14280</v>
      </c>
      <c r="C278" s="121">
        <f>MouserListTable12[[#This Row],['# Initial]]</f>
        <v>0</v>
      </c>
      <c r="D278" s="103" t="s">
        <v>1167</v>
      </c>
      <c r="E278" s="157">
        <v>15</v>
      </c>
      <c r="F278" s="157">
        <f>MouserListTable12[[#This Row],[Total Price]]</f>
        <v>0</v>
      </c>
    </row>
    <row r="279" spans="1:6" s="151" customFormat="1" hidden="1" x14ac:dyDescent="0.3">
      <c r="A279" s="103">
        <f>IF(MouserListTable1215[[#This Row],[Qty.]]&gt;0,IF($A278="List #",1,$A278+1),IF($A278="List #",0,$A278))</f>
        <v>53</v>
      </c>
      <c r="B279" s="106" t="str">
        <f>MouserListTable12[[#This Row],[SKU]]</f>
        <v>474-DEV-13613</v>
      </c>
      <c r="C279" s="121">
        <f>MouserListTable12[[#This Row],['# Initial]]</f>
        <v>0</v>
      </c>
      <c r="D279" s="103" t="s">
        <v>354</v>
      </c>
      <c r="E279" s="157">
        <v>24.95</v>
      </c>
      <c r="F279" s="157">
        <f>MouserListTable12[[#This Row],[Total Price]]</f>
        <v>0</v>
      </c>
    </row>
    <row r="280" spans="1:6" s="151" customFormat="1" hidden="1" x14ac:dyDescent="0.3">
      <c r="A280" s="103">
        <f>IF(MouserListTable1215[[#This Row],[Qty.]]&gt;0,IF($A279="List #",1,$A279+1),IF($A279="List #",0,$A279))</f>
        <v>53</v>
      </c>
      <c r="B280" s="106" t="str">
        <f>MouserListTable12[[#This Row],[SKU]]</f>
        <v>474-DEV-12923</v>
      </c>
      <c r="C280" s="121">
        <f>MouserListTable12[[#This Row],['# Initial]]</f>
        <v>0</v>
      </c>
      <c r="D280" s="103" t="s">
        <v>358</v>
      </c>
      <c r="E280" s="157">
        <v>39.950000000000003</v>
      </c>
      <c r="F280" s="157">
        <f>MouserListTable12[[#This Row],[Total Price]]</f>
        <v>0</v>
      </c>
    </row>
    <row r="281" spans="1:6" s="151" customFormat="1" hidden="1" x14ac:dyDescent="0.3">
      <c r="A281" s="103">
        <f>IF(MouserListTable1215[[#This Row],[Qty.]]&gt;0,IF($A280="List #",1,$A280+1),IF($A280="List #",0,$A280))</f>
        <v>53</v>
      </c>
      <c r="B281" s="106" t="str">
        <f>MouserListTable12[[#This Row],[SKU]]</f>
        <v>474-DEV-12924</v>
      </c>
      <c r="C281" s="121">
        <f>MouserListTable12[[#This Row],['# Initial]]</f>
        <v>0</v>
      </c>
      <c r="D281" s="103" t="s">
        <v>327</v>
      </c>
      <c r="E281" s="157">
        <v>39.950000000000003</v>
      </c>
      <c r="F281" s="157">
        <f>MouserListTable12[[#This Row],[Total Price]]</f>
        <v>0</v>
      </c>
    </row>
    <row r="282" spans="1:6" s="151" customFormat="1" hidden="1" x14ac:dyDescent="0.3">
      <c r="A282" s="103">
        <f>IF(MouserListTable1215[[#This Row],[Qty.]]&gt;0,IF($A281="List #",1,$A281+1),IF($A281="List #",0,$A281))</f>
        <v>53</v>
      </c>
      <c r="B282" s="106" t="str">
        <f>MouserListTable12[[#This Row],[SKU]]</f>
        <v>474-PRT-12614</v>
      </c>
      <c r="C282" s="121">
        <f>MouserListTable12[[#This Row],['# Initial]]</f>
        <v>0</v>
      </c>
      <c r="D282" s="103" t="s">
        <v>331</v>
      </c>
      <c r="E282" s="157">
        <v>14.95</v>
      </c>
      <c r="F282" s="157">
        <f>MouserListTable12[[#This Row],[Total Price]]</f>
        <v>0</v>
      </c>
    </row>
    <row r="283" spans="1:6" s="144" customFormat="1" hidden="1" x14ac:dyDescent="0.3">
      <c r="A283" s="103">
        <f>IF(MouserListTable1215[[#This Row],[Qty.]]&gt;0,IF($A282="List #",1,$A282+1),IF($A282="List #",0,$A282))</f>
        <v>53</v>
      </c>
      <c r="B283" s="103" t="str">
        <f>MouserListTable12[[#This Row],[SKU]]</f>
        <v>474-PRT-12044</v>
      </c>
      <c r="C283" s="103">
        <f>MouserListTable12[[#This Row],['# Initial]]</f>
        <v>0</v>
      </c>
      <c r="D283" s="103" t="str">
        <f>MouserListTable12[[#This Row],[Name]]</f>
        <v>Breadboard - Mini Modular (Red)</v>
      </c>
      <c r="E283" s="103">
        <f>MouserListTable12[[#This Row],[Price (USD)]]</f>
        <v>3.95</v>
      </c>
      <c r="F283" s="103">
        <f>MouserListTable12[[#This Row],[Total Price]]</f>
        <v>0</v>
      </c>
    </row>
    <row r="284" spans="1:6" s="146" customFormat="1" x14ac:dyDescent="0.3">
      <c r="A284" s="193">
        <f>IF(MouserListTable1215[[#This Row],[Qty.]]&gt;0,IF($A283="List #",1,$A283+1),IF($A283="List #",0,$A283))</f>
        <v>54</v>
      </c>
      <c r="B284" s="103" t="str">
        <f>MouserListTable12[[#This Row],[SKU]]</f>
        <v>474-PRT-12047</v>
      </c>
      <c r="C284" s="103">
        <f>MouserListTable12[[#This Row],['# Initial]]</f>
        <v>20</v>
      </c>
      <c r="D284" s="103" t="str">
        <f>MouserListTable12[[#This Row],[Name]]</f>
        <v>Breadboard - Mini Modular (Black)</v>
      </c>
      <c r="E284" s="179">
        <f>MouserListTable12[[#This Row],[Price (USD)]]</f>
        <v>3.95</v>
      </c>
      <c r="F284" s="179">
        <f>MouserListTable12[[#This Row],[Total Price]]</f>
        <v>79</v>
      </c>
    </row>
    <row r="285" spans="1:6" s="146" customFormat="1" hidden="1" x14ac:dyDescent="0.3">
      <c r="A285" s="103">
        <f>IF(MouserListTable1215[[#This Row],[Qty.]]&gt;0,IF($A284="List #",1,$A284+1),IF($A284="List #",0,$A284))</f>
        <v>54</v>
      </c>
      <c r="B285" s="103" t="str">
        <f>MouserListTable12[[#This Row],[SKU]]</f>
        <v>485-65</v>
      </c>
      <c r="C285" s="103">
        <f>MouserListTable12[[#This Row],['# Initial]]</f>
        <v>0</v>
      </c>
      <c r="D285" s="103" t="str">
        <f>MouserListTable12[[#This Row],[Name]]</f>
        <v>Tiny breadboard</v>
      </c>
      <c r="E285" s="103">
        <f>MouserListTable12[[#This Row],[Price (USD)]]</f>
        <v>4</v>
      </c>
      <c r="F285" s="103">
        <f>MouserListTable12[[#This Row],[Total Price]]</f>
        <v>0</v>
      </c>
    </row>
    <row r="286" spans="1:6" s="146" customFormat="1" x14ac:dyDescent="0.3">
      <c r="A286" s="193">
        <f>IF(MouserListTable1215[[#This Row],[Qty.]]&gt;0,IF($A285="List #",1,$A285+1),IF($A285="List #",0,$A285))</f>
        <v>55</v>
      </c>
      <c r="B286" s="103" t="str">
        <f>MouserListTable12[[#This Row],[SKU]]</f>
        <v>474-PRT-12699</v>
      </c>
      <c r="C286" s="103">
        <f>MouserListTable12[[#This Row],['# Initial]]</f>
        <v>10</v>
      </c>
      <c r="D286" s="103" t="str">
        <f>MouserListTable12[[#This Row],[Name]]</f>
        <v>SparkFun Solder-able Breadboard - Large</v>
      </c>
      <c r="E286" s="179">
        <f>MouserListTable12[[#This Row],[Price (USD)]]</f>
        <v>8.9499999999999993</v>
      </c>
      <c r="F286" s="179">
        <f>MouserListTable12[[#This Row],[Total Price]]</f>
        <v>89.5</v>
      </c>
    </row>
    <row r="287" spans="1:6" s="146" customFormat="1" hidden="1" x14ac:dyDescent="0.3">
      <c r="A287" s="103">
        <f>IF(MouserListTable1215[[#This Row],[Qty.]]&gt;0,IF($A286="List #",1,$A286+1),IF($A286="List #",0,$A286))</f>
        <v>55</v>
      </c>
      <c r="B287" s="103" t="str">
        <f>MouserListTable12[[#This Row],[SKU]]</f>
        <v>474-PRT-12070</v>
      </c>
      <c r="C287" s="103">
        <f>MouserListTable12[[#This Row],['# Initial]]</f>
        <v>0</v>
      </c>
      <c r="D287" s="103" t="str">
        <f>MouserListTable12[[#This Row],[Name]]</f>
        <v>SparkFun Solder-able Breadboard</v>
      </c>
      <c r="E287" s="103">
        <f>MouserListTable12[[#This Row],[Price (USD)]]</f>
        <v>4.95</v>
      </c>
      <c r="F287" s="103">
        <f>MouserListTable12[[#This Row],[Total Price]]</f>
        <v>0</v>
      </c>
    </row>
    <row r="288" spans="1:6" s="146" customFormat="1" hidden="1" x14ac:dyDescent="0.3">
      <c r="A288" s="103">
        <f>IF(MouserListTable1215[[#This Row],[Qty.]]&gt;0,IF($A287="List #",1,$A287+1),IF($A287="List #",0,$A287))</f>
        <v>55</v>
      </c>
      <c r="B288" s="103" t="str">
        <f>MouserListTable12[[#This Row],[SKU]]</f>
        <v>474-PRT-12702</v>
      </c>
      <c r="C288" s="103">
        <f>MouserListTable12[[#This Row],['# Initial]]</f>
        <v>0</v>
      </c>
      <c r="D288" s="103" t="str">
        <f>MouserListTable12[[#This Row],[Name]]</f>
        <v>SparkFun Solder-able Breadboard - Mini</v>
      </c>
      <c r="E288" s="103">
        <f>MouserListTable12[[#This Row],[Price (USD)]]</f>
        <v>2.95</v>
      </c>
      <c r="F288" s="103">
        <f>MouserListTable12[[#This Row],[Total Price]]</f>
        <v>0</v>
      </c>
    </row>
    <row r="289" spans="1:6" s="146" customFormat="1" x14ac:dyDescent="0.3">
      <c r="A289" s="193">
        <f>IF(MouserListTable1215[[#This Row],[Qty.]]&gt;0,IF($A288="List #",1,$A288+1),IF($A288="List #",0,$A288))</f>
        <v>56</v>
      </c>
      <c r="B289" s="103" t="str">
        <f>MouserListTable12[[#This Row],[SKU]]</f>
        <v>474-DEV-07914</v>
      </c>
      <c r="C289" s="103">
        <f>MouserListTable12[[#This Row],['# Initial]]</f>
        <v>5</v>
      </c>
      <c r="D289" s="103" t="str">
        <f>MouserListTable12[[#This Row],[Name]]</f>
        <v>SparkFun ProtoShield Kit</v>
      </c>
      <c r="E289" s="179">
        <f>MouserListTable12[[#This Row],[Price (USD)]]</f>
        <v>9.9499999999999993</v>
      </c>
      <c r="F289" s="179">
        <f>MouserListTable12[[#This Row],[Total Price]]</f>
        <v>49.75</v>
      </c>
    </row>
    <row r="290" spans="1:6" s="146" customFormat="1" hidden="1" x14ac:dyDescent="0.3">
      <c r="A290" s="103">
        <f>IF(MouserListTable1215[[#This Row],[Qty.]]&gt;0,IF($A289="List #",1,$A289+1),IF($A289="List #",0,$A289))</f>
        <v>56</v>
      </c>
      <c r="B290" s="103" t="str">
        <f>MouserListTable12[[#This Row],[SKU]]</f>
        <v>485-2077</v>
      </c>
      <c r="C290" s="103">
        <f>MouserListTable12[[#This Row],['# Initial]]</f>
        <v>0</v>
      </c>
      <c r="D290" s="103" t="str">
        <f>MouserListTable12[[#This Row],[Name]]</f>
        <v>Adafruit Proto Shield for Arduino Kit - Stackable Version R3</v>
      </c>
      <c r="E290" s="103">
        <f>MouserListTable12[[#This Row],[Price (USD)]]</f>
        <v>9.9499999999999993</v>
      </c>
      <c r="F290" s="103">
        <f>MouserListTable12[[#This Row],[Total Price]]</f>
        <v>0</v>
      </c>
    </row>
    <row r="291" spans="1:6" s="146" customFormat="1" hidden="1" x14ac:dyDescent="0.3">
      <c r="A291" s="103">
        <f>IF(MouserListTable1215[[#This Row],[Qty.]]&gt;0,IF($A290="List #",1,$A290+1),IF($A290="List #",0,$A290))</f>
        <v>56</v>
      </c>
      <c r="B291" s="103" t="str">
        <f>MouserListTable12[[#This Row],[SKU]]</f>
        <v>485-196</v>
      </c>
      <c r="C291" s="103">
        <f>MouserListTable12[[#This Row],['# Initial]]</f>
        <v>0</v>
      </c>
      <c r="D291" s="103" t="str">
        <f>MouserListTable12[[#This Row],[Name]]</f>
        <v>Proto-Screwshield (Wingshield) R3 Kit for Arduino</v>
      </c>
      <c r="E291" s="103">
        <f>MouserListTable12[[#This Row],[Price (USD)]]</f>
        <v>14.95</v>
      </c>
      <c r="F291" s="103">
        <f>MouserListTable12[[#This Row],[Total Price]]</f>
        <v>0</v>
      </c>
    </row>
    <row r="292" spans="1:6" s="146" customFormat="1" hidden="1" x14ac:dyDescent="0.3">
      <c r="A292" s="103">
        <f>IF(MouserListTable1215[[#This Row],[Qty.]]&gt;0,IF($A291="List #",1,$A291+1),IF($A291="List #",0,$A291))</f>
        <v>56</v>
      </c>
      <c r="B292" s="103" t="str">
        <f>MouserListTable12[[#This Row],[SKU]]</f>
        <v>485-192</v>
      </c>
      <c r="C292" s="103">
        <f>MouserListTable12[[#This Row],['# Initial]]</f>
        <v>0</v>
      </c>
      <c r="D292" s="103" t="str">
        <f>MouserListTable12[[#This Row],[Name]]</f>
        <v>Mega protoshield for Arduino</v>
      </c>
      <c r="E292" s="103">
        <f>MouserListTable12[[#This Row],[Price (USD)]]</f>
        <v>14.95</v>
      </c>
      <c r="F292" s="103">
        <f>MouserListTable12[[#This Row],[Total Price]]</f>
        <v>0</v>
      </c>
    </row>
    <row r="293" spans="1:6" s="146" customFormat="1" hidden="1" x14ac:dyDescent="0.3">
      <c r="A293" s="103">
        <f>IF(MouserListTable1215[[#This Row],[Qty.]]&gt;0,IF($A292="List #",1,$A292+1),IF($A292="List #",0,$A292))</f>
        <v>56</v>
      </c>
      <c r="B293" s="103" t="str">
        <f>MouserListTable12[[#This Row],[SKU]]</f>
        <v>485-443</v>
      </c>
      <c r="C293" s="103">
        <f>MouserListTable12[[#This Row],['# Initial]]</f>
        <v>0</v>
      </c>
      <c r="D293" s="103" t="str">
        <f>MouserListTable12[[#This Row],[Name]]</f>
        <v>Large Solderless Breadboard</v>
      </c>
      <c r="E293" s="103">
        <f>MouserListTable12[[#This Row],[Price (USD)]]</f>
        <v>19.95</v>
      </c>
      <c r="F293" s="103">
        <f>MouserListTable12[[#This Row],[Total Price]]</f>
        <v>0</v>
      </c>
    </row>
    <row r="294" spans="1:6" s="146" customFormat="1" hidden="1" x14ac:dyDescent="0.3">
      <c r="A294" s="103">
        <f>IF(MouserListTable1215[[#This Row],[Qty.]]&gt;0,IF($A293="List #",1,$A293+1),IF($A293="List #",0,$A293))</f>
        <v>56</v>
      </c>
      <c r="B294" s="103" t="str">
        <f>MouserListTable12[[#This Row],[SKU]]</f>
        <v>485-2017</v>
      </c>
      <c r="C294" s="103">
        <f>MouserListTable12[[#This Row],['# Initial]]</f>
        <v>0</v>
      </c>
      <c r="D294" s="103" t="str">
        <f>MouserListTable12[[#This Row],[Name]]</f>
        <v>Mini Solderless Breadboard - 2x4 Points</v>
      </c>
      <c r="E294" s="103">
        <f>MouserListTable12[[#This Row],[Price (USD)]]</f>
        <v>0.75</v>
      </c>
      <c r="F294" s="103">
        <f>MouserListTable12[[#This Row],[Total Price]]</f>
        <v>0</v>
      </c>
    </row>
    <row r="295" spans="1:6" s="146" customFormat="1" hidden="1" x14ac:dyDescent="0.3">
      <c r="A295" s="103">
        <f>IF(MouserListTable1215[[#This Row],[Qty.]]&gt;0,IF($A294="List #",1,$A294+1),IF($A294="List #",0,$A294))</f>
        <v>56</v>
      </c>
      <c r="B295" s="103" t="str">
        <f>MouserListTable12[[#This Row],[SKU]]</f>
        <v>485-2018</v>
      </c>
      <c r="C295" s="103">
        <f>MouserListTable12[[#This Row],['# Initial]]</f>
        <v>0</v>
      </c>
      <c r="D295" s="103" t="str">
        <f>MouserListTable12[[#This Row],[Name]]</f>
        <v>Mini Solderless Breadboard - 2x8 Points</v>
      </c>
      <c r="E295" s="103">
        <f>MouserListTable12[[#This Row],[Price (USD)]]</f>
        <v>0.95</v>
      </c>
      <c r="F295" s="103">
        <f>MouserListTable12[[#This Row],[Total Price]]</f>
        <v>0</v>
      </c>
    </row>
    <row r="296" spans="1:6" s="146" customFormat="1" hidden="1" x14ac:dyDescent="0.3">
      <c r="A296" s="103">
        <f>IF(MouserListTable1215[[#This Row],[Qty.]]&gt;0,IF($A295="List #",1,$A295+1),IF($A295="List #",0,$A295))</f>
        <v>56</v>
      </c>
      <c r="B296" s="103" t="str">
        <f>MouserListTable12[[#This Row],[SKU]]</f>
        <v>485-2463</v>
      </c>
      <c r="C296" s="103">
        <f>MouserListTable12[[#This Row],['# Initial]]</f>
        <v>0</v>
      </c>
      <c r="D296" s="103" t="str">
        <f>MouserListTable12[[#This Row],[Name]]</f>
        <v>Mini Solderless Breadboard - 4x4 Points</v>
      </c>
      <c r="E296" s="103">
        <f>MouserListTable12[[#This Row],[Price (USD)]]</f>
        <v>0.95</v>
      </c>
      <c r="F296" s="103">
        <f>MouserListTable12[[#This Row],[Total Price]]</f>
        <v>0</v>
      </c>
    </row>
    <row r="297" spans="1:6" s="146" customFormat="1" hidden="1" x14ac:dyDescent="0.3">
      <c r="A297" s="103">
        <f>IF(MouserListTable1215[[#This Row],[Qty.]]&gt;0,IF($A296="List #",1,$A296+1),IF($A296="List #",0,$A296))</f>
        <v>56</v>
      </c>
      <c r="B297" s="103" t="str">
        <f>MouserListTable12[[#This Row],[SKU]]</f>
        <v>474-PRT-13268</v>
      </c>
      <c r="C297" s="103">
        <f>MouserListTable12[[#This Row],['# Initial]]</f>
        <v>0</v>
      </c>
      <c r="D297" s="103" t="str">
        <f>MouserListTable12[[#This Row],[Name]]</f>
        <v>SparkFun Snappable Protoboard</v>
      </c>
      <c r="E297" s="103">
        <f>MouserListTable12[[#This Row],[Price (USD)]]</f>
        <v>7.95</v>
      </c>
      <c r="F297" s="103">
        <f>MouserListTable12[[#This Row],[Total Price]]</f>
        <v>0</v>
      </c>
    </row>
    <row r="298" spans="1:6" s="146" customFormat="1" x14ac:dyDescent="0.3">
      <c r="A298" s="193">
        <f>IF(MouserListTable1215[[#This Row],[Qty.]]&gt;0,IF($A297="List #",1,$A297+1),IF($A297="List #",0,$A297))</f>
        <v>57</v>
      </c>
      <c r="B298" s="103" t="str">
        <f>MouserListTable12[[#This Row],[SKU]]</f>
        <v>474-DEV-13317</v>
      </c>
      <c r="C298" s="103">
        <f>MouserListTable12[[#This Row],['# Initial]]</f>
        <v>10</v>
      </c>
      <c r="D298" s="103" t="str">
        <f>MouserListTable12[[#This Row],[Name]]</f>
        <v>SparkFun Big Red Box Proto Board</v>
      </c>
      <c r="E298" s="179">
        <f>MouserListTable12[[#This Row],[Price (USD)]]</f>
        <v>7.95</v>
      </c>
      <c r="F298" s="179">
        <f>MouserListTable12[[#This Row],[Total Price]]</f>
        <v>79.5</v>
      </c>
    </row>
    <row r="299" spans="1:6" s="146" customFormat="1" hidden="1" x14ac:dyDescent="0.3">
      <c r="A299" s="103">
        <f>IF(MouserListTable1215[[#This Row],[Qty.]]&gt;0,IF($A298="List #",1,$A298+1),IF($A298="List #",0,$A298))</f>
        <v>57</v>
      </c>
      <c r="B299" s="103" t="str">
        <f>MouserListTable12[[#This Row],[SKU]]</f>
        <v>474-PRT-11366</v>
      </c>
      <c r="C299" s="103">
        <f>MouserListTable12[[#This Row],['# Initial]]</f>
        <v>0</v>
      </c>
      <c r="D299" s="103" t="str">
        <f>MouserListTable12[[#This Row],[Name]]</f>
        <v>Big Red Box - Enclosure</v>
      </c>
      <c r="E299" s="179">
        <f>MouserListTable12[[#This Row],[Price (USD)]]</f>
        <v>8.9499999999999993</v>
      </c>
      <c r="F299" s="179">
        <f>MouserListTable12[[#This Row],[Total Price]]</f>
        <v>0</v>
      </c>
    </row>
    <row r="300" spans="1:6" s="146" customFormat="1" hidden="1" x14ac:dyDescent="0.3">
      <c r="A300" s="103">
        <f>IF(MouserListTable1215[[#This Row],[Qty.]]&gt;0,IF($A299="List #",1,$A299+1),IF($A299="List #",0,$A299))</f>
        <v>57</v>
      </c>
      <c r="B300" s="103" t="str">
        <f>MouserListTable12[[#This Row],[SKU]]</f>
        <v>474-PRT-10088</v>
      </c>
      <c r="C300" s="103">
        <f>MouserListTable12[[#This Row],['# Initial]]</f>
        <v>0</v>
      </c>
      <c r="D300" s="103" t="str">
        <f>MouserListTable12[[#This Row],[Name]]</f>
        <v>Arduino Project Enclosure</v>
      </c>
      <c r="E300" s="103">
        <f>MouserListTable12[[#This Row],[Price (USD)]]</f>
        <v>11.95</v>
      </c>
      <c r="F300" s="103">
        <f>MouserListTable12[[#This Row],[Total Price]]</f>
        <v>0</v>
      </c>
    </row>
    <row r="301" spans="1:6" s="146" customFormat="1" hidden="1" x14ac:dyDescent="0.3">
      <c r="A301" s="103">
        <f>IF(MouserListTable1215[[#This Row],[Qty.]]&gt;0,IF($A300="List #",1,$A300+1),IF($A300="List #",0,$A300))</f>
        <v>57</v>
      </c>
      <c r="B301" s="103" t="str">
        <f>MouserListTable12[[#This Row],[SKU]]</f>
        <v>474-DEV-11632</v>
      </c>
      <c r="C301" s="103">
        <f>MouserListTable12[[#This Row],['# Initial]]</f>
        <v>0</v>
      </c>
      <c r="D301" s="103" t="str">
        <f>MouserListTable12[[#This Row],[Name]]</f>
        <v>IOIO and Breadboard Holder</v>
      </c>
      <c r="E301" s="103">
        <f>MouserListTable12[[#This Row],[Price (USD)]]</f>
        <v>0.1</v>
      </c>
      <c r="F301" s="103">
        <f>MouserListTable12[[#This Row],[Total Price]]</f>
        <v>0</v>
      </c>
    </row>
    <row r="302" spans="1:6" s="146" customFormat="1" hidden="1" x14ac:dyDescent="0.3">
      <c r="A302" s="103">
        <f>IF(MouserListTable1215[[#This Row],[Qty.]]&gt;0,IF($A301="List #",1,$A301+1),IF($A301="List #",0,$A301))</f>
        <v>57</v>
      </c>
      <c r="B302" s="103" t="str">
        <f>MouserListTable12[[#This Row],[SKU]]</f>
        <v>485-2229</v>
      </c>
      <c r="C302" s="103">
        <f>MouserListTable12[[#This Row],['# Initial]]</f>
        <v>0</v>
      </c>
      <c r="D302" s="103" t="str">
        <f>MouserListTable12[[#This Row],[Name]]</f>
        <v>Extruded Aluminum Enclosure Box - 100mm x 67mm x 26mm</v>
      </c>
      <c r="E302" s="103">
        <f>MouserListTable12[[#This Row],[Price (USD)]]</f>
        <v>7.5</v>
      </c>
      <c r="F302" s="103">
        <f>MouserListTable12[[#This Row],[Total Price]]</f>
        <v>0</v>
      </c>
    </row>
    <row r="303" spans="1:6" s="146" customFormat="1" hidden="1" x14ac:dyDescent="0.3">
      <c r="A303" s="103">
        <f>IF(MouserListTable1215[[#This Row],[Qty.]]&gt;0,IF($A302="List #",1,$A302+1),IF($A302="List #",0,$A302))</f>
        <v>57</v>
      </c>
      <c r="B303" s="103" t="str">
        <f>MouserListTable12[[#This Row],[SKU]]</f>
        <v>485-2230</v>
      </c>
      <c r="C303" s="103">
        <f>MouserListTable12[[#This Row],['# Initial]]</f>
        <v>0</v>
      </c>
      <c r="D303" s="103" t="str">
        <f>MouserListTable12[[#This Row],[Name]]</f>
        <v>Extruded Aluminum Enclosure Box - 94mm x 83mm x 30mm</v>
      </c>
      <c r="E303" s="103">
        <f>MouserListTable12[[#This Row],[Price (USD)]]</f>
        <v>5.95</v>
      </c>
      <c r="F303" s="103">
        <f>MouserListTable12[[#This Row],[Total Price]]</f>
        <v>0</v>
      </c>
    </row>
    <row r="304" spans="1:6" s="146" customFormat="1" x14ac:dyDescent="0.3">
      <c r="A304" s="193">
        <f>IF(MouserListTable1215[[#This Row],[Qty.]]&gt;0,IF($A303="List #",1,$A303+1),IF($A303="List #",0,$A303))</f>
        <v>58</v>
      </c>
      <c r="B304" s="103" t="str">
        <f>MouserListTable12[[#This Row],[SKU]]</f>
        <v>474-COM-10594</v>
      </c>
      <c r="C304" s="103">
        <f>MouserListTable12[[#This Row],['# Initial]]</f>
        <v>5</v>
      </c>
      <c r="D304" s="103" t="str">
        <f>MouserListTable12[[#This Row],[Name]]</f>
        <v>Silicone Bumpers - Large (10x16.5mm, 4 pack)</v>
      </c>
      <c r="E304" s="179">
        <f>MouserListTable12[[#This Row],[Price (USD)]]</f>
        <v>0.95</v>
      </c>
      <c r="F304" s="179">
        <f>MouserListTable12[[#This Row],[Total Price]]</f>
        <v>4.75</v>
      </c>
    </row>
    <row r="305" spans="1:6" s="146" customFormat="1" x14ac:dyDescent="0.3">
      <c r="A305" s="193">
        <f>IF(MouserListTable1215[[#This Row],[Qty.]]&gt;0,IF($A304="List #",1,$A304+1),IF($A304="List #",0,$A304))</f>
        <v>59</v>
      </c>
      <c r="B305" s="103" t="str">
        <f>MouserListTable12[[#This Row],[SKU]]</f>
        <v>474-PRT-10230</v>
      </c>
      <c r="C305" s="103">
        <f>MouserListTable12[[#This Row],['# Initial]]</f>
        <v>5</v>
      </c>
      <c r="D305" s="103" t="str">
        <f>MouserListTable12[[#This Row],[Name]]</f>
        <v>Silicone Bumpers - Small, Clear (8x2mm, 5 pack)</v>
      </c>
      <c r="E305" s="179">
        <f>MouserListTable12[[#This Row],[Price (USD)]]</f>
        <v>0.95</v>
      </c>
      <c r="F305" s="179">
        <f>MouserListTable12[[#This Row],[Total Price]]</f>
        <v>4.75</v>
      </c>
    </row>
    <row r="306" spans="1:6" s="146" customFormat="1" hidden="1" x14ac:dyDescent="0.3">
      <c r="A306" s="103">
        <f>IF(MouserListTable1215[[#This Row],[Qty.]]&gt;0,IF($A305="List #",1,$A305+1),IF($A305="List #",0,$A305))</f>
        <v>59</v>
      </c>
      <c r="B306" s="103" t="str">
        <f>MouserListTable12[[#This Row],[SKU]]</f>
        <v>485-550</v>
      </c>
      <c r="C306" s="103">
        <f>MouserListTable12[[#This Row],['# Initial]]</f>
        <v>0</v>
      </c>
      <c r="D306" s="103" t="str">
        <f>MouserListTable12[[#This Row],[Name]]</f>
        <v xml:space="preserve">Little Rubber Bumper Feet - Pack of 4 </v>
      </c>
      <c r="E306" s="103">
        <f>MouserListTable12[[#This Row],[Price (USD)]]</f>
        <v>0.95</v>
      </c>
      <c r="F306" s="103">
        <f>MouserListTable12[[#This Row],[Total Price]]</f>
        <v>0</v>
      </c>
    </row>
    <row r="307" spans="1:6" s="146" customFormat="1" hidden="1" x14ac:dyDescent="0.3">
      <c r="A307" s="103">
        <f>IF(MouserListTable1215[[#This Row],[Qty.]]&gt;0,IF($A306="List #",1,$A306+1),IF($A306="List #",0,$A306))</f>
        <v>59</v>
      </c>
      <c r="B307" s="103" t="str">
        <f>MouserListTable12[[#This Row],[SKU]]</f>
        <v>474-PRT-09353</v>
      </c>
      <c r="C307" s="103">
        <f>MouserListTable12[[#This Row],['# Initial]]</f>
        <v>0</v>
      </c>
      <c r="D307" s="103" t="str">
        <f>MouserListTable12[[#This Row],[Name]]</f>
        <v>Heat Shrink Kit</v>
      </c>
      <c r="E307" s="103">
        <f>MouserListTable12[[#This Row],[Price (USD)]]</f>
        <v>7.95</v>
      </c>
      <c r="F307" s="103">
        <f>MouserListTable12[[#This Row],[Total Price]]</f>
        <v>0</v>
      </c>
    </row>
    <row r="308" spans="1:6" s="146" customFormat="1" hidden="1" x14ac:dyDescent="0.3">
      <c r="A308" s="103">
        <f>IF(MouserListTable1215[[#This Row],[Qty.]]&gt;0,IF($A307="List #",1,$A307+1),IF($A307="List #",0,$A307))</f>
        <v>59</v>
      </c>
      <c r="B308" s="103" t="str">
        <f>MouserListTable12[[#This Row],[SKU]]</f>
        <v>485-344</v>
      </c>
      <c r="C308" s="103">
        <f>MouserListTable12[[#This Row],['# Initial]]</f>
        <v>0</v>
      </c>
      <c r="D308" s="103" t="str">
        <f>MouserListTable12[[#This Row],[Name]]</f>
        <v>Heat Shrink Pack</v>
      </c>
      <c r="E308" s="103">
        <f>MouserListTable12[[#This Row],[Price (USD)]]</f>
        <v>4.95</v>
      </c>
      <c r="F308" s="103">
        <f>MouserListTable12[[#This Row],[Total Price]]</f>
        <v>0</v>
      </c>
    </row>
    <row r="309" spans="1:6" s="144" customFormat="1" hidden="1" x14ac:dyDescent="0.3">
      <c r="A309" s="103">
        <f>IF(MouserListTable1215[[#This Row],[Qty.]]&gt;0,IF($A308="List #",1,$A308+1),IF($A308="List #",0,$A308))</f>
        <v>59</v>
      </c>
      <c r="B309" s="103" t="str">
        <f>MouserListTable12[[#This Row],[SKU]]</f>
        <v>474-TOL-10951</v>
      </c>
      <c r="C309" s="103">
        <f>MouserListTable12[[#This Row],['# Initial]]</f>
        <v>0</v>
      </c>
      <c r="D309" s="103" t="str">
        <f>MouserListTable12[[#This Row],[Name]]</f>
        <v>Polymorph - 1000g</v>
      </c>
      <c r="E309" s="103">
        <f>MouserListTable12[[#This Row],[Price (USD)]]</f>
        <v>34.950000000000003</v>
      </c>
      <c r="F309" s="103">
        <f>MouserListTable12[[#This Row],[Total Price]]</f>
        <v>0</v>
      </c>
    </row>
    <row r="310" spans="1:6" s="144" customFormat="1" x14ac:dyDescent="0.3">
      <c r="A310" s="193">
        <f>IF(MouserListTable1215[[#This Row],[Qty.]]&gt;0,IF($A309="List #",1,$A309+1),IF($A309="List #",0,$A309))</f>
        <v>60</v>
      </c>
      <c r="B310" s="103" t="str">
        <f>MouserListTable12[[#This Row],[SKU]]</f>
        <v>474-TOL-10950</v>
      </c>
      <c r="C310" s="103">
        <f>MouserListTable12[[#This Row],['# Initial]]</f>
        <v>2</v>
      </c>
      <c r="D310" s="103" t="str">
        <f>MouserListTable12[[#This Row],[Name]]</f>
        <v>Polymorph - 250g</v>
      </c>
      <c r="E310" s="179">
        <f>MouserListTable12[[#This Row],[Price (USD)]]</f>
        <v>9.9499999999999993</v>
      </c>
      <c r="F310" s="179">
        <f>MouserListTable12[[#This Row],[Total Price]]</f>
        <v>19.899999999999999</v>
      </c>
    </row>
    <row r="311" spans="1:6" s="144" customFormat="1" x14ac:dyDescent="0.3">
      <c r="A311" s="193">
        <f>IF(MouserListTable1215[[#This Row],[Qty.]]&gt;0,IF($A310="List #",1,$A310+1),IF($A310="List #",0,$A310))</f>
        <v>61</v>
      </c>
      <c r="B311" s="103" t="str">
        <f>MouserListTable12[[#This Row],[SKU]]</f>
        <v>485-2504</v>
      </c>
      <c r="C311" s="103">
        <f>MouserListTable12[[#This Row],['# Initial]]</f>
        <v>3</v>
      </c>
      <c r="D311" s="103" t="str">
        <f>MouserListTable12[[#This Row],[Name]]</f>
        <v>Hand-Moldable Plastic - Low Temperature Thermoplastic - 100g Bag</v>
      </c>
      <c r="E311" s="179">
        <f>MouserListTable12[[#This Row],[Price (USD)]]</f>
        <v>4.95</v>
      </c>
      <c r="F311" s="179">
        <f>MouserListTable12[[#This Row],[Total Price]]</f>
        <v>14.850000000000001</v>
      </c>
    </row>
    <row r="312" spans="1:6" s="144" customFormat="1" x14ac:dyDescent="0.3">
      <c r="A312" s="193">
        <f>IF(MouserListTable1215[[#This Row],[Qty.]]&gt;0,IF($A311="List #",1,$A311+1),IF($A311="List #",0,$A311))</f>
        <v>62</v>
      </c>
      <c r="B312" s="103" t="str">
        <f>MouserListTable12[[#This Row],[SKU]]</f>
        <v>485-437</v>
      </c>
      <c r="C312" s="103">
        <f>MouserListTable12[[#This Row],['# Initial]]</f>
        <v>1</v>
      </c>
      <c r="D312" s="103" t="str">
        <f>MouserListTable12[[#This Row],[Name]]</f>
        <v>Sugru - Black and White Pack</v>
      </c>
      <c r="E312" s="179">
        <f>MouserListTable12[[#This Row],[Price (USD)]]</f>
        <v>20.2</v>
      </c>
      <c r="F312" s="179">
        <f>MouserListTable12[[#This Row],[Total Price]]</f>
        <v>20.2</v>
      </c>
    </row>
    <row r="313" spans="1:6" s="144" customFormat="1" x14ac:dyDescent="0.3">
      <c r="A313" s="193">
        <f>IF(MouserListTable1215[[#This Row],[Qty.]]&gt;0,IF($A312="List #",1,$A312+1),IF($A312="List #",0,$A312))</f>
        <v>63</v>
      </c>
      <c r="B313" s="103" t="str">
        <f>MouserListTable12[[#This Row],[SKU]]</f>
        <v>474-PRT-11510</v>
      </c>
      <c r="C313" s="103">
        <f>MouserListTable12[[#This Row],['# Initial]]</f>
        <v>5</v>
      </c>
      <c r="D313" s="103" t="str">
        <f>MouserListTable12[[#This Row],[Name]]</f>
        <v>Small Heatsink</v>
      </c>
      <c r="E313" s="179">
        <f>MouserListTable12[[#This Row],[Price (USD)]]</f>
        <v>1.95</v>
      </c>
      <c r="F313" s="179">
        <f>MouserListTable12[[#This Row],[Total Price]]</f>
        <v>9.75</v>
      </c>
    </row>
    <row r="314" spans="1:6" s="144" customFormat="1" x14ac:dyDescent="0.3">
      <c r="A314" s="193">
        <f>IF(MouserListTable1215[[#This Row],[Qty.]]&gt;0,IF($A313="List #",1,$A313+1),IF($A313="List #",0,$A313))</f>
        <v>64</v>
      </c>
      <c r="B314" s="103" t="str">
        <f>MouserListTable12[[#This Row],[SKU]]</f>
        <v>474-PRT-14340</v>
      </c>
      <c r="C314" s="103">
        <f>MouserListTable12[[#This Row],['# Initial]]</f>
        <v>5</v>
      </c>
      <c r="D314" s="103" t="str">
        <f>MouserListTable12[[#This Row],[Name]]</f>
        <v>Medium Heatsink</v>
      </c>
      <c r="E314" s="179">
        <f>MouserListTable12[[#This Row],[Price (USD)]]</f>
        <v>1.57</v>
      </c>
      <c r="F314" s="179">
        <f>MouserListTable12[[#This Row],[Total Price]]</f>
        <v>7.8500000000000005</v>
      </c>
    </row>
    <row r="315" spans="1:6" s="144" customFormat="1" x14ac:dyDescent="0.3">
      <c r="A315" s="193">
        <f>IF(MouserListTable1215[[#This Row],[Qty.]]&gt;0,IF($A314="List #",1,$A314+1),IF($A314="List #",0,$A314))</f>
        <v>65</v>
      </c>
      <c r="B315" s="103" t="str">
        <f>MouserListTable12[[#This Row],[SKU]]</f>
        <v>474-PRT-00121</v>
      </c>
      <c r="C315" s="103">
        <f>MouserListTable12[[#This Row],['# Initial]]</f>
        <v>5</v>
      </c>
      <c r="D315" s="103" t="str">
        <f>MouserListTable12[[#This Row],[Name]]</f>
        <v>Heatsink TO-220</v>
      </c>
      <c r="E315" s="179">
        <f>MouserListTable12[[#This Row],[Price (USD)]]</f>
        <v>0.95</v>
      </c>
      <c r="F315" s="179">
        <f>MouserListTable12[[#This Row],[Total Price]]</f>
        <v>4.75</v>
      </c>
    </row>
    <row r="316" spans="1:6" s="144" customFormat="1" x14ac:dyDescent="0.3">
      <c r="A316" s="193">
        <f>IF(MouserListTable1215[[#This Row],[Qty.]]&gt;0,IF($A315="List #",1,$A315+1),IF($A315="List #",0,$A315))</f>
        <v>66</v>
      </c>
      <c r="B316" s="103" t="str">
        <f>MouserListTable12[[#This Row],[SKU]]</f>
        <v>485-977</v>
      </c>
      <c r="C316" s="103">
        <f>MouserListTable12[[#This Row],['# Initial]]</f>
        <v>10</v>
      </c>
      <c r="D316" s="103" t="str">
        <f>MouserListTable12[[#This Row],[Name]]</f>
        <v xml:space="preserve">TO-220 Clip-On Heatsink </v>
      </c>
      <c r="E316" s="179">
        <f>MouserListTable12[[#This Row],[Price (USD)]]</f>
        <v>0.75</v>
      </c>
      <c r="F316" s="179">
        <f>MouserListTable12[[#This Row],[Total Price]]</f>
        <v>7.5</v>
      </c>
    </row>
    <row r="317" spans="1:6" s="144" customFormat="1" hidden="1" x14ac:dyDescent="0.3">
      <c r="A317" s="103">
        <f>IF(MouserListTable1215[[#This Row],[Qty.]]&gt;0,IF($A316="List #",1,$A316+1),IF($A316="List #",0,$A316))</f>
        <v>66</v>
      </c>
      <c r="B317" s="103" t="str">
        <f>MouserListTable12[[#This Row],[SKU]]</f>
        <v>474-PRT-09599</v>
      </c>
      <c r="C317" s="103">
        <f>MouserListTable12[[#This Row],['# Initial]]</f>
        <v>0</v>
      </c>
      <c r="D317" s="103" t="str">
        <f>MouserListTable12[[#This Row],[Name]]</f>
        <v>Heatsink Compound</v>
      </c>
      <c r="E317" s="103">
        <f>MouserListTable12[[#This Row],[Price (USD)]]</f>
        <v>1.95</v>
      </c>
      <c r="F317" s="103">
        <f>MouserListTable12[[#This Row],[Total Price]]</f>
        <v>0</v>
      </c>
    </row>
    <row r="318" spans="1:6" s="144" customFormat="1" x14ac:dyDescent="0.3">
      <c r="A318" s="193">
        <f>IF(MouserListTable1215[[#This Row],[Qty.]]&gt;0,IF($A317="List #",1,$A317+1),IF($A317="List #",0,$A317))</f>
        <v>67</v>
      </c>
      <c r="B318" s="103" t="str">
        <f>MouserListTable12[[#This Row],[SKU]]</f>
        <v>474-PRT-09599</v>
      </c>
      <c r="C318" s="103">
        <f>MouserListTable12[[#This Row],['# Initial]]</f>
        <v>2</v>
      </c>
      <c r="D318" s="103" t="str">
        <f>MouserListTable12[[#This Row],[Name]]</f>
        <v>Heatsink Compound</v>
      </c>
      <c r="E318" s="179">
        <f>MouserListTable12[[#This Row],[Price (USD)]]</f>
        <v>1.95</v>
      </c>
      <c r="F318" s="179">
        <f>MouserListTable12[[#This Row],[Total Price]]</f>
        <v>3.9</v>
      </c>
    </row>
    <row r="319" spans="1:6" s="144" customFormat="1" x14ac:dyDescent="0.3">
      <c r="A319" s="193">
        <f>IF(MouserListTable1215[[#This Row],[Qty.]]&gt;0,IF($A318="List #",1,$A318+1),IF($A318="List #",0,$A318))</f>
        <v>68</v>
      </c>
      <c r="B319" s="103" t="str">
        <f>MouserListTable12[[#This Row],[SKU]]</f>
        <v>474-PRT-09771</v>
      </c>
      <c r="C319" s="103">
        <f>MouserListTable12[[#This Row],['# Initial]]</f>
        <v>3</v>
      </c>
      <c r="D319" s="103" t="str">
        <f>MouserListTable12[[#This Row],[Name]]</f>
        <v>Theragrip Thermal Tape</v>
      </c>
      <c r="E319" s="179">
        <f>MouserListTable12[[#This Row],[Price (USD)]]</f>
        <v>3.95</v>
      </c>
      <c r="F319" s="179">
        <f>MouserListTable12[[#This Row],[Total Price]]</f>
        <v>11.850000000000001</v>
      </c>
    </row>
    <row r="320" spans="1:6" s="144" customFormat="1" x14ac:dyDescent="0.3">
      <c r="A320" s="193">
        <f>IF(MouserListTable1215[[#This Row],[Qty.]]&gt;0,IF($A319="List #",1,$A319+1),IF($A319="List #",0,$A319))</f>
        <v>69</v>
      </c>
      <c r="B320" s="103" t="str">
        <f>MouserListTable12[[#This Row],[SKU]]</f>
        <v>474-PRT-11796</v>
      </c>
      <c r="C320" s="103">
        <f>MouserListTable12[[#This Row],['# Initial]]</f>
        <v>5</v>
      </c>
      <c r="D320" s="103" t="str">
        <f>MouserListTable12[[#This Row],[Name]]</f>
        <v>Standoff - Nylon (4-40; 3/4\"; 10 pack)</v>
      </c>
      <c r="E320" s="179">
        <f>MouserListTable12[[#This Row],[Price (USD)]]</f>
        <v>3.95</v>
      </c>
      <c r="F320" s="179">
        <f>MouserListTable12[[#This Row],[Total Price]]</f>
        <v>19.75</v>
      </c>
    </row>
    <row r="321" spans="1:6" s="144" customFormat="1" x14ac:dyDescent="0.3">
      <c r="A321" s="193">
        <f>IF(MouserListTable1215[[#This Row],[Qty.]]&gt;0,IF($A320="List #",1,$A320+1),IF($A320="List #",0,$A320))</f>
        <v>70</v>
      </c>
      <c r="B321" s="103" t="str">
        <f>MouserListTable12[[#This Row],[SKU]]</f>
        <v>474-PRT-10927</v>
      </c>
      <c r="C321" s="103">
        <f>MouserListTable12[[#This Row],['# Initial]]</f>
        <v>5</v>
      </c>
      <c r="D321" s="103" t="str">
        <f>MouserListTable12[[#This Row],[Name]]</f>
        <v>Standoff - Nylon (4-40; 3/8\"; 10 pack)</v>
      </c>
      <c r="E321" s="179">
        <f>MouserListTable12[[#This Row],[Price (USD)]]</f>
        <v>2.95</v>
      </c>
      <c r="F321" s="179">
        <f>MouserListTable12[[#This Row],[Total Price]]</f>
        <v>14.75</v>
      </c>
    </row>
    <row r="322" spans="1:6" s="144" customFormat="1" x14ac:dyDescent="0.3">
      <c r="A322" s="193">
        <f>IF(MouserListTable1215[[#This Row],[Qty.]]&gt;0,IF($A321="List #",1,$A321+1),IF($A321="List #",0,$A321))</f>
        <v>71</v>
      </c>
      <c r="B322" s="103" t="str">
        <f>MouserListTable12[[#This Row],[SKU]]</f>
        <v>474-PRT-10453</v>
      </c>
      <c r="C322" s="103">
        <f>MouserListTable12[[#This Row],['# Initial]]</f>
        <v>5</v>
      </c>
      <c r="D322" s="103" t="str">
        <f>MouserListTable12[[#This Row],[Name]]</f>
        <v>Screw - Phillips Head (1/4\", 4-40, 10 pack)</v>
      </c>
      <c r="E322" s="179">
        <f>MouserListTable12[[#This Row],[Price (USD)]]</f>
        <v>1.5</v>
      </c>
      <c r="F322" s="179">
        <f>MouserListTable12[[#This Row],[Total Price]]</f>
        <v>7.5</v>
      </c>
    </row>
    <row r="323" spans="1:6" s="144" customFormat="1" x14ac:dyDescent="0.3">
      <c r="A323" s="193">
        <f>IF(MouserListTable1215[[#This Row],[Qty.]]&gt;0,IF($A322="List #",1,$A322+1),IF($A322="List #",0,$A322))</f>
        <v>72</v>
      </c>
      <c r="B323" s="103" t="str">
        <f>MouserListTable12[[#This Row],[SKU]]</f>
        <v>474-PRT-10738</v>
      </c>
      <c r="C323" s="103">
        <f>MouserListTable12[[#This Row],['# Initial]]</f>
        <v>5</v>
      </c>
      <c r="D323" s="103" t="str">
        <f>MouserListTable12[[#This Row],[Name]]</f>
        <v>Standoff - Metal (1\", 4-40, 10 pack)</v>
      </c>
      <c r="E323" s="179">
        <f>MouserListTable12[[#This Row],[Price (USD)]]</f>
        <v>3.95</v>
      </c>
      <c r="F323" s="179">
        <f>MouserListTable12[[#This Row],[Total Price]]</f>
        <v>19.75</v>
      </c>
    </row>
    <row r="324" spans="1:6" s="144" customFormat="1" x14ac:dyDescent="0.3">
      <c r="A324" s="193">
        <f>IF(MouserListTable1215[[#This Row],[Qty.]]&gt;0,IF($A323="List #",1,$A323+1),IF($A323="List #",0,$A323))</f>
        <v>73</v>
      </c>
      <c r="B324" s="103" t="str">
        <f>MouserListTable12[[#This Row],[SKU]]</f>
        <v>474-PRT-10450</v>
      </c>
      <c r="C324" s="103">
        <f>MouserListTable12[[#This Row],['# Initial]]</f>
        <v>5</v>
      </c>
      <c r="D324" s="103" t="str">
        <f>MouserListTable12[[#This Row],[Name]]</f>
        <v>Screw - Phillips Head (1\", 4-40, 10 pack)</v>
      </c>
      <c r="E324" s="179">
        <f>MouserListTable12[[#This Row],[Price (USD)]]</f>
        <v>1.5</v>
      </c>
      <c r="F324" s="179">
        <f>MouserListTable12[[#This Row],[Total Price]]</f>
        <v>7.5</v>
      </c>
    </row>
    <row r="325" spans="1:6" s="144" customFormat="1" x14ac:dyDescent="0.3">
      <c r="A325" s="193">
        <f>IF(MouserListTable1215[[#This Row],[Qty.]]&gt;0,IF($A324="List #",1,$A324+1),IF($A324="List #",0,$A324))</f>
        <v>74</v>
      </c>
      <c r="B325" s="103" t="str">
        <f>MouserListTable12[[#This Row],[SKU]]</f>
        <v>474-PRT-10463</v>
      </c>
      <c r="C325" s="103">
        <f>MouserListTable12[[#This Row],['# Initial]]</f>
        <v>20</v>
      </c>
      <c r="D325" s="103" t="str">
        <f>MouserListTable12[[#This Row],[Name]]</f>
        <v>Standoff - Metal Hex (4-40; 3/8\"; 10 pack)</v>
      </c>
      <c r="E325" s="179">
        <f>MouserListTable12[[#This Row],[Price (USD)]]</f>
        <v>3.95</v>
      </c>
      <c r="F325" s="179">
        <f>MouserListTable12[[#This Row],[Total Price]]</f>
        <v>79</v>
      </c>
    </row>
    <row r="326" spans="1:6" s="144" customFormat="1" x14ac:dyDescent="0.3">
      <c r="A326" s="193">
        <f>IF(MouserListTable1215[[#This Row],[Qty.]]&gt;0,IF($A325="List #",1,$A325+1),IF($A325="List #",0,$A325))</f>
        <v>75</v>
      </c>
      <c r="B326" s="103" t="str">
        <f>MouserListTable12[[#This Row],[SKU]]</f>
        <v>474-PRT-10561</v>
      </c>
      <c r="C326" s="103">
        <f>MouserListTable12[[#This Row],['# Initial]]</f>
        <v>1</v>
      </c>
      <c r="D326" s="103" t="str">
        <f>MouserListTable12[[#This Row],[Name]]</f>
        <v>Copper Tape - 5mm (50ft)</v>
      </c>
      <c r="E326" s="179">
        <f>MouserListTable12[[#This Row],[Price (USD)]]</f>
        <v>2.95</v>
      </c>
      <c r="F326" s="179">
        <f>MouserListTable12[[#This Row],[Total Price]]</f>
        <v>2.95</v>
      </c>
    </row>
    <row r="327" spans="1:6" s="146" customFormat="1" x14ac:dyDescent="0.3">
      <c r="A327" s="193">
        <f>IF(MouserListTable1215[[#This Row],[Qty.]]&gt;0,IF($A326="List #",1,$A326+1),IF($A326="List #",0,$A326))</f>
        <v>76</v>
      </c>
      <c r="B327" s="103" t="str">
        <f>MouserListTable12[[#This Row],[SKU]]</f>
        <v>474-PRT-13827</v>
      </c>
      <c r="C327" s="103">
        <f>MouserListTable12[[#This Row],['# Initial]]</f>
        <v>1</v>
      </c>
      <c r="D327" s="103" t="str">
        <f>MouserListTable12[[#This Row],[Name]]</f>
        <v>Copper Tape - Conductive Adhesive, 5mm (50ft)</v>
      </c>
      <c r="E327" s="179">
        <f>MouserListTable12[[#This Row],[Price (USD)]]</f>
        <v>3.95</v>
      </c>
      <c r="F327" s="179">
        <f>MouserListTable12[[#This Row],[Total Price]]</f>
        <v>3.95</v>
      </c>
    </row>
    <row r="328" spans="1:6" s="146" customFormat="1" x14ac:dyDescent="0.3">
      <c r="A328" s="193">
        <f>IF(MouserListTable1215[[#This Row],[Qty.]]&gt;0,IF($A327="List #",1,$A327+1),IF($A327="List #",0,$A327))</f>
        <v>77</v>
      </c>
      <c r="B328" s="103" t="str">
        <f>MouserListTable12[[#This Row],[SKU]]</f>
        <v>474-BOB-10467</v>
      </c>
      <c r="C328" s="103">
        <f>MouserListTable12[[#This Row],['# Initial]]</f>
        <v>5</v>
      </c>
      <c r="D328" s="103" t="str">
        <f>MouserListTable12[[#This Row],[Name]]</f>
        <v>LED Tactile Button Breakout</v>
      </c>
      <c r="E328" s="179">
        <f>MouserListTable12[[#This Row],[Price (USD)]]</f>
        <v>1.5</v>
      </c>
      <c r="F328" s="179">
        <f>MouserListTable12[[#This Row],[Total Price]]</f>
        <v>7.5</v>
      </c>
    </row>
    <row r="329" spans="1:6" s="146" customFormat="1" x14ac:dyDescent="0.3">
      <c r="A329" s="193">
        <f>IF(MouserListTable1215[[#This Row],[Qty.]]&gt;0,IF($A328="List #",1,$A328+1),IF($A328="List #",0,$A328))</f>
        <v>78</v>
      </c>
      <c r="B329" s="103" t="str">
        <f>MouserListTable12[[#This Row],[SKU]]</f>
        <v>474-COM-10443</v>
      </c>
      <c r="C329" s="103">
        <f>MouserListTable12[[#This Row],['# Initial]]</f>
        <v>5</v>
      </c>
      <c r="D329" s="103" t="str">
        <f>MouserListTable12[[#This Row],[Name]]</f>
        <v>LED Tactile Button - Blue</v>
      </c>
      <c r="E329" s="179">
        <f>MouserListTable12[[#This Row],[Price (USD)]]</f>
        <v>1.95</v>
      </c>
      <c r="F329" s="179">
        <f>MouserListTable12[[#This Row],[Total Price]]</f>
        <v>9.75</v>
      </c>
    </row>
    <row r="330" spans="1:6" s="146" customFormat="1" x14ac:dyDescent="0.3">
      <c r="A330" s="193">
        <f>IF(MouserListTable1215[[#This Row],[Qty.]]&gt;0,IF($A329="List #",1,$A329+1),IF($A329="List #",0,$A329))</f>
        <v>79</v>
      </c>
      <c r="B330" s="103" t="str">
        <f>MouserListTable12[[#This Row],[SKU]]</f>
        <v>474-COM-10440</v>
      </c>
      <c r="C330" s="103">
        <f>MouserListTable12[[#This Row],['# Initial]]</f>
        <v>5</v>
      </c>
      <c r="D330" s="103" t="str">
        <f>MouserListTable12[[#This Row],[Name]]</f>
        <v>LED Tactile Button - Green</v>
      </c>
      <c r="E330" s="179">
        <f>MouserListTable12[[#This Row],[Price (USD)]]</f>
        <v>1.95</v>
      </c>
      <c r="F330" s="179">
        <f>MouserListTable12[[#This Row],[Total Price]]</f>
        <v>9.75</v>
      </c>
    </row>
    <row r="331" spans="1:6" s="146" customFormat="1" x14ac:dyDescent="0.3">
      <c r="A331" s="193">
        <f>IF(MouserListTable1215[[#This Row],[Qty.]]&gt;0,IF($A330="List #",1,$A330+1),IF($A330="List #",0,$A330))</f>
        <v>80</v>
      </c>
      <c r="B331" s="103" t="str">
        <f>MouserListTable12[[#This Row],[SKU]]</f>
        <v>474-COM-10442</v>
      </c>
      <c r="C331" s="103">
        <f>MouserListTable12[[#This Row],['# Initial]]</f>
        <v>5</v>
      </c>
      <c r="D331" s="103" t="str">
        <f>MouserListTable12[[#This Row],[Name]]</f>
        <v>LED Tactile Button - Red</v>
      </c>
      <c r="E331" s="179">
        <f>MouserListTable12[[#This Row],[Price (USD)]]</f>
        <v>1.95</v>
      </c>
      <c r="F331" s="179">
        <f>MouserListTable12[[#This Row],[Total Price]]</f>
        <v>9.75</v>
      </c>
    </row>
    <row r="332" spans="1:6" s="146" customFormat="1" hidden="1" x14ac:dyDescent="0.3">
      <c r="A332" s="103">
        <f>IF(MouserListTable1215[[#This Row],[Qty.]]&gt;0,IF($A331="List #",1,$A331+1),IF($A331="List #",0,$A331))</f>
        <v>80</v>
      </c>
      <c r="B332" s="103" t="str">
        <f>MouserListTable12[[#This Row],[SKU]]</f>
        <v>474-COM-10441</v>
      </c>
      <c r="C332" s="103">
        <f>MouserListTable12[[#This Row],['# Initial]]</f>
        <v>0</v>
      </c>
      <c r="D332" s="103" t="str">
        <f>MouserListTable12[[#This Row],[Name]]</f>
        <v>LED Tactile Button - Orange</v>
      </c>
      <c r="E332" s="103">
        <f>MouserListTable12[[#This Row],[Price (USD)]]</f>
        <v>1.95</v>
      </c>
      <c r="F332" s="103">
        <f>MouserListTable12[[#This Row],[Total Price]]</f>
        <v>0</v>
      </c>
    </row>
    <row r="333" spans="1:6" s="144" customFormat="1" hidden="1" x14ac:dyDescent="0.3">
      <c r="A333" s="103">
        <f>IF(MouserListTable1215[[#This Row],[Qty.]]&gt;0,IF($A332="List #",1,$A332+1),IF($A332="List #",0,$A332))</f>
        <v>80</v>
      </c>
      <c r="B333" s="103" t="str">
        <f>MouserListTable12[[#This Row],[SKU]]</f>
        <v>474-COM-10439</v>
      </c>
      <c r="C333" s="103">
        <f>MouserListTable12[[#This Row],['# Initial]]</f>
        <v>0</v>
      </c>
      <c r="D333" s="103" t="str">
        <f>MouserListTable12[[#This Row],[Name]]</f>
        <v>LED Tactile Button- White</v>
      </c>
      <c r="E333" s="103">
        <f>MouserListTable12[[#This Row],[Price (USD)]]</f>
        <v>1.95</v>
      </c>
      <c r="F333" s="103">
        <f>MouserListTable12[[#This Row],[Total Price]]</f>
        <v>0</v>
      </c>
    </row>
    <row r="334" spans="1:6" s="144" customFormat="1" hidden="1" x14ac:dyDescent="0.3">
      <c r="A334" s="103">
        <f>IF(MouserListTable1215[[#This Row],[Qty.]]&gt;0,IF($A333="List #",1,$A333+1),IF($A333="List #",0,$A333))</f>
        <v>80</v>
      </c>
      <c r="B334" s="103" t="str">
        <f>MouserListTable12[[#This Row],[SKU]]</f>
        <v>485-1119</v>
      </c>
      <c r="C334" s="103">
        <f>MouserListTable12[[#This Row],['# Initial]]</f>
        <v>0</v>
      </c>
      <c r="D334" s="103" t="str">
        <f>MouserListTable12[[#This Row],[Name]]</f>
        <v xml:space="preserve">Tactile Switch Buttons (12mm square, 6mm tall) x 10 pack </v>
      </c>
      <c r="E334" s="103">
        <f>MouserListTable12[[#This Row],[Price (USD)]]</f>
        <v>2.5</v>
      </c>
      <c r="F334" s="103">
        <f>MouserListTable12[[#This Row],[Total Price]]</f>
        <v>0</v>
      </c>
    </row>
    <row r="335" spans="1:6" s="144" customFormat="1" x14ac:dyDescent="0.3">
      <c r="A335" s="193">
        <f>IF(MouserListTable1215[[#This Row],[Qty.]]&gt;0,IF($A334="List #",1,$A334+1),IF($A334="List #",0,$A334))</f>
        <v>81</v>
      </c>
      <c r="B335" s="103" t="str">
        <f>MouserListTable12[[#This Row],[SKU]]</f>
        <v>474-COM-00097</v>
      </c>
      <c r="C335" s="103">
        <f>MouserListTable12[[#This Row],['# Initial]]</f>
        <v>5</v>
      </c>
      <c r="D335" s="103" t="str">
        <f>MouserListTable12[[#This Row],[Name]]</f>
        <v>Mini Pushbutton Switch</v>
      </c>
      <c r="E335" s="179">
        <f>MouserListTable12[[#This Row],[Price (USD)]]</f>
        <v>0.35</v>
      </c>
      <c r="F335" s="179">
        <f>MouserListTable12[[#This Row],[Total Price]]</f>
        <v>1.75</v>
      </c>
    </row>
    <row r="336" spans="1:6" s="144" customFormat="1" x14ac:dyDescent="0.3">
      <c r="A336" s="193">
        <f>IF(MouserListTable1215[[#This Row],[Qty.]]&gt;0,IF($A335="List #",1,$A335+1),IF($A335="List #",0,$A335))</f>
        <v>82</v>
      </c>
      <c r="B336" s="103" t="str">
        <f>MouserListTable12[[#This Row],[SKU]]</f>
        <v>474-COM-08605</v>
      </c>
      <c r="C336" s="103">
        <f>MouserListTable12[[#This Row],['# Initial]]</f>
        <v>5</v>
      </c>
      <c r="D336" s="103" t="str">
        <f>MouserListTable12[[#This Row],[Name]]</f>
        <v>Mini Pushbutton Switch - Tall</v>
      </c>
      <c r="E336" s="179">
        <f>MouserListTable12[[#This Row],[Price (USD)]]</f>
        <v>0.5</v>
      </c>
      <c r="F336" s="179">
        <f>MouserListTable12[[#This Row],[Total Price]]</f>
        <v>2.5</v>
      </c>
    </row>
    <row r="337" spans="1:6" s="144" customFormat="1" x14ac:dyDescent="0.3">
      <c r="A337" s="193">
        <f>IF(MouserListTable1215[[#This Row],[Qty.]]&gt;0,IF($A336="List #",1,$A336+1),IF($A336="List #",0,$A336))</f>
        <v>83</v>
      </c>
      <c r="B337" s="103" t="str">
        <f>MouserListTable12[[#This Row],[SKU]]</f>
        <v>474-COM-09190</v>
      </c>
      <c r="C337" s="103">
        <f>MouserListTable12[[#This Row],['# Initial]]</f>
        <v>5</v>
      </c>
      <c r="D337" s="103" t="str">
        <f>MouserListTable12[[#This Row],[Name]]</f>
        <v>Momentary Pushbutton Switch - 12mm Square</v>
      </c>
      <c r="E337" s="179">
        <f>MouserListTable12[[#This Row],[Price (USD)]]</f>
        <v>0.5</v>
      </c>
      <c r="F337" s="179">
        <f>MouserListTable12[[#This Row],[Total Price]]</f>
        <v>2.5</v>
      </c>
    </row>
    <row r="338" spans="1:6" s="144" customFormat="1" hidden="1" x14ac:dyDescent="0.3">
      <c r="A338" s="103">
        <f>IF(MouserListTable1215[[#This Row],[Qty.]]&gt;0,IF($A337="List #",1,$A337+1),IF($A337="List #",0,$A337))</f>
        <v>83</v>
      </c>
      <c r="B338" s="103" t="str">
        <f>MouserListTable12[[#This Row],[SKU]]</f>
        <v>485-3105</v>
      </c>
      <c r="C338" s="103">
        <f>MouserListTable12[[#This Row],['# Initial]]</f>
        <v>0</v>
      </c>
      <c r="D338" s="103" t="str">
        <f>MouserListTable12[[#This Row],[Name]]</f>
        <v xml:space="preserve">Mini Illuminated Momentary Pushbutton - Blue Power Symbol </v>
      </c>
      <c r="E338" s="103">
        <f>MouserListTable12[[#This Row],[Price (USD)]]</f>
        <v>1.95</v>
      </c>
      <c r="F338" s="103">
        <f>MouserListTable12[[#This Row],[Total Price]]</f>
        <v>0</v>
      </c>
    </row>
    <row r="339" spans="1:6" s="144" customFormat="1" hidden="1" x14ac:dyDescent="0.3">
      <c r="A339" s="103">
        <f>IF(MouserListTable1215[[#This Row],[Qty.]]&gt;0,IF($A338="List #",1,$A338+1),IF($A338="List #",0,$A338))</f>
        <v>83</v>
      </c>
      <c r="B339" s="103" t="str">
        <f>MouserListTable12[[#This Row],[SKU]]</f>
        <v>485-3104</v>
      </c>
      <c r="C339" s="103">
        <f>MouserListTable12[[#This Row],['# Initial]]</f>
        <v>0</v>
      </c>
      <c r="D339" s="103" t="str">
        <f>MouserListTable12[[#This Row],[Name]]</f>
        <v>Mini Illuminated Momentary Pushbutton - Red Power Symbol</v>
      </c>
      <c r="E339" s="103">
        <f>MouserListTable12[[#This Row],[Price (USD)]]</f>
        <v>1.95</v>
      </c>
      <c r="F339" s="103">
        <f>MouserListTable12[[#This Row],[Total Price]]</f>
        <v>0</v>
      </c>
    </row>
    <row r="340" spans="1:6" s="146" customFormat="1" x14ac:dyDescent="0.3">
      <c r="A340" s="193">
        <f>IF(MouserListTable1215[[#This Row],[Qty.]]&gt;0,IF($A339="List #",1,$A339+1),IF($A339="List #",0,$A339))</f>
        <v>84</v>
      </c>
      <c r="B340" s="103" t="str">
        <f>MouserListTable12[[#This Row],[SKU]]</f>
        <v>474-COM-10791</v>
      </c>
      <c r="C340" s="103">
        <f>MouserListTable12[[#This Row],['# Initial]]</f>
        <v>5</v>
      </c>
      <c r="D340" s="103" t="str">
        <f>MouserListTable12[[#This Row],[Name]]</f>
        <v>Right Angle Tactile Button</v>
      </c>
      <c r="E340" s="179">
        <f>MouserListTable12[[#This Row],[Price (USD)]]</f>
        <v>0.5</v>
      </c>
      <c r="F340" s="179">
        <f>MouserListTable12[[#This Row],[Total Price]]</f>
        <v>2.5</v>
      </c>
    </row>
    <row r="341" spans="1:6" s="146" customFormat="1" x14ac:dyDescent="0.3">
      <c r="A341" s="193">
        <f>IF(MouserListTable1215[[#This Row],[Qty.]]&gt;0,IF($A340="List #",1,$A340+1),IF($A340="List #",0,$A340))</f>
        <v>85</v>
      </c>
      <c r="B341" s="103" t="str">
        <f>MouserListTable12[[#This Row],[SKU]]</f>
        <v>474-COM-08837</v>
      </c>
      <c r="C341" s="103">
        <f>MouserListTable12[[#This Row],['# Initial]]</f>
        <v>5</v>
      </c>
      <c r="D341" s="103" t="str">
        <f>MouserListTable12[[#This Row],[Name]]</f>
        <v>Rocker Switch - SPST (right-angle)</v>
      </c>
      <c r="E341" s="179">
        <f>MouserListTable12[[#This Row],[Price (USD)]]</f>
        <v>0.95</v>
      </c>
      <c r="F341" s="179">
        <f>MouserListTable12[[#This Row],[Total Price]]</f>
        <v>4.75</v>
      </c>
    </row>
    <row r="342" spans="1:6" s="146" customFormat="1" x14ac:dyDescent="0.3">
      <c r="A342" s="193">
        <f>IF(MouserListTable1215[[#This Row],[Qty.]]&gt;0,IF($A341="List #",1,$A341+1),IF($A341="List #",0,$A341))</f>
        <v>86</v>
      </c>
      <c r="B342" s="103" t="str">
        <f>MouserListTable12[[#This Row],[SKU]]</f>
        <v>474-COM-00102</v>
      </c>
      <c r="C342" s="103">
        <f>MouserListTable12[[#This Row],['# Initial]]</f>
        <v>5</v>
      </c>
      <c r="D342" s="103" t="str">
        <f>MouserListTable12[[#This Row],[Name]]</f>
        <v xml:space="preserve">Mini Power Switch - SPDT </v>
      </c>
      <c r="E342" s="179">
        <f>MouserListTable12[[#This Row],[Price (USD)]]</f>
        <v>1.5</v>
      </c>
      <c r="F342" s="179">
        <f>MouserListTable12[[#This Row],[Total Price]]</f>
        <v>7.5</v>
      </c>
    </row>
    <row r="343" spans="1:6" s="146" customFormat="1" hidden="1" x14ac:dyDescent="0.3">
      <c r="A343" s="103">
        <f>IF(MouserListTable1215[[#This Row],[Qty.]]&gt;0,IF($A342="List #",1,$A342+1),IF($A342="List #",0,$A342))</f>
        <v>86</v>
      </c>
      <c r="B343" s="103" t="str">
        <f>MouserListTable12[[#This Row],[SKU]]</f>
        <v>474-COM-09609</v>
      </c>
      <c r="C343" s="103">
        <f>MouserListTable12[[#This Row],['# Initial]]</f>
        <v>0</v>
      </c>
      <c r="D343" s="103" t="str">
        <f>MouserListTable12[[#This Row],[Name]]</f>
        <v>SPDT Slide Switch</v>
      </c>
      <c r="E343" s="103">
        <f>MouserListTable12[[#This Row],[Price (USD)]]</f>
        <v>0.75</v>
      </c>
      <c r="F343" s="103">
        <f>MouserListTable12[[#This Row],[Total Price]]</f>
        <v>0</v>
      </c>
    </row>
    <row r="344" spans="1:6" s="146" customFormat="1" hidden="1" x14ac:dyDescent="0.3">
      <c r="A344" s="103">
        <f>IF(MouserListTable1215[[#This Row],[Qty.]]&gt;0,IF($A343="List #",1,$A343+1),IF($A343="List #",0,$A343))</f>
        <v>86</v>
      </c>
      <c r="B344" s="103" t="str">
        <f>MouserListTable12[[#This Row],[SKU]]</f>
        <v>474-COM-13834</v>
      </c>
      <c r="C344" s="103">
        <f>MouserListTable12[[#This Row],['# Initial]]</f>
        <v>0</v>
      </c>
      <c r="D344" s="103" t="str">
        <f>MouserListTable12[[#This Row],[Name]]</f>
        <v>Cherry MX Switch</v>
      </c>
      <c r="E344" s="103">
        <f>MouserListTable12[[#This Row],[Price (USD)]]</f>
        <v>0.95</v>
      </c>
      <c r="F344" s="103">
        <f>MouserListTable12[[#This Row],[Total Price]]</f>
        <v>0</v>
      </c>
    </row>
    <row r="345" spans="1:6" s="144" customFormat="1" hidden="1" x14ac:dyDescent="0.3">
      <c r="A345" s="103">
        <f>IF(MouserListTable1215[[#This Row],[Qty.]]&gt;0,IF($A344="List #",1,$A344+1),IF($A344="List #",0,$A344))</f>
        <v>86</v>
      </c>
      <c r="B345" s="103" t="str">
        <f>MouserListTable12[[#This Row],[SKU]]</f>
        <v>474-COM-10063</v>
      </c>
      <c r="C345" s="103">
        <f>MouserListTable12[[#This Row],['# Initial]]</f>
        <v>0</v>
      </c>
      <c r="D345" s="103" t="str">
        <f>MouserListTable12[[#This Row],[Name]]</f>
        <v>5-way Tactile Switch</v>
      </c>
      <c r="E345" s="103">
        <f>MouserListTable12[[#This Row],[Price (USD)]]</f>
        <v>1.95</v>
      </c>
      <c r="F345" s="103">
        <f>MouserListTable12[[#This Row],[Total Price]]</f>
        <v>0</v>
      </c>
    </row>
    <row r="346" spans="1:6" s="144" customFormat="1" hidden="1" x14ac:dyDescent="0.3">
      <c r="A346" s="103">
        <f>IF(MouserListTable1215[[#This Row],[Qty.]]&gt;0,IF($A345="List #",1,$A345+1),IF($A345="List #",0,$A345))</f>
        <v>86</v>
      </c>
      <c r="B346" s="103" t="str">
        <f>MouserListTable12[[#This Row],[SKU]]</f>
        <v>474-COM-09426</v>
      </c>
      <c r="C346" s="103">
        <f>MouserListTable12[[#This Row],['# Initial]]</f>
        <v>0</v>
      </c>
      <c r="D346" s="103" t="str">
        <f>MouserListTable12[[#This Row],[Name]]</f>
        <v>Thumb Slide Joystick</v>
      </c>
      <c r="E346" s="103">
        <f>MouserListTable12[[#This Row],[Price (USD)]]</f>
        <v>3.5</v>
      </c>
      <c r="F346" s="103">
        <f>MouserListTable12[[#This Row],[Total Price]]</f>
        <v>0</v>
      </c>
    </row>
    <row r="347" spans="1:6" s="144" customFormat="1" hidden="1" x14ac:dyDescent="0.3">
      <c r="A347" s="103">
        <f>IF(MouserListTable1215[[#This Row],[Qty.]]&gt;0,IF($A346="List #",1,$A346+1),IF($A346="List #",0,$A346))</f>
        <v>86</v>
      </c>
      <c r="B347" s="103" t="str">
        <f>MouserListTable12[[#This Row],[SKU]]</f>
        <v>474-COM-10002</v>
      </c>
      <c r="C347" s="103">
        <f>MouserListTable12[[#This Row],['# Initial]]</f>
        <v>0</v>
      </c>
      <c r="D347" s="103" t="str">
        <f>MouserListTable12[[#This Row],[Name]]</f>
        <v>Black Metal Knob - 14x24mm</v>
      </c>
      <c r="E347" s="103">
        <f>MouserListTable12[[#This Row],[Price (USD)]]</f>
        <v>1.5</v>
      </c>
      <c r="F347" s="103">
        <f>MouserListTable12[[#This Row],[Total Price]]</f>
        <v>0</v>
      </c>
    </row>
    <row r="348" spans="1:6" s="146" customFormat="1" hidden="1" x14ac:dyDescent="0.3">
      <c r="A348" s="103">
        <f>IF(MouserListTable1215[[#This Row],[Qty.]]&gt;0,IF($A347="List #",1,$A347+1),IF($A347="List #",0,$A347))</f>
        <v>86</v>
      </c>
      <c r="B348" s="103" t="str">
        <f>MouserListTable12[[#This Row],[SKU]]</f>
        <v>474-COM-10001</v>
      </c>
      <c r="C348" s="103">
        <f>MouserListTable12[[#This Row],['# Initial]]</f>
        <v>0</v>
      </c>
      <c r="D348" s="103" t="str">
        <f>MouserListTable12[[#This Row],[Name]]</f>
        <v>Silver Metal Knob - 14x24mm</v>
      </c>
      <c r="E348" s="103">
        <f>MouserListTable12[[#This Row],[Price (USD)]]</f>
        <v>1.5</v>
      </c>
      <c r="F348" s="103">
        <f>MouserListTable12[[#This Row],[Total Price]]</f>
        <v>0</v>
      </c>
    </row>
    <row r="349" spans="1:6" s="146" customFormat="1" x14ac:dyDescent="0.3">
      <c r="A349" s="193">
        <f>IF(MouserListTable1215[[#This Row],[Qty.]]&gt;0,IF($A348="List #",1,$A348+1),IF($A348="List #",0,$A348))</f>
        <v>87</v>
      </c>
      <c r="B349" s="103" t="str">
        <f>MouserListTable12[[#This Row],[SKU]]</f>
        <v>485-2047</v>
      </c>
      <c r="C349" s="103">
        <f>MouserListTable12[[#This Row],['# Initial]]</f>
        <v>10</v>
      </c>
      <c r="D349" s="103" t="str">
        <f>MouserListTable12[[#This Row],[Name]]</f>
        <v xml:space="preserve">Potentiometer Knob - Soft Touch T18 - White </v>
      </c>
      <c r="E349" s="179">
        <f>MouserListTable12[[#This Row],[Price (USD)]]</f>
        <v>0.5</v>
      </c>
      <c r="F349" s="179">
        <f>MouserListTable12[[#This Row],[Total Price]]</f>
        <v>5</v>
      </c>
    </row>
    <row r="350" spans="1:6" s="144" customFormat="1" hidden="1" x14ac:dyDescent="0.3">
      <c r="A350" s="103">
        <f>IF(MouserListTable1215[[#This Row],[Qty.]]&gt;0,IF($A349="List #",1,$A349+1),IF($A349="List #",0,$A349))</f>
        <v>87</v>
      </c>
      <c r="B350" s="103" t="str">
        <f>MouserListTable12[[#This Row],[SKU]]</f>
        <v>485-2055</v>
      </c>
      <c r="C350" s="103">
        <f>MouserListTable12[[#This Row],['# Initial]]</f>
        <v>0</v>
      </c>
      <c r="D350" s="103" t="str">
        <f>MouserListTable12[[#This Row],[Name]]</f>
        <v xml:space="preserve">Scrubber Knob for Rotary Encoder - 35mm </v>
      </c>
      <c r="E350" s="103">
        <f>MouserListTable12[[#This Row],[Price (USD)]]</f>
        <v>0.95</v>
      </c>
      <c r="F350" s="103">
        <f>MouserListTable12[[#This Row],[Total Price]]</f>
        <v>0</v>
      </c>
    </row>
    <row r="351" spans="1:6" s="144" customFormat="1" hidden="1" x14ac:dyDescent="0.3">
      <c r="A351" s="103">
        <f>IF(MouserListTable1215[[#This Row],[Qty.]]&gt;0,IF($A350="List #",1,$A350+1),IF($A350="List #",0,$A350))</f>
        <v>87</v>
      </c>
      <c r="B351" s="103" t="str">
        <f>MouserListTable12[[#This Row],[SKU]]</f>
        <v>485-2058</v>
      </c>
      <c r="C351" s="103">
        <f>MouserListTable12[[#This Row],['# Initial]]</f>
        <v>0</v>
      </c>
      <c r="D351" s="103" t="str">
        <f>MouserListTable12[[#This Row],[Name]]</f>
        <v xml:space="preserve">Slim Metal Potentiometer Knob - 10mm Diameter x 10mm - T18 </v>
      </c>
      <c r="E351" s="103">
        <f>MouserListTable12[[#This Row],[Price (USD)]]</f>
        <v>0.95</v>
      </c>
      <c r="F351" s="103">
        <f>MouserListTable12[[#This Row],[Total Price]]</f>
        <v>0</v>
      </c>
    </row>
    <row r="352" spans="1:6" s="144" customFormat="1" hidden="1" x14ac:dyDescent="0.3">
      <c r="A352" s="103">
        <f>IF(MouserListTable1215[[#This Row],[Qty.]]&gt;0,IF($A351="List #",1,$A351+1),IF($A351="List #",0,$A351))</f>
        <v>87</v>
      </c>
      <c r="B352" s="103" t="str">
        <f>MouserListTable12[[#This Row],[SKU]]</f>
        <v>485-2056</v>
      </c>
      <c r="C352" s="103">
        <f>MouserListTable12[[#This Row],['# Initial]]</f>
        <v>0</v>
      </c>
      <c r="D352" s="103" t="str">
        <f>MouserListTable12[[#This Row],[Name]]</f>
        <v xml:space="preserve">Solid Machined Metal Knob - 1" Diameter </v>
      </c>
      <c r="E352" s="103">
        <f>MouserListTable12[[#This Row],[Price (USD)]]</f>
        <v>3.95</v>
      </c>
      <c r="F352" s="103">
        <f>MouserListTable12[[#This Row],[Total Price]]</f>
        <v>0</v>
      </c>
    </row>
    <row r="353" spans="1:6" s="144" customFormat="1" hidden="1" x14ac:dyDescent="0.3">
      <c r="A353" s="103">
        <f>IF(MouserListTable1215[[#This Row],[Qty.]]&gt;0,IF($A352="List #",1,$A352+1),IF($A352="List #",0,$A352))</f>
        <v>87</v>
      </c>
      <c r="B353" s="103" t="str">
        <f>MouserListTable12[[#This Row],[SKU]]</f>
        <v>485-2103</v>
      </c>
      <c r="C353" s="103">
        <f>MouserListTable12[[#This Row],['# Initial]]</f>
        <v>0</v>
      </c>
      <c r="D353" s="103" t="str">
        <f>MouserListTable12[[#This Row],[Name]]</f>
        <v xml:space="preserve">IDC Breakout Helper - 2x16 (32 pin) </v>
      </c>
      <c r="E353" s="103">
        <f>MouserListTable12[[#This Row],[Price (USD)]]</f>
        <v>1.95</v>
      </c>
      <c r="F353" s="103">
        <f>MouserListTable12[[#This Row],[Total Price]]</f>
        <v>0</v>
      </c>
    </row>
    <row r="354" spans="1:6" s="144" customFormat="1" hidden="1" x14ac:dyDescent="0.3">
      <c r="A354" s="103">
        <f>IF(MouserListTable1215[[#This Row],[Qty.]]&gt;0,IF($A353="List #",1,$A353+1),IF($A353="List #",0,$A353))</f>
        <v>87</v>
      </c>
      <c r="B354" s="103" t="str">
        <f>MouserListTable12[[#This Row],[SKU]]</f>
        <v>485-2270</v>
      </c>
      <c r="C354" s="103">
        <f>MouserListTable12[[#This Row],['# Initial]]</f>
        <v>0</v>
      </c>
      <c r="D354" s="103" t="str">
        <f>MouserListTable12[[#This Row],[Name]]</f>
        <v>IDC Breakout Helper - 2x20 (40 pin)</v>
      </c>
      <c r="E354" s="103">
        <f>MouserListTable12[[#This Row],[Price (USD)]]</f>
        <v>2.25</v>
      </c>
      <c r="F354" s="103">
        <f>MouserListTable12[[#This Row],[Total Price]]</f>
        <v>0</v>
      </c>
    </row>
    <row r="355" spans="1:6" s="144" customFormat="1" x14ac:dyDescent="0.3">
      <c r="A355" s="193">
        <f>IF(MouserListTable1215[[#This Row],[Qty.]]&gt;0,IF($A354="List #",1,$A354+1),IF($A354="List #",0,$A354))</f>
        <v>88</v>
      </c>
      <c r="B355" s="103" t="str">
        <f>MouserListTable12[[#This Row],[SKU]]</f>
        <v>485-2102</v>
      </c>
      <c r="C355" s="103">
        <f>MouserListTable12[[#This Row],['# Initial]]</f>
        <v>10</v>
      </c>
      <c r="D355" s="103" t="str">
        <f>MouserListTable12[[#This Row],[Name]]</f>
        <v>IDC Breakout Helper - 2x5 (10 pin)</v>
      </c>
      <c r="E355" s="179">
        <f>MouserListTable12[[#This Row],[Price (USD)]]</f>
        <v>0.95</v>
      </c>
      <c r="F355" s="179">
        <f>MouserListTable12[[#This Row],[Total Price]]</f>
        <v>9.5</v>
      </c>
    </row>
    <row r="356" spans="1:6" s="144" customFormat="1" x14ac:dyDescent="0.3">
      <c r="A356" s="193">
        <f>IF(MouserListTable1215[[#This Row],[Qty.]]&gt;0,IF($A355="List #",1,$A355+1),IF($A355="List #",0,$A355))</f>
        <v>89</v>
      </c>
      <c r="B356" s="103" t="str">
        <f>MouserListTable12[[#This Row],[SKU]]</f>
        <v>474-PRT-09749</v>
      </c>
      <c r="C356" s="103">
        <f>MouserListTable12[[#This Row],['# Initial]]</f>
        <v>10</v>
      </c>
      <c r="D356" s="103" t="str">
        <f>MouserListTable12[[#This Row],[Name]]</f>
        <v>JST Right-Angle Connector - Through-Hole 2-Pin</v>
      </c>
      <c r="E356" s="179">
        <f>MouserListTable12[[#This Row],[Price (USD)]]</f>
        <v>0.95</v>
      </c>
      <c r="F356" s="179">
        <f>MouserListTable12[[#This Row],[Total Price]]</f>
        <v>9.5</v>
      </c>
    </row>
    <row r="357" spans="1:6" s="144" customFormat="1" x14ac:dyDescent="0.3">
      <c r="A357" s="193">
        <f>IF(MouserListTable1215[[#This Row],[Qty.]]&gt;0,IF($A356="List #",1,$A356+1),IF($A356="List #",0,$A356))</f>
        <v>90</v>
      </c>
      <c r="B357" s="103" t="str">
        <f>MouserListTable12[[#This Row],[SKU]]</f>
        <v>474-PRT-09750</v>
      </c>
      <c r="C357" s="103">
        <f>MouserListTable12[[#This Row],['# Initial]]</f>
        <v>5</v>
      </c>
      <c r="D357" s="103" t="str">
        <f>MouserListTable12[[#This Row],[Name]]</f>
        <v>JST Right Angle Connector - Through-Hole 3-Pin</v>
      </c>
      <c r="E357" s="179">
        <f>MouserListTable12[[#This Row],[Price (USD)]]</f>
        <v>0.95</v>
      </c>
      <c r="F357" s="179">
        <f>MouserListTable12[[#This Row],[Total Price]]</f>
        <v>4.75</v>
      </c>
    </row>
    <row r="358" spans="1:6" s="144" customFormat="1" hidden="1" x14ac:dyDescent="0.3">
      <c r="A358" s="103">
        <f>IF(MouserListTable1215[[#This Row],[Qty.]]&gt;0,IF($A357="List #",1,$A357+1),IF($A357="List #",0,$A357))</f>
        <v>90</v>
      </c>
      <c r="B358" s="103" t="str">
        <f>MouserListTable12[[#This Row],[SKU]]</f>
        <v>474-PRT-10501</v>
      </c>
      <c r="C358" s="103">
        <f>MouserListTable12[[#This Row],['# Initial]]</f>
        <v>0</v>
      </c>
      <c r="D358" s="103" t="str">
        <f>MouserListTable12[[#This Row],[Name]]</f>
        <v>JST RCY Connector - Male/Female Set (2-pin)</v>
      </c>
      <c r="E358" s="103">
        <f>MouserListTable12[[#This Row],[Price (USD)]]</f>
        <v>0.5</v>
      </c>
      <c r="F358" s="103">
        <f>MouserListTable12[[#This Row],[Total Price]]</f>
        <v>0</v>
      </c>
    </row>
    <row r="359" spans="1:6" s="144" customFormat="1" hidden="1" x14ac:dyDescent="0.3">
      <c r="A359" s="103">
        <f>IF(MouserListTable1215[[#This Row],[Qty.]]&gt;0,IF($A358="List #",1,$A358+1),IF($A358="List #",0,$A358))</f>
        <v>90</v>
      </c>
      <c r="B359" s="103" t="str">
        <f>MouserListTable12[[#This Row],[SKU]]</f>
        <v>474-PRT-08612</v>
      </c>
      <c r="C359" s="103">
        <f>MouserListTable12[[#This Row],['# Initial]]</f>
        <v>0</v>
      </c>
      <c r="D359" s="103" t="str">
        <f>MouserListTable12[[#This Row],[Name]]</f>
        <v>JST Right Angle Connector - White</v>
      </c>
      <c r="E359" s="103">
        <f>MouserListTable12[[#This Row],[Price (USD)]]</f>
        <v>0.95</v>
      </c>
      <c r="F359" s="103">
        <f>MouserListTable12[[#This Row],[Total Price]]</f>
        <v>0</v>
      </c>
    </row>
    <row r="360" spans="1:6" s="144" customFormat="1" hidden="1" x14ac:dyDescent="0.3">
      <c r="A360" s="103">
        <f>IF(MouserListTable1215[[#This Row],[Qty.]]&gt;0,IF($A359="List #",1,$A359+1),IF($A359="List #",0,$A359))</f>
        <v>90</v>
      </c>
      <c r="B360" s="103" t="str">
        <f>MouserListTable12[[#This Row],[SKU]]</f>
        <v>474-PRT-08613</v>
      </c>
      <c r="C360" s="103">
        <f>MouserListTable12[[#This Row],['# Initial]]</f>
        <v>0</v>
      </c>
      <c r="D360" s="103" t="str">
        <f>MouserListTable12[[#This Row],[Name]]</f>
        <v>JST Vertical Connector</v>
      </c>
      <c r="E360" s="103">
        <f>MouserListTable12[[#This Row],[Price (USD)]]</f>
        <v>0.95</v>
      </c>
      <c r="F360" s="103">
        <f>MouserListTable12[[#This Row],[Total Price]]</f>
        <v>0</v>
      </c>
    </row>
    <row r="361" spans="1:6" s="144" customFormat="1" hidden="1" x14ac:dyDescent="0.3">
      <c r="A361" s="103">
        <f>IF(MouserListTable1215[[#This Row],[Qty.]]&gt;0,IF($A360="List #",1,$A360+1),IF($A360="List #",0,$A360))</f>
        <v>90</v>
      </c>
      <c r="B361" s="103" t="str">
        <f>MouserListTable12[[#This Row],[SKU]]</f>
        <v>485-1862</v>
      </c>
      <c r="C361" s="103">
        <f>MouserListTable12[[#This Row],['# Initial]]</f>
        <v>0</v>
      </c>
      <c r="D361" s="103" t="str">
        <f>MouserListTable12[[#This Row],[Name]]</f>
        <v xml:space="preserve">JST-PH 2-Pin SMT Right Angle Breakout Board </v>
      </c>
      <c r="E361" s="103">
        <f>MouserListTable12[[#This Row],[Price (USD)]]</f>
        <v>1.5</v>
      </c>
      <c r="F361" s="103">
        <f>MouserListTable12[[#This Row],[Total Price]]</f>
        <v>0</v>
      </c>
    </row>
    <row r="362" spans="1:6" s="144" customFormat="1" hidden="1" x14ac:dyDescent="0.3">
      <c r="A362" s="103">
        <f>IF(MouserListTable1215[[#This Row],[Qty.]]&gt;0,IF($A361="List #",1,$A361+1),IF($A361="List #",0,$A361))</f>
        <v>90</v>
      </c>
      <c r="B362" s="103" t="str">
        <f>MouserListTable12[[#This Row],[SKU]]</f>
        <v>485-1769</v>
      </c>
      <c r="C362" s="103">
        <f>MouserListTable12[[#This Row],['# Initial]]</f>
        <v>0</v>
      </c>
      <c r="D362" s="103" t="str">
        <f>MouserListTable12[[#This Row],[Name]]</f>
        <v xml:space="preserve">JST-PH 2-Pin SMT Right Angle Connector </v>
      </c>
      <c r="E362" s="103">
        <f>MouserListTable12[[#This Row],[Price (USD)]]</f>
        <v>0.75</v>
      </c>
      <c r="F362" s="103">
        <f>MouserListTable12[[#This Row],[Total Price]]</f>
        <v>0</v>
      </c>
    </row>
    <row r="363" spans="1:6" s="144" customFormat="1" hidden="1" x14ac:dyDescent="0.3">
      <c r="A363" s="103">
        <f>IF(MouserListTable1215[[#This Row],[Qty.]]&gt;0,IF($A362="List #",1,$A362+1),IF($A362="List #",0,$A362))</f>
        <v>90</v>
      </c>
      <c r="B363" s="103" t="str">
        <f>MouserListTable12[[#This Row],[SKU]]</f>
        <v>485-1863</v>
      </c>
      <c r="C363" s="103">
        <f>MouserListTable12[[#This Row],['# Initial]]</f>
        <v>0</v>
      </c>
      <c r="D363" s="103" t="str">
        <f>MouserListTable12[[#This Row],[Name]]</f>
        <v xml:space="preserve">Switched JST-PH 2-Pin SMT Right Angle Breakout Board </v>
      </c>
      <c r="E363" s="103">
        <f>MouserListTable12[[#This Row],[Price (USD)]]</f>
        <v>2.5</v>
      </c>
      <c r="F363" s="103">
        <f>MouserListTable12[[#This Row],[Total Price]]</f>
        <v>0</v>
      </c>
    </row>
    <row r="364" spans="1:6" s="144" customFormat="1" hidden="1" x14ac:dyDescent="0.3">
      <c r="A364" s="103">
        <f>IF(MouserListTable1215[[#This Row],[Qty.]]&gt;0,IF($A363="List #",1,$A363+1),IF($A363="List #",0,$A363))</f>
        <v>90</v>
      </c>
      <c r="B364" s="103" t="str">
        <f>MouserListTable12[[#This Row],[SKU]]</f>
        <v>474-PRT-08233</v>
      </c>
      <c r="C364" s="103">
        <f>MouserListTable12[[#This Row],['# Initial]]</f>
        <v>0</v>
      </c>
      <c r="D364" s="103" t="str">
        <f>MouserListTable12[[#This Row],[Name]]</f>
        <v>Polarized Connectors - Header (2-Pin)</v>
      </c>
      <c r="E364" s="103">
        <f>MouserListTable12[[#This Row],[Price (USD)]]</f>
        <v>0.45</v>
      </c>
      <c r="F364" s="103">
        <f>MouserListTable12[[#This Row],[Total Price]]</f>
        <v>0</v>
      </c>
    </row>
    <row r="365" spans="1:6" s="144" customFormat="1" hidden="1" x14ac:dyDescent="0.3">
      <c r="A365" s="103">
        <f>IF(MouserListTable1215[[#This Row],[Qty.]]&gt;0,IF($A364="List #",1,$A364+1),IF($A364="List #",0,$A364))</f>
        <v>90</v>
      </c>
      <c r="B365" s="103" t="str">
        <f>MouserListTable12[[#This Row],[SKU]]</f>
        <v>474-PRT-08095</v>
      </c>
      <c r="C365" s="103">
        <f>MouserListTable12[[#This Row],['# Initial]]</f>
        <v>0</v>
      </c>
      <c r="D365" s="103" t="str">
        <f>MouserListTable12[[#This Row],[Name]]</f>
        <v>Polarized Connectors - Housing (2-Pin)</v>
      </c>
      <c r="E365" s="103">
        <f>MouserListTable12[[#This Row],[Price (USD)]]</f>
        <v>0.45</v>
      </c>
      <c r="F365" s="103">
        <f>MouserListTable12[[#This Row],[Total Price]]</f>
        <v>0</v>
      </c>
    </row>
    <row r="366" spans="1:6" s="144" customFormat="1" x14ac:dyDescent="0.3">
      <c r="A366" s="193">
        <f>IF(MouserListTable1215[[#This Row],[Qty.]]&gt;0,IF($A365="List #",1,$A365+1),IF($A365="List #",0,$A365))</f>
        <v>91</v>
      </c>
      <c r="B366" s="103" t="str">
        <f>MouserListTable12[[#This Row],[SKU]]</f>
        <v>474-PRT-08232</v>
      </c>
      <c r="C366" s="103">
        <f>MouserListTable12[[#This Row],['# Initial]]</f>
        <v>16</v>
      </c>
      <c r="D366" s="103" t="str">
        <f>MouserListTable12[[#This Row],[Name]]</f>
        <v>Polarized Connectors - Header (3-Pin)</v>
      </c>
      <c r="E366" s="179">
        <f>MouserListTable12[[#This Row],[Price (USD)]]</f>
        <v>0.45</v>
      </c>
      <c r="F366" s="179">
        <f>MouserListTable12[[#This Row],[Total Price]]</f>
        <v>7.2</v>
      </c>
    </row>
    <row r="367" spans="1:6" s="144" customFormat="1" x14ac:dyDescent="0.3">
      <c r="A367" s="193">
        <f>IF(MouserListTable1215[[#This Row],[Qty.]]&gt;0,IF($A366="List #",1,$A366+1),IF($A366="List #",0,$A366))</f>
        <v>92</v>
      </c>
      <c r="B367" s="103" t="str">
        <f>MouserListTable12[[#This Row],[SKU]]</f>
        <v>474-PRT-08096</v>
      </c>
      <c r="C367" s="103">
        <f>MouserListTable12[[#This Row],['# Initial]]</f>
        <v>16</v>
      </c>
      <c r="D367" s="103" t="str">
        <f>MouserListTable12[[#This Row],[Name]]</f>
        <v>Polarized Connectors - Housing (3-Pin)</v>
      </c>
      <c r="E367" s="179">
        <f>MouserListTable12[[#This Row],[Price (USD)]]</f>
        <v>0.45</v>
      </c>
      <c r="F367" s="179">
        <f>MouserListTable12[[#This Row],[Total Price]]</f>
        <v>7.2</v>
      </c>
    </row>
    <row r="368" spans="1:6" s="144" customFormat="1" x14ac:dyDescent="0.3">
      <c r="A368" s="193">
        <f>IF(MouserListTable1215[[#This Row],[Qty.]]&gt;0,IF($A367="List #",1,$A367+1),IF($A367="List #",0,$A367))</f>
        <v>93</v>
      </c>
      <c r="B368" s="103" t="str">
        <f>MouserListTable12[[#This Row],[SKU]]</f>
        <v>474-PRT-08231</v>
      </c>
      <c r="C368" s="103">
        <f>MouserListTable12[[#This Row],['# Initial]]</f>
        <v>16</v>
      </c>
      <c r="D368" s="103" t="str">
        <f>MouserListTable12[[#This Row],[Name]]</f>
        <v>Polarized Connectors - Header (4-Pin)</v>
      </c>
      <c r="E368" s="179">
        <f>MouserListTable12[[#This Row],[Price (USD)]]</f>
        <v>0.45</v>
      </c>
      <c r="F368" s="179">
        <f>MouserListTable12[[#This Row],[Total Price]]</f>
        <v>7.2</v>
      </c>
    </row>
    <row r="369" spans="1:6" s="144" customFormat="1" x14ac:dyDescent="0.3">
      <c r="A369" s="193">
        <f>IF(MouserListTable1215[[#This Row],[Qty.]]&gt;0,IF($A368="List #",1,$A368+1),IF($A368="List #",0,$A368))</f>
        <v>94</v>
      </c>
      <c r="B369" s="103" t="str">
        <f>MouserListTable12[[#This Row],[SKU]]</f>
        <v>474-PRT-08097</v>
      </c>
      <c r="C369" s="103">
        <f>MouserListTable12[[#This Row],['# Initial]]</f>
        <v>16</v>
      </c>
      <c r="D369" s="103" t="str">
        <f>MouserListTable12[[#This Row],[Name]]</f>
        <v>Polarized Connectors - Housing (4-Pin)</v>
      </c>
      <c r="E369" s="179">
        <f>MouserListTable12[[#This Row],[Price (USD)]]</f>
        <v>0.45</v>
      </c>
      <c r="F369" s="179">
        <f>MouserListTable12[[#This Row],[Total Price]]</f>
        <v>7.2</v>
      </c>
    </row>
    <row r="370" spans="1:6" s="144" customFormat="1" x14ac:dyDescent="0.3">
      <c r="A370" s="193">
        <f>IF(MouserListTable1215[[#This Row],[Qty.]]&gt;0,IF($A369="List #",1,$A369+1),IF($A369="List #",0,$A369))</f>
        <v>95</v>
      </c>
      <c r="B370" s="103" t="str">
        <f>MouserListTable12[[#This Row],[SKU]]</f>
        <v>474-PRT-08100</v>
      </c>
      <c r="C370" s="103">
        <f>MouserListTable12[[#This Row],['# Initial]]</f>
        <v>16</v>
      </c>
      <c r="D370" s="103" t="str">
        <f>MouserListTable12[[#This Row],[Name]]</f>
        <v>Polarized Connectors - Crimp Pins</v>
      </c>
      <c r="E370" s="179">
        <f>MouserListTable12[[#This Row],[Price (USD)]]</f>
        <v>1.95</v>
      </c>
      <c r="F370" s="179">
        <f>MouserListTable12[[#This Row],[Total Price]]</f>
        <v>31.2</v>
      </c>
    </row>
    <row r="371" spans="1:6" s="144" customFormat="1" x14ac:dyDescent="0.3">
      <c r="A371" s="193">
        <f>IF(MouserListTable1215[[#This Row],[Qty.]]&gt;0,IF($A370="List #",1,$A370+1),IF($A370="List #",0,$A370))</f>
        <v>96</v>
      </c>
      <c r="B371" s="103" t="str">
        <f>MouserListTable12[[#This Row],[SKU]]</f>
        <v>474-PRT-10651</v>
      </c>
      <c r="C371" s="103">
        <f>MouserListTable12[[#This Row],['# Initial]]</f>
        <v>10</v>
      </c>
      <c r="D371" s="103" t="str">
        <f>MouserListTable12[[#This Row],[Name]]</f>
        <v>Ribbon Crimp Connector - 6-pin (2x3, Female)</v>
      </c>
      <c r="E371" s="179">
        <f>MouserListTable12[[#This Row],[Price (USD)]]</f>
        <v>0.35</v>
      </c>
      <c r="F371" s="179">
        <f>MouserListTable12[[#This Row],[Total Price]]</f>
        <v>3.5</v>
      </c>
    </row>
    <row r="372" spans="1:6" s="146" customFormat="1" x14ac:dyDescent="0.3">
      <c r="A372" s="193">
        <f>IF(MouserListTable1215[[#This Row],[Qty.]]&gt;0,IF($A371="List #",1,$A371+1),IF($A371="List #",0,$A371))</f>
        <v>97</v>
      </c>
      <c r="B372" s="103" t="str">
        <f>MouserListTable12[[#This Row],[SKU]]</f>
        <v>474-PRT-10650</v>
      </c>
      <c r="C372" s="103">
        <f>MouserListTable12[[#This Row],['# Initial]]</f>
        <v>10</v>
      </c>
      <c r="D372" s="103" t="str">
        <f>MouserListTable12[[#This Row],[Name]]</f>
        <v>Ribbon Crimp Connector - 10-pin (2x5, Female)</v>
      </c>
      <c r="E372" s="179">
        <f>MouserListTable12[[#This Row],[Price (USD)]]</f>
        <v>0.5</v>
      </c>
      <c r="F372" s="179">
        <f>MouserListTable12[[#This Row],[Total Price]]</f>
        <v>5</v>
      </c>
    </row>
    <row r="373" spans="1:6" s="146" customFormat="1" hidden="1" x14ac:dyDescent="0.3">
      <c r="A373" s="103">
        <f>IF(MouserListTable1215[[#This Row],[Qty.]]&gt;0,IF($A372="List #",1,$A372+1),IF($A372="List #",0,$A372))</f>
        <v>97</v>
      </c>
      <c r="B373" s="103" t="str">
        <f>MouserListTable12[[#This Row],[SKU]]</f>
        <v>474-PRT-10571</v>
      </c>
      <c r="C373" s="103">
        <f>MouserListTable12[[#This Row],['# Initial]]</f>
        <v>0</v>
      </c>
      <c r="D373" s="103" t="str">
        <f>MouserListTable12[[#This Row],[Name]]</f>
        <v>Screw Terminals 2.54mm Pitch (2-Pin)</v>
      </c>
      <c r="E373" s="103">
        <f>MouserListTable12[[#This Row],[Price (USD)]]</f>
        <v>0.75</v>
      </c>
      <c r="F373" s="103">
        <f>MouserListTable12[[#This Row],[Total Price]]</f>
        <v>0</v>
      </c>
    </row>
    <row r="374" spans="1:6" s="146" customFormat="1" x14ac:dyDescent="0.3">
      <c r="A374" s="193">
        <f>IF(MouserListTable1215[[#This Row],[Qty.]]&gt;0,IF($A373="List #",1,$A373+1),IF($A373="List #",0,$A373))</f>
        <v>98</v>
      </c>
      <c r="B374" s="103" t="str">
        <f>MouserListTable12[[#This Row],[SKU]]</f>
        <v>474-PRT-08432</v>
      </c>
      <c r="C374" s="103">
        <f>MouserListTable12[[#This Row],['# Initial]]</f>
        <v>10</v>
      </c>
      <c r="D374" s="103" t="str">
        <f>MouserListTable12[[#This Row],[Name]]</f>
        <v>Screw Terminals 5mm Pitch (2-Pin)</v>
      </c>
      <c r="E374" s="179">
        <f>MouserListTable12[[#This Row],[Price (USD)]]</f>
        <v>0.95</v>
      </c>
      <c r="F374" s="179">
        <f>MouserListTable12[[#This Row],[Total Price]]</f>
        <v>9.5</v>
      </c>
    </row>
    <row r="375" spans="1:6" s="146" customFormat="1" x14ac:dyDescent="0.3">
      <c r="A375" s="193">
        <f>IF(MouserListTable1215[[#This Row],[Qty.]]&gt;0,IF($A374="List #",1,$A374+1),IF($A374="List #",0,$A374))</f>
        <v>99</v>
      </c>
      <c r="B375" s="103" t="str">
        <f>MouserListTable12[[#This Row],[SKU]]</f>
        <v>474-PRT-08433</v>
      </c>
      <c r="C375" s="103">
        <f>MouserListTable12[[#This Row],['# Initial]]</f>
        <v>10</v>
      </c>
      <c r="D375" s="103" t="str">
        <f>MouserListTable12[[#This Row],[Name]]</f>
        <v>Screw Terminals 5mm Pitch (3-Pin)</v>
      </c>
      <c r="E375" s="179">
        <f>MouserListTable12[[#This Row],[Price (USD)]]</f>
        <v>0.95</v>
      </c>
      <c r="F375" s="179">
        <f>MouserListTable12[[#This Row],[Total Price]]</f>
        <v>9.5</v>
      </c>
    </row>
    <row r="376" spans="1:6" s="146" customFormat="1" hidden="1" x14ac:dyDescent="0.3">
      <c r="A376" s="103">
        <f>IF(MouserListTable1215[[#This Row],[Qty.]]&gt;0,IF($A375="List #",1,$A375+1),IF($A375="List #",0,$A375))</f>
        <v>99</v>
      </c>
      <c r="B376" s="103" t="str">
        <f>MouserListTable12[[#This Row],[SKU]]</f>
        <v>474-PRT-08073</v>
      </c>
      <c r="C376" s="103">
        <f>MouserListTable12[[#This Row],['# Initial]]</f>
        <v>0</v>
      </c>
      <c r="D376" s="103" t="str">
        <f>MouserListTable12[[#This Row],[Name]]</f>
        <v>Spring Terminals - PCB Mount (2-Pin)</v>
      </c>
      <c r="E376" s="103">
        <f>MouserListTable12[[#This Row],[Price (USD)]]</f>
        <v>1.5</v>
      </c>
      <c r="F376" s="103">
        <f>MouserListTable12[[#This Row],[Total Price]]</f>
        <v>0</v>
      </c>
    </row>
    <row r="377" spans="1:6" s="146" customFormat="1" hidden="1" x14ac:dyDescent="0.3">
      <c r="A377" s="103">
        <f>IF(MouserListTable1215[[#This Row],[Qty.]]&gt;0,IF($A376="List #",1,$A376+1),IF($A376="List #",0,$A376))</f>
        <v>99</v>
      </c>
      <c r="B377" s="103" t="str">
        <f>MouserListTable12[[#This Row],[SKU]]</f>
        <v>474-PRT-08074</v>
      </c>
      <c r="C377" s="103">
        <f>MouserListTable12[[#This Row],['# Initial]]</f>
        <v>0</v>
      </c>
      <c r="D377" s="103" t="str">
        <f>MouserListTable12[[#This Row],[Name]]</f>
        <v>Spring Terminals - PCB Mount (3-Pin)</v>
      </c>
      <c r="E377" s="103">
        <f>MouserListTable12[[#This Row],[Price (USD)]]</f>
        <v>1.5</v>
      </c>
      <c r="F377" s="103">
        <f>MouserListTable12[[#This Row],[Total Price]]</f>
        <v>0</v>
      </c>
    </row>
    <row r="378" spans="1:6" s="144" customFormat="1" hidden="1" x14ac:dyDescent="0.3">
      <c r="A378" s="103">
        <f>IF(MouserListTable1215[[#This Row],[Qty.]]&gt;0,IF($A377="List #",1,$A377+1),IF($A377="List #",0,$A377))</f>
        <v>99</v>
      </c>
      <c r="B378" s="103" t="str">
        <f>MouserListTable12[[#This Row],[SKU]]</f>
        <v>474-PRT-08075</v>
      </c>
      <c r="C378" s="103">
        <f>MouserListTable12[[#This Row],['# Initial]]</f>
        <v>0</v>
      </c>
      <c r="D378" s="103" t="str">
        <f>MouserListTable12[[#This Row],[Name]]</f>
        <v>Spring Terminals - PCB Mount (4-Pin)</v>
      </c>
      <c r="E378" s="103">
        <f>MouserListTable12[[#This Row],[Price (USD)]]</f>
        <v>1.5</v>
      </c>
      <c r="F378" s="103">
        <f>MouserListTable12[[#This Row],[Total Price]]</f>
        <v>0</v>
      </c>
    </row>
    <row r="379" spans="1:6" s="144" customFormat="1" x14ac:dyDescent="0.3">
      <c r="A379" s="193">
        <f>IF(MouserListTable1215[[#This Row],[Qty.]]&gt;0,IF($A378="List #",1,$A378+1),IF($A378="List #",0,$A378))</f>
        <v>100</v>
      </c>
      <c r="B379" s="103" t="str">
        <f>MouserListTable12[[#This Row],[SKU]]</f>
        <v>474-PRT-08077</v>
      </c>
      <c r="C379" s="103">
        <f>MouserListTable12[[#This Row],['# Initial]]</f>
        <v>2</v>
      </c>
      <c r="D379" s="103" t="str">
        <f>MouserListTable12[[#This Row],[Name]]</f>
        <v>Spring Terminals - PCB Mount (6-Pin)</v>
      </c>
      <c r="E379" s="179">
        <f>MouserListTable12[[#This Row],[Price (USD)]]</f>
        <v>1.5</v>
      </c>
      <c r="F379" s="179">
        <f>MouserListTable12[[#This Row],[Total Price]]</f>
        <v>3</v>
      </c>
    </row>
    <row r="380" spans="1:6" s="144" customFormat="1" hidden="1" x14ac:dyDescent="0.3">
      <c r="A380" s="103">
        <f>IF(MouserListTable1215[[#This Row],[Qty.]]&gt;0,IF($A379="List #",1,$A379+1),IF($A379="List #",0,$A379))</f>
        <v>100</v>
      </c>
      <c r="B380" s="103" t="str">
        <f>MouserListTable12[[#This Row],[SKU]]</f>
        <v>474-PRT-00139</v>
      </c>
      <c r="C380" s="103">
        <f>MouserListTable12[[#This Row],['# Initial]]</f>
        <v>0</v>
      </c>
      <c r="D380" s="103" t="str">
        <f>MouserListTable12[[#This Row],[Name]]</f>
        <v>USB Female Type B Connector</v>
      </c>
      <c r="E380" s="103">
        <f>MouserListTable12[[#This Row],[Price (USD)]]</f>
        <v>1.25</v>
      </c>
      <c r="F380" s="103">
        <f>MouserListTable12[[#This Row],[Total Price]]</f>
        <v>0</v>
      </c>
    </row>
    <row r="381" spans="1:6" s="144" customFormat="1" hidden="1" x14ac:dyDescent="0.3">
      <c r="A381" s="103">
        <f>IF(MouserListTable1215[[#This Row],[Qty.]]&gt;0,IF($A380="List #",1,$A380+1),IF($A380="List #",0,$A380))</f>
        <v>100</v>
      </c>
      <c r="B381" s="103" t="str">
        <f>MouserListTable12[[#This Row],[SKU]]</f>
        <v>474-BOB-12035</v>
      </c>
      <c r="C381" s="103">
        <f>MouserListTable12[[#This Row],['# Initial]]</f>
        <v>0</v>
      </c>
      <c r="D381" s="103" t="str">
        <f>MouserListTable12[[#This Row],[Name]]</f>
        <v>SparkFun microB USB Breakout</v>
      </c>
      <c r="E381" s="103">
        <f>MouserListTable12[[#This Row],[Price (USD)]]</f>
        <v>1.95</v>
      </c>
      <c r="F381" s="103">
        <f>MouserListTable12[[#This Row],[Total Price]]</f>
        <v>0</v>
      </c>
    </row>
    <row r="382" spans="1:6" s="144" customFormat="1" hidden="1" x14ac:dyDescent="0.3">
      <c r="A382" s="103">
        <f>IF(MouserListTable1215[[#This Row],[Qty.]]&gt;0,IF($A381="List #",1,$A381+1),IF($A381="List #",0,$A381))</f>
        <v>100</v>
      </c>
      <c r="B382" s="103" t="str">
        <f>MouserListTable12[[#This Row],[SKU]]</f>
        <v>474-BOB-10031</v>
      </c>
      <c r="C382" s="103">
        <f>MouserListTable12[[#This Row],['# Initial]]</f>
        <v>0</v>
      </c>
      <c r="D382" s="103" t="str">
        <f>MouserListTable12[[#This Row],[Name]]</f>
        <v>SparkFun USB MicroB Plug Breakout</v>
      </c>
      <c r="E382" s="103">
        <f>MouserListTable12[[#This Row],[Price (USD)]]</f>
        <v>3.95</v>
      </c>
      <c r="F382" s="103">
        <f>MouserListTable12[[#This Row],[Total Price]]</f>
        <v>0</v>
      </c>
    </row>
    <row r="383" spans="1:6" s="144" customFormat="1" hidden="1" x14ac:dyDescent="0.3">
      <c r="A383" s="103">
        <f>IF(MouserListTable1215[[#This Row],[Qty.]]&gt;0,IF($A382="List #",1,$A382+1),IF($A382="List #",0,$A382))</f>
        <v>100</v>
      </c>
      <c r="B383" s="103" t="str">
        <f>MouserListTable12[[#This Row],[SKU]]</f>
        <v>474-BOB-09966</v>
      </c>
      <c r="C383" s="103">
        <f>MouserListTable12[[#This Row],['# Initial]]</f>
        <v>0</v>
      </c>
      <c r="D383" s="103" t="str">
        <f>MouserListTable12[[#This Row],[Name]]</f>
        <v>SparkFun USB Mini-B Breakout</v>
      </c>
      <c r="E383" s="103">
        <f>MouserListTable12[[#This Row],[Price (USD)]]</f>
        <v>1.95</v>
      </c>
      <c r="F383" s="103">
        <f>MouserListTable12[[#This Row],[Total Price]]</f>
        <v>0</v>
      </c>
    </row>
    <row r="384" spans="1:6" s="144" customFormat="1" x14ac:dyDescent="0.3">
      <c r="A384" s="193">
        <f>IF(MouserListTable1215[[#This Row],[Qty.]]&gt;0,IF($A383="List #",1,$A383+1),IF($A383="List #",0,$A383))</f>
        <v>101</v>
      </c>
      <c r="B384" s="103" t="str">
        <f>MouserListTable12[[#This Row],[SKU]]</f>
        <v>474-COM-14194</v>
      </c>
      <c r="C384" s="103">
        <f>MouserListTable12[[#This Row],['# Initial]]</f>
        <v>5</v>
      </c>
      <c r="D384" s="103" t="str">
        <f>MouserListTable12[[#This Row],[Name]]</f>
        <v>Amphenol FCI Clincher Connector (2 Position, Female)</v>
      </c>
      <c r="E384" s="179">
        <f>MouserListTable12[[#This Row],[Price (USD)]]</f>
        <v>1.95</v>
      </c>
      <c r="F384" s="179">
        <f>MouserListTable12[[#This Row],[Total Price]]</f>
        <v>9.75</v>
      </c>
    </row>
    <row r="385" spans="1:6" s="144" customFormat="1" x14ac:dyDescent="0.3">
      <c r="A385" s="193">
        <f>IF(MouserListTable1215[[#This Row],[Qty.]]&gt;0,IF($A384="List #",1,$A384+1),IF($A384="List #",0,$A384))</f>
        <v>102</v>
      </c>
      <c r="B385" s="103" t="str">
        <f>MouserListTable12[[#This Row],[SKU]]</f>
        <v>474-COM-14195</v>
      </c>
      <c r="C385" s="103">
        <f>MouserListTable12[[#This Row],['# Initial]]</f>
        <v>5</v>
      </c>
      <c r="D385" s="103" t="str">
        <f>MouserListTable12[[#This Row],[Name]]</f>
        <v>Amphenol FCI Clincher Connector (2 Position, Male)</v>
      </c>
      <c r="E385" s="179">
        <f>MouserListTable12[[#This Row],[Price (USD)]]</f>
        <v>1.95</v>
      </c>
      <c r="F385" s="179">
        <f>MouserListTable12[[#This Row],[Total Price]]</f>
        <v>9.75</v>
      </c>
    </row>
    <row r="386" spans="1:6" s="144" customFormat="1" hidden="1" x14ac:dyDescent="0.3">
      <c r="A386" s="103">
        <f>IF(MouserListTable1215[[#This Row],[Qty.]]&gt;0,IF($A385="List #",1,$A385+1),IF($A385="List #",0,$A385))</f>
        <v>102</v>
      </c>
      <c r="B386" s="103" t="str">
        <f>MouserListTable12[[#This Row],[SKU]]</f>
        <v>474-PRT-09044</v>
      </c>
      <c r="C386" s="103">
        <f>MouserListTable12[[#This Row],['# Initial]]</f>
        <v>0</v>
      </c>
      <c r="D386" s="103" t="str">
        <f>MouserListTable12[[#This Row],[Name]]</f>
        <v>Jumper - 2 Pin</v>
      </c>
      <c r="E386" s="103">
        <f>MouserListTable12[[#This Row],[Price (USD)]]</f>
        <v>0.35</v>
      </c>
      <c r="F386" s="103">
        <f>MouserListTable12[[#This Row],[Total Price]]</f>
        <v>0</v>
      </c>
    </row>
    <row r="387" spans="1:6" s="146" customFormat="1" x14ac:dyDescent="0.3">
      <c r="A387" s="193">
        <f>IF(MouserListTable1215[[#This Row],[Qty.]]&gt;0,IF($A386="List #",1,$A386+1),IF($A386="List #",0,$A386))</f>
        <v>103</v>
      </c>
      <c r="B387" s="103" t="str">
        <f>MouserListTable12[[#This Row],[SKU]]</f>
        <v>485-3525</v>
      </c>
      <c r="C387" s="103">
        <f>MouserListTable12[[#This Row],['# Initial]]</f>
        <v>1</v>
      </c>
      <c r="D387" s="103" t="str">
        <f>MouserListTable12[[#This Row],[Name]]</f>
        <v xml:space="preserve">Jumper Shunt with Handle (0.1" / 2.54mm) – 10 Pack </v>
      </c>
      <c r="E387" s="179">
        <f>MouserListTable12[[#This Row],[Price (USD)]]</f>
        <v>0.95</v>
      </c>
      <c r="F387" s="179">
        <f>MouserListTable12[[#This Row],[Total Price]]</f>
        <v>0.95</v>
      </c>
    </row>
    <row r="388" spans="1:6" s="146" customFormat="1" hidden="1" x14ac:dyDescent="0.3">
      <c r="A388" s="103">
        <f>IF(MouserListTable1215[[#This Row],[Qty.]]&gt;0,IF($A387="List #",1,$A387+1),IF($A387="List #",0,$A387))</f>
        <v>103</v>
      </c>
      <c r="B388" s="103" t="str">
        <f>MouserListTable12[[#This Row],[SKU]]</f>
        <v>474-KIT-13973</v>
      </c>
      <c r="C388" s="103">
        <f>MouserListTable12[[#This Row],['# Initial]]</f>
        <v>0</v>
      </c>
      <c r="D388" s="103" t="str">
        <f>MouserListTable12[[#This Row],[Name]]</f>
        <v>SparkFun Beginner Parts Kit</v>
      </c>
      <c r="E388" s="103">
        <f>MouserListTable12[[#This Row],[Price (USD)]]</f>
        <v>14.95</v>
      </c>
      <c r="F388" s="103">
        <f>MouserListTable12[[#This Row],[Total Price]]</f>
        <v>0</v>
      </c>
    </row>
    <row r="389" spans="1:6" s="146" customFormat="1" x14ac:dyDescent="0.3">
      <c r="A389" s="193">
        <f>IF(MouserListTable1215[[#This Row],[Qty.]]&gt;0,IF($A388="List #",1,$A388+1),IF($A388="List #",0,$A388))</f>
        <v>104</v>
      </c>
      <c r="B389" s="103" t="str">
        <f>MouserListTable12[[#This Row],[SKU]]</f>
        <v>485-2975</v>
      </c>
      <c r="C389" s="103">
        <f>MouserListTable12[[#This Row],['# Initial]]</f>
        <v>1</v>
      </c>
      <c r="D389" s="103" t="str">
        <f>MouserListTable12[[#This Row],[Name]]</f>
        <v>Adafruit Parts Pal</v>
      </c>
      <c r="E389" s="179">
        <f>MouserListTable12[[#This Row],[Price (USD)]]</f>
        <v>19.95</v>
      </c>
      <c r="F389" s="179">
        <f>MouserListTable12[[#This Row],[Total Price]]</f>
        <v>19.95</v>
      </c>
    </row>
    <row r="390" spans="1:6" s="146" customFormat="1" hidden="1" x14ac:dyDescent="0.3">
      <c r="A390" s="103">
        <f>IF(MouserListTable1215[[#This Row],[Qty.]]&gt;0,IF($A389="List #",1,$A389+1),IF($A389="List #",0,$A389))</f>
        <v>104</v>
      </c>
      <c r="B390" s="103" t="str">
        <f>MouserListTable12[[#This Row],[SKU]]</f>
        <v>474-COM-00522</v>
      </c>
      <c r="C390" s="103">
        <f>MouserListTable12[[#This Row],['# Initial]]</f>
        <v>0</v>
      </c>
      <c r="D390" s="103" t="str">
        <f>MouserListTable12[[#This Row],[Name]]</f>
        <v>Transistor - PNP (2N3906)</v>
      </c>
      <c r="E390" s="103">
        <f>MouserListTable12[[#This Row],[Price (USD)]]</f>
        <v>0.5</v>
      </c>
      <c r="F390" s="103">
        <f>MouserListTable12[[#This Row],[Total Price]]</f>
        <v>0</v>
      </c>
    </row>
    <row r="391" spans="1:6" s="146" customFormat="1" hidden="1" x14ac:dyDescent="0.3">
      <c r="A391" s="103">
        <f>IF(MouserListTable1215[[#This Row],[Qty.]]&gt;0,IF($A390="List #",1,$A390+1),IF($A390="List #",0,$A390))</f>
        <v>104</v>
      </c>
      <c r="B391" s="103" t="str">
        <f>MouserListTable12[[#This Row],[SKU]]</f>
        <v>474-COM-00521</v>
      </c>
      <c r="C391" s="103">
        <f>MouserListTable12[[#This Row],['# Initial]]</f>
        <v>0</v>
      </c>
      <c r="D391" s="103" t="str">
        <f>MouserListTable12[[#This Row],[Name]]</f>
        <v>Transistor - NPN (2N3904)</v>
      </c>
      <c r="E391" s="103">
        <f>MouserListTable12[[#This Row],[Price (USD)]]</f>
        <v>0.5</v>
      </c>
      <c r="F391" s="103">
        <f>MouserListTable12[[#This Row],[Total Price]]</f>
        <v>0</v>
      </c>
    </row>
    <row r="392" spans="1:6" s="146" customFormat="1" hidden="1" x14ac:dyDescent="0.3">
      <c r="A392" s="103">
        <f>IF(MouserListTable1215[[#This Row],[Qty.]]&gt;0,IF($A391="List #",1,$A391+1),IF($A391="List #",0,$A391))</f>
        <v>104</v>
      </c>
      <c r="B392" s="103" t="str">
        <f>MouserListTable12[[#This Row],[SKU]]</f>
        <v>474-COM-08928</v>
      </c>
      <c r="C392" s="103">
        <f>MouserListTable12[[#This Row],['# Initial]]</f>
        <v>0</v>
      </c>
      <c r="D392" s="103" t="str">
        <f>MouserListTable12[[#This Row],[Name]]</f>
        <v>Transistor - NPN (BC547)</v>
      </c>
      <c r="E392" s="103">
        <f>MouserListTable12[[#This Row],[Price (USD)]]</f>
        <v>0.5</v>
      </c>
      <c r="F392" s="103">
        <f>MouserListTable12[[#This Row],[Total Price]]</f>
        <v>0</v>
      </c>
    </row>
    <row r="393" spans="1:6" s="146" customFormat="1" hidden="1" x14ac:dyDescent="0.3">
      <c r="A393" s="103">
        <f>IF(MouserListTable1215[[#This Row],[Qty.]]&gt;0,IF($A392="List #",1,$A392+1),IF($A392="List #",0,$A392))</f>
        <v>104</v>
      </c>
      <c r="B393" s="103" t="str">
        <f>MouserListTable12[[#This Row],[SKU]]</f>
        <v>474-COM-10213</v>
      </c>
      <c r="C393" s="103">
        <f>MouserListTable12[[#This Row],['# Initial]]</f>
        <v>0</v>
      </c>
      <c r="D393" s="103" t="str">
        <f>MouserListTable12[[#This Row],[Name]]</f>
        <v>N-Channel MOSFET 60V 30A</v>
      </c>
      <c r="E393" s="103">
        <f>MouserListTable12[[#This Row],[Price (USD)]]</f>
        <v>0.95</v>
      </c>
      <c r="F393" s="103">
        <f>MouserListTable12[[#This Row],[Total Price]]</f>
        <v>0</v>
      </c>
    </row>
    <row r="394" spans="1:6" s="146" customFormat="1" hidden="1" x14ac:dyDescent="0.3">
      <c r="A394" s="103">
        <f>IF(MouserListTable1215[[#This Row],[Qty.]]&gt;0,IF($A393="List #",1,$A393+1),IF($A393="List #",0,$A393))</f>
        <v>104</v>
      </c>
      <c r="B394" s="103" t="str">
        <f>MouserListTable12[[#This Row],[SKU]]</f>
        <v>474-COM-10349</v>
      </c>
      <c r="C394" s="103">
        <f>MouserListTable12[[#This Row],['# Initial]]</f>
        <v>0</v>
      </c>
      <c r="D394" s="103" t="str">
        <f>MouserListTable12[[#This Row],[Name]]</f>
        <v>P-Channel MOSFET 60V 27A</v>
      </c>
      <c r="E394" s="103">
        <f>MouserListTable12[[#This Row],[Price (USD)]]</f>
        <v>0.95</v>
      </c>
      <c r="F394" s="103">
        <f>MouserListTable12[[#This Row],[Total Price]]</f>
        <v>0</v>
      </c>
    </row>
    <row r="395" spans="1:6" s="146" customFormat="1" hidden="1" x14ac:dyDescent="0.3">
      <c r="A395" s="103">
        <f>IF(MouserListTable1215[[#This Row],[Qty.]]&gt;0,IF($A394="List #",1,$A394+1),IF($A394="List #",0,$A394))</f>
        <v>104</v>
      </c>
      <c r="B395" s="103" t="str">
        <f>MouserListTable12[[#This Row],[SKU]]</f>
        <v>474-COM-12901</v>
      </c>
      <c r="C395" s="103">
        <f>MouserListTable12[[#This Row],['# Initial]]</f>
        <v>0</v>
      </c>
      <c r="D395" s="103" t="str">
        <f>MouserListTable12[[#This Row],[Name]]</f>
        <v>P-Channel MOSFET 20V 24A - low Vgs(th)</v>
      </c>
      <c r="E395" s="103">
        <f>MouserListTable12[[#This Row],[Price (USD)]]</f>
        <v>1.95</v>
      </c>
      <c r="F395" s="103">
        <f>MouserListTable12[[#This Row],[Total Price]]</f>
        <v>0</v>
      </c>
    </row>
    <row r="396" spans="1:6" s="146" customFormat="1" x14ac:dyDescent="0.3">
      <c r="A396" s="193">
        <f>IF(MouserListTable1215[[#This Row],[Qty.]]&gt;0,IF($A395="List #",1,$A395+1),IF($A395="List #",0,$A395))</f>
        <v>105</v>
      </c>
      <c r="B396" s="103" t="str">
        <f>MouserListTable12[[#This Row],[SKU]]</f>
        <v>474-COM-11078</v>
      </c>
      <c r="C396" s="103">
        <f>MouserListTable12[[#This Row],['# Initial]]</f>
        <v>5</v>
      </c>
      <c r="D396" s="103" t="str">
        <f>MouserListTable12[[#This Row],[Name]]</f>
        <v>TL431 - Voltage Reference</v>
      </c>
      <c r="E396" s="179">
        <f>MouserListTable12[[#This Row],[Price (USD)]]</f>
        <v>0.5</v>
      </c>
      <c r="F396" s="179">
        <f>MouserListTable12[[#This Row],[Total Price]]</f>
        <v>2.5</v>
      </c>
    </row>
    <row r="397" spans="1:6" s="146" customFormat="1" x14ac:dyDescent="0.3">
      <c r="A397" s="193">
        <f>IF(MouserListTable1215[[#This Row],[Qty.]]&gt;0,IF($A396="List #",1,$A396+1),IF($A396="List #",0,$A396))</f>
        <v>106</v>
      </c>
      <c r="B397" s="103" t="str">
        <f>MouserListTable12[[#This Row],[SKU]]</f>
        <v>474-COM-00526</v>
      </c>
      <c r="C397" s="103">
        <f>MouserListTable12[[#This Row],['# Initial]]</f>
        <v>5</v>
      </c>
      <c r="D397" s="103" t="str">
        <f>MouserListTable12[[#This Row],[Name]]</f>
        <v>Voltage Regulator - 3.3V</v>
      </c>
      <c r="E397" s="179">
        <f>MouserListTable12[[#This Row],[Price (USD)]]</f>
        <v>1.95</v>
      </c>
      <c r="F397" s="179">
        <f>MouserListTable12[[#This Row],[Total Price]]</f>
        <v>9.75</v>
      </c>
    </row>
    <row r="398" spans="1:6" s="146" customFormat="1" x14ac:dyDescent="0.3">
      <c r="A398" s="193">
        <f>IF(MouserListTable1215[[#This Row],[Qty.]]&gt;0,IF($A397="List #",1,$A397+1),IF($A397="List #",0,$A397))</f>
        <v>107</v>
      </c>
      <c r="B398" s="103" t="str">
        <f>MouserListTable12[[#This Row],[SKU]]</f>
        <v>474-COM-00107</v>
      </c>
      <c r="C398" s="103">
        <f>MouserListTable12[[#This Row],['# Initial]]</f>
        <v>5</v>
      </c>
      <c r="D398" s="103" t="str">
        <f>MouserListTable12[[#This Row],[Name]]</f>
        <v>Voltage Regulator - 5V</v>
      </c>
      <c r="E398" s="179">
        <f>MouserListTable12[[#This Row],[Price (USD)]]</f>
        <v>0.95</v>
      </c>
      <c r="F398" s="179">
        <f>MouserListTable12[[#This Row],[Total Price]]</f>
        <v>4.75</v>
      </c>
    </row>
    <row r="399" spans="1:6" s="146" customFormat="1" hidden="1" x14ac:dyDescent="0.3">
      <c r="A399" s="103">
        <f>IF(MouserListTable1215[[#This Row],[Qty.]]&gt;0,IF($A398="List #",1,$A398+1),IF($A398="List #",0,$A398))</f>
        <v>107</v>
      </c>
      <c r="B399" s="103" t="str">
        <f>MouserListTable12[[#This Row],[SKU]]</f>
        <v>474-COM-12766</v>
      </c>
      <c r="C399" s="103">
        <f>MouserListTable12[[#This Row],['# Initial]]</f>
        <v>0</v>
      </c>
      <c r="D399" s="103" t="str">
        <f>MouserListTable12[[#This Row],[Name]]</f>
        <v>Voltage Regulator - 12V</v>
      </c>
      <c r="E399" s="103">
        <f>MouserListTable12[[#This Row],[Price (USD)]]</f>
        <v>1.5</v>
      </c>
      <c r="F399" s="103">
        <f>MouserListTable12[[#This Row],[Total Price]]</f>
        <v>0</v>
      </c>
    </row>
    <row r="400" spans="1:6" s="146" customFormat="1" hidden="1" x14ac:dyDescent="0.3">
      <c r="A400" s="103">
        <f>IF(MouserListTable1215[[#This Row],[Qty.]]&gt;0,IF($A399="List #",1,$A399+1),IF($A399="List #",0,$A399))</f>
        <v>107</v>
      </c>
      <c r="B400" s="103" t="str">
        <f>MouserListTable12[[#This Row],[SKU]]</f>
        <v>474-COM-00527</v>
      </c>
      <c r="C400" s="103">
        <f>MouserListTable12[[#This Row],['# Initial]]</f>
        <v>0</v>
      </c>
      <c r="D400" s="103" t="str">
        <f>MouserListTable12[[#This Row],[Name]]</f>
        <v>Voltage Regulator - Adjustable</v>
      </c>
      <c r="E400" s="103">
        <f>MouserListTable12[[#This Row],[Price (USD)]]</f>
        <v>1.95</v>
      </c>
      <c r="F400" s="103">
        <f>MouserListTable12[[#This Row],[Total Price]]</f>
        <v>0</v>
      </c>
    </row>
    <row r="401" spans="1:6" s="146" customFormat="1" x14ac:dyDescent="0.3">
      <c r="A401" s="193">
        <f>IF(MouserListTable1215[[#This Row],[Qty.]]&gt;0,IF($A400="List #",1,$A400+1),IF($A400="List #",0,$A400))</f>
        <v>108</v>
      </c>
      <c r="B401" s="103" t="str">
        <f>MouserListTable12[[#This Row],[SKU]]</f>
        <v>474-PRT-07937</v>
      </c>
      <c r="C401" s="103">
        <f>MouserListTable12[[#This Row],['# Initial]]</f>
        <v>25</v>
      </c>
      <c r="D401" s="103" t="str">
        <f>MouserListTable12[[#This Row],[Name]]</f>
        <v>DIP Sockets Solder Tail - 8-Pin</v>
      </c>
      <c r="E401" s="179">
        <f>MouserListTable12[[#This Row],[Price (USD)]]</f>
        <v>0.5</v>
      </c>
      <c r="F401" s="179">
        <f>MouserListTable12[[#This Row],[Total Price]]</f>
        <v>12.5</v>
      </c>
    </row>
    <row r="402" spans="1:6" s="146" customFormat="1" hidden="1" x14ac:dyDescent="0.3">
      <c r="A402" s="103">
        <f>IF(MouserListTable1215[[#This Row],[Qty.]]&gt;0,IF($A401="List #",1,$A401+1),IF($A401="List #",0,$A401))</f>
        <v>108</v>
      </c>
      <c r="B402" s="103" t="str">
        <f>MouserListTable12[[#This Row],[SKU]]</f>
        <v>485-2202</v>
      </c>
      <c r="C402" s="103">
        <f>MouserListTable12[[#This Row],['# Initial]]</f>
        <v>0</v>
      </c>
      <c r="D402" s="103" t="str">
        <f>MouserListTable12[[#This Row],[Name]]</f>
        <v>IC Socket - for 8-pin 0.3" Chips - Pack of 3</v>
      </c>
      <c r="E402" s="103">
        <f>MouserListTable12[[#This Row],[Price (USD)]]</f>
        <v>0.75</v>
      </c>
      <c r="F402" s="103">
        <f>MouserListTable12[[#This Row],[Total Price]]</f>
        <v>0</v>
      </c>
    </row>
    <row r="403" spans="1:6" s="146" customFormat="1" x14ac:dyDescent="0.3">
      <c r="A403" s="193">
        <f>IF(MouserListTable1215[[#This Row],[Qty.]]&gt;0,IF($A402="List #",1,$A402+1),IF($A402="List #",0,$A402))</f>
        <v>109</v>
      </c>
      <c r="B403" s="103" t="str">
        <f>MouserListTable12[[#This Row],[SKU]]</f>
        <v>474-COM-09456</v>
      </c>
      <c r="C403" s="103">
        <f>MouserListTable12[[#This Row],['# Initial]]</f>
        <v>10</v>
      </c>
      <c r="D403" s="103" t="str">
        <f>MouserListTable12[[#This Row],[Name]]</f>
        <v>Op-Amp (Through-Hole) - LM358</v>
      </c>
      <c r="E403" s="179">
        <f>MouserListTable12[[#This Row],[Price (USD)]]</f>
        <v>0.95</v>
      </c>
      <c r="F403" s="179">
        <f>MouserListTable12[[#This Row],[Total Price]]</f>
        <v>9.5</v>
      </c>
    </row>
    <row r="404" spans="1:6" s="146" customFormat="1" x14ac:dyDescent="0.3">
      <c r="A404" s="193">
        <f>IF(MouserListTable1215[[#This Row],[Qty.]]&gt;0,IF($A403="List #",1,$A403+1),IF($A403="List #",0,$A403))</f>
        <v>110</v>
      </c>
      <c r="B404" s="103" t="str">
        <f>MouserListTable12[[#This Row],[SKU]]</f>
        <v>474-COM-10613</v>
      </c>
      <c r="C404" s="103">
        <f>MouserListTable12[[#This Row],['# Initial]]</f>
        <v>5</v>
      </c>
      <c r="D404" s="103" t="str">
        <f>MouserListTable12[[#This Row],[Name]]</f>
        <v>Digital Potentiometer - 10K</v>
      </c>
      <c r="E404" s="179">
        <f>MouserListTable12[[#This Row],[Price (USD)]]</f>
        <v>1.5</v>
      </c>
      <c r="F404" s="179">
        <f>MouserListTable12[[#This Row],[Total Price]]</f>
        <v>7.5</v>
      </c>
    </row>
    <row r="405" spans="1:6" s="146" customFormat="1" x14ac:dyDescent="0.3">
      <c r="A405" s="193">
        <f>IF(MouserListTable1215[[#This Row],[Qty.]]&gt;0,IF($A404="List #",1,$A404+1),IF($A404="List #",0,$A404))</f>
        <v>111</v>
      </c>
      <c r="B405" s="103" t="str">
        <f>MouserListTable12[[#This Row],[SKU]]</f>
        <v>474-COM-09273</v>
      </c>
      <c r="C405" s="103">
        <f>MouserListTable12[[#This Row],['# Initial]]</f>
        <v>5</v>
      </c>
      <c r="D405" s="103" t="str">
        <f>MouserListTable12[[#This Row],[Name]]</f>
        <v>555 Timer</v>
      </c>
      <c r="E405" s="179">
        <f>MouserListTable12[[#This Row],[Price (USD)]]</f>
        <v>0.95</v>
      </c>
      <c r="F405" s="179">
        <f>MouserListTable12[[#This Row],[Total Price]]</f>
        <v>4.75</v>
      </c>
    </row>
    <row r="406" spans="1:6" s="146" customFormat="1" x14ac:dyDescent="0.3">
      <c r="A406" s="193">
        <f>IF(MouserListTable1215[[#This Row],[Qty.]]&gt;0,IF($A405="List #",1,$A405+1),IF($A405="List #",0,$A405))</f>
        <v>112</v>
      </c>
      <c r="B406" s="103" t="str">
        <f>MouserListTable12[[#This Row],[SKU]]</f>
        <v>474-COM-08636</v>
      </c>
      <c r="C406" s="103">
        <f>MouserListTable12[[#This Row],['# Initial]]</f>
        <v>5</v>
      </c>
      <c r="D406" s="103" t="str">
        <f>MouserListTable12[[#This Row],[Name]]</f>
        <v>Analog to Digital Converter - MCP3002</v>
      </c>
      <c r="E406" s="179">
        <f>MouserListTable12[[#This Row],[Price (USD)]]</f>
        <v>2.38</v>
      </c>
      <c r="F406" s="179">
        <f>MouserListTable12[[#This Row],[Total Price]]</f>
        <v>11.899999999999999</v>
      </c>
    </row>
    <row r="407" spans="1:6" s="146" customFormat="1" hidden="1" x14ac:dyDescent="0.3">
      <c r="A407" s="103">
        <f>IF(MouserListTable1215[[#This Row],[Qty.]]&gt;0,IF($A406="List #",1,$A406+1),IF($A406="List #",0,$A406))</f>
        <v>112</v>
      </c>
      <c r="B407" s="103" t="str">
        <f>MouserListTable12[[#This Row],[SKU]]</f>
        <v>474-COM-00317</v>
      </c>
      <c r="C407" s="103">
        <f>MouserListTable12[[#This Row],['# Initial]]</f>
        <v>0</v>
      </c>
      <c r="D407" s="103" t="str">
        <f>MouserListTable12[[#This Row],[Name]]</f>
        <v>Step Up/Down Inverting Switching Regulator</v>
      </c>
      <c r="E407" s="103">
        <f>MouserListTable12[[#This Row],[Price (USD)]]</f>
        <v>1.95</v>
      </c>
      <c r="F407" s="103">
        <f>MouserListTable12[[#This Row],[Total Price]]</f>
        <v>0</v>
      </c>
    </row>
    <row r="408" spans="1:6" s="146" customFormat="1" hidden="1" x14ac:dyDescent="0.3">
      <c r="A408" s="103">
        <f>IF(MouserListTable1215[[#This Row],[Qty.]]&gt;0,IF($A407="List #",1,$A407+1),IF($A407="List #",0,$A407))</f>
        <v>112</v>
      </c>
      <c r="B408" s="103" t="str">
        <f>MouserListTable12[[#This Row],[SKU]]</f>
        <v>485-1787</v>
      </c>
      <c r="C408" s="103">
        <f>MouserListTable12[[#This Row],['# Initial]]</f>
        <v>0</v>
      </c>
      <c r="D408" s="103" t="str">
        <f>MouserListTable12[[#This Row],[Name]]</f>
        <v xml:space="preserve">74AHCT125 - Quad Level-Shifter (3V to 5V) - 74AHCT125 </v>
      </c>
      <c r="E408" s="103">
        <f>MouserListTable12[[#This Row],[Price (USD)]]</f>
        <v>1.5</v>
      </c>
      <c r="F408" s="103">
        <f>MouserListTable12[[#This Row],[Total Price]]</f>
        <v>0</v>
      </c>
    </row>
    <row r="409" spans="1:6" s="146" customFormat="1" hidden="1" x14ac:dyDescent="0.3">
      <c r="A409" s="103">
        <f>IF(MouserListTable1215[[#This Row],[Qty.]]&gt;0,IF($A408="List #",1,$A408+1),IF($A408="List #",0,$A408))</f>
        <v>112</v>
      </c>
      <c r="B409" s="103" t="str">
        <f>MouserListTable12[[#This Row],[SKU]]</f>
        <v>474-COM-00525</v>
      </c>
      <c r="C409" s="103">
        <f>MouserListTable12[[#This Row],['# Initial]]</f>
        <v>0</v>
      </c>
      <c r="D409" s="103" t="str">
        <f>MouserListTable12[[#This Row],[Name]]</f>
        <v>I2C EEPROM - 256kbit</v>
      </c>
      <c r="E409" s="103">
        <f>MouserListTable12[[#This Row],[Price (USD)]]</f>
        <v>1.95</v>
      </c>
      <c r="F409" s="103">
        <f>MouserListTable12[[#This Row],[Total Price]]</f>
        <v>0</v>
      </c>
    </row>
    <row r="410" spans="1:6" s="146" customFormat="1" hidden="1" x14ac:dyDescent="0.3">
      <c r="A410" s="103">
        <f>IF(MouserListTable1215[[#This Row],[Qty.]]&gt;0,IF($A409="List #",1,$A409+1),IF($A409="List #",0,$A409))</f>
        <v>112</v>
      </c>
      <c r="B410" s="103" t="str">
        <f>MouserListTable12[[#This Row],[SKU]]</f>
        <v>474-COM-13699</v>
      </c>
      <c r="C410" s="103">
        <f>MouserListTable12[[#This Row],['# Initial]]</f>
        <v>0</v>
      </c>
      <c r="D410" s="103" t="str">
        <f>MouserListTable12[[#This Row],[Name]]</f>
        <v>Shift Register 8-Bit - SN74HC595</v>
      </c>
      <c r="E410" s="103">
        <f>MouserListTable12[[#This Row],[Price (USD)]]</f>
        <v>0.95</v>
      </c>
      <c r="F410" s="103">
        <f>MouserListTable12[[#This Row],[Total Price]]</f>
        <v>0</v>
      </c>
    </row>
    <row r="411" spans="1:6" s="146" customFormat="1" hidden="1" x14ac:dyDescent="0.3">
      <c r="A411" s="103">
        <f>IF(MouserListTable1215[[#This Row],[Qty.]]&gt;0,IF($A410="List #",1,$A410+1),IF($A410="List #",0,$A410))</f>
        <v>112</v>
      </c>
      <c r="B411" s="103" t="str">
        <f>MouserListTable12[[#This Row],[SKU]]</f>
        <v>474-BOB-11733</v>
      </c>
      <c r="C411" s="103">
        <f>MouserListTable12[[#This Row],['# Initial]]</f>
        <v>0</v>
      </c>
      <c r="D411" s="103" t="str">
        <f>MouserListTable12[[#This Row],[Name]]</f>
        <v>SparkFun Shift-In Breakout - SN74HC165</v>
      </c>
      <c r="E411" s="103">
        <f>MouserListTable12[[#This Row],[Price (USD)]]</f>
        <v>3.95</v>
      </c>
      <c r="F411" s="103">
        <f>MouserListTable12[[#This Row],[Total Price]]</f>
        <v>0</v>
      </c>
    </row>
    <row r="412" spans="1:6" s="146" customFormat="1" x14ac:dyDescent="0.3">
      <c r="A412" s="193">
        <f>IF(MouserListTable1215[[#This Row],[Qty.]]&gt;0,IF($A411="List #",1,$A411+1),IF($A411="List #",0,$A411))</f>
        <v>113</v>
      </c>
      <c r="B412" s="103" t="str">
        <f>MouserListTable12[[#This Row],[SKU]]</f>
        <v>474-COM-08034</v>
      </c>
      <c r="C412" s="103">
        <f>MouserListTable12[[#This Row],['# Initial]]</f>
        <v>5</v>
      </c>
      <c r="D412" s="103" t="str">
        <f>MouserListTable12[[#This Row],[Name]]</f>
        <v>DIP Switch - 8 Position</v>
      </c>
      <c r="E412" s="179">
        <f>MouserListTable12[[#This Row],[Price (USD)]]</f>
        <v>1.5</v>
      </c>
      <c r="F412" s="179">
        <f>MouserListTable12[[#This Row],[Total Price]]</f>
        <v>7.5</v>
      </c>
    </row>
    <row r="413" spans="1:6" s="146" customFormat="1" hidden="1" x14ac:dyDescent="0.3">
      <c r="A413" s="103">
        <f>IF(MouserListTable1215[[#This Row],[Qty.]]&gt;0,IF($A412="List #",1,$A412+1),IF($A412="List #",0,$A412))</f>
        <v>113</v>
      </c>
      <c r="B413" s="103" t="str">
        <f>MouserListTable12[[#This Row],[SKU]]</f>
        <v>474-PRT-13875</v>
      </c>
      <c r="C413" s="103">
        <f>MouserListTable12[[#This Row],['# Initial]]</f>
        <v>0</v>
      </c>
      <c r="D413" s="103" t="str">
        <f>MouserListTable12[[#This Row],[Name]]</f>
        <v>Stackable Header - 3 Pin (Female, 0.1\")</v>
      </c>
      <c r="E413" s="103">
        <f>MouserListTable12[[#This Row],[Price (USD)]]</f>
        <v>0.5</v>
      </c>
      <c r="F413" s="103">
        <f>MouserListTable12[[#This Row],[Total Price]]</f>
        <v>0</v>
      </c>
    </row>
    <row r="414" spans="1:6" s="146" customFormat="1" hidden="1" x14ac:dyDescent="0.3">
      <c r="A414" s="103">
        <f>IF(MouserListTable1215[[#This Row],[Qty.]]&gt;0,IF($A413="List #",1,$A413+1),IF($A413="List #",0,$A413))</f>
        <v>113</v>
      </c>
      <c r="B414" s="103" t="str">
        <f>MouserListTable12[[#This Row],[SKU]]</f>
        <v>474-PRT-12790</v>
      </c>
      <c r="C414" s="103">
        <f>MouserListTable12[[#This Row],['# Initial]]</f>
        <v>0</v>
      </c>
      <c r="D414" s="103" t="str">
        <f>MouserListTable12[[#This Row],[Name]]</f>
        <v>Stackable Header - 2x23 Pin Female</v>
      </c>
      <c r="E414" s="103">
        <f>MouserListTable12[[#This Row],[Price (USD)]]</f>
        <v>2.95</v>
      </c>
      <c r="F414" s="103">
        <f>MouserListTable12[[#This Row],[Total Price]]</f>
        <v>0</v>
      </c>
    </row>
    <row r="415" spans="1:6" s="146" customFormat="1" hidden="1" x14ac:dyDescent="0.3">
      <c r="A415" s="103">
        <f>IF(MouserListTable1215[[#This Row],[Qty.]]&gt;0,IF($A414="List #",1,$A414+1),IF($A414="List #",0,$A414))</f>
        <v>113</v>
      </c>
      <c r="B415" s="103" t="str">
        <f>MouserListTable12[[#This Row],[SKU]]</f>
        <v>474-PRT-10007</v>
      </c>
      <c r="C415" s="103">
        <f>MouserListTable12[[#This Row],['# Initial]]</f>
        <v>0</v>
      </c>
      <c r="D415" s="103" t="str">
        <f>MouserListTable12[[#This Row],[Name]]</f>
        <v>Arduino Stackable Header Kit</v>
      </c>
      <c r="E415" s="103">
        <f>MouserListTable12[[#This Row],[Price (USD)]]</f>
        <v>1.5</v>
      </c>
      <c r="F415" s="103">
        <f>MouserListTable12[[#This Row],[Total Price]]</f>
        <v>0</v>
      </c>
    </row>
    <row r="416" spans="1:6" s="146" customFormat="1" hidden="1" x14ac:dyDescent="0.3">
      <c r="A416" s="103">
        <f>IF(MouserListTable1215[[#This Row],[Qty.]]&gt;0,IF($A415="List #",1,$A415+1),IF($A415="List #",0,$A415))</f>
        <v>113</v>
      </c>
      <c r="B416" s="103" t="str">
        <f>MouserListTable12[[#This Row],[SKU]]</f>
        <v>474-PRT-11376</v>
      </c>
      <c r="C416" s="103">
        <f>MouserListTable12[[#This Row],['# Initial]]</f>
        <v>0</v>
      </c>
      <c r="D416" s="103" t="str">
        <f>MouserListTable12[[#This Row],[Name]]</f>
        <v>Arduino Stackable Header - 10 Pin</v>
      </c>
      <c r="E416" s="103">
        <f>MouserListTable12[[#This Row],[Price (USD)]]</f>
        <v>0.5</v>
      </c>
      <c r="F416" s="103">
        <f>MouserListTable12[[#This Row],[Total Price]]</f>
        <v>0</v>
      </c>
    </row>
    <row r="417" spans="1:6" s="146" customFormat="1" hidden="1" x14ac:dyDescent="0.3">
      <c r="A417" s="103">
        <f>IF(MouserListTable1215[[#This Row],[Qty.]]&gt;0,IF($A416="List #",1,$A416+1),IF($A416="List #",0,$A416))</f>
        <v>113</v>
      </c>
      <c r="B417" s="103" t="str">
        <f>MouserListTable12[[#This Row],[SKU]]</f>
        <v>474-PRT-14311</v>
      </c>
      <c r="C417" s="103">
        <f>MouserListTable12[[#This Row],['# Initial]]</f>
        <v>0</v>
      </c>
      <c r="D417" s="103" t="str">
        <f>MouserListTable12[[#This Row],[Name]]</f>
        <v>ESP32 Thing Stackable Header Set</v>
      </c>
      <c r="E417" s="103">
        <f>MouserListTable12[[#This Row],[Price (USD)]]</f>
        <v>1.5</v>
      </c>
      <c r="F417" s="103">
        <f>MouserListTable12[[#This Row],[Total Price]]</f>
        <v>0</v>
      </c>
    </row>
    <row r="418" spans="1:6" s="146" customFormat="1" hidden="1" x14ac:dyDescent="0.3">
      <c r="A418" s="103">
        <f>IF(MouserListTable1215[[#This Row],[Qty.]]&gt;0,IF($A417="List #",1,$A417+1),IF($A417="List #",0,$A417))</f>
        <v>113</v>
      </c>
      <c r="B418" s="103" t="str">
        <f>MouserListTable12[[#This Row],[SKU]]</f>
        <v>474-PRT-14322</v>
      </c>
      <c r="C418" s="103">
        <f>MouserListTable12[[#This Row],['# Initial]]</f>
        <v>0</v>
      </c>
      <c r="D418" s="103" t="str">
        <f>MouserListTable12[[#This Row],[Name]]</f>
        <v>Photon Stackable Header - 12 Pin</v>
      </c>
      <c r="E418" s="103">
        <f>MouserListTable12[[#This Row],[Price (USD)]]</f>
        <v>0.5</v>
      </c>
      <c r="F418" s="103">
        <f>MouserListTable12[[#This Row],[Total Price]]</f>
        <v>0</v>
      </c>
    </row>
    <row r="419" spans="1:6" s="146" customFormat="1" hidden="1" x14ac:dyDescent="0.3">
      <c r="A419" s="103">
        <f>IF(MouserListTable1215[[#This Row],[Qty.]]&gt;0,IF($A418="List #",1,$A418+1),IF($A418="List #",0,$A418))</f>
        <v>113</v>
      </c>
      <c r="B419" s="103" t="str">
        <f>MouserListTable12[[#This Row],[SKU]]</f>
        <v>474-PRT-13925</v>
      </c>
      <c r="C419" s="103">
        <f>MouserListTable12[[#This Row],['# Initial]]</f>
        <v>0</v>
      </c>
      <c r="D419" s="103" t="str">
        <f>MouserListTable12[[#This Row],[Name]]</f>
        <v>Teensy Header Kit</v>
      </c>
      <c r="E419" s="103">
        <f>MouserListTable12[[#This Row],[Price (USD)]]</f>
        <v>1.5</v>
      </c>
      <c r="F419" s="103">
        <f>MouserListTable12[[#This Row],[Total Price]]</f>
        <v>0</v>
      </c>
    </row>
    <row r="420" spans="1:6" s="146" customFormat="1" x14ac:dyDescent="0.3">
      <c r="A420" s="193">
        <f>IF(MouserListTable1215[[#This Row],[Qty.]]&gt;0,IF($A419="List #",1,$A419+1),IF($A419="List #",0,$A419))</f>
        <v>114</v>
      </c>
      <c r="B420" s="103" t="str">
        <f>MouserListTable12[[#This Row],[SKU]]</f>
        <v>485-85</v>
      </c>
      <c r="C420" s="103">
        <f>MouserListTable12[[#This Row],['# Initial]]</f>
        <v>10</v>
      </c>
      <c r="D420" s="103" t="str">
        <f>MouserListTable12[[#This Row],[Name]]</f>
        <v>Shield stacking headers for Arduino (R3 Compatible)</v>
      </c>
      <c r="E420" s="179">
        <f>MouserListTable12[[#This Row],[Price (USD)]]</f>
        <v>1.95</v>
      </c>
      <c r="F420" s="179">
        <f>MouserListTable12[[#This Row],[Total Price]]</f>
        <v>19.5</v>
      </c>
    </row>
    <row r="421" spans="1:6" s="146" customFormat="1" x14ac:dyDescent="0.3">
      <c r="A421" s="193">
        <f>IF(MouserListTable1215[[#This Row],[Qty.]]&gt;0,IF($A420="List #",1,$A420+1),IF($A420="List #",0,$A420))</f>
        <v>115</v>
      </c>
      <c r="B421" s="103" t="str">
        <f>MouserListTable12[[#This Row],[SKU]]</f>
        <v>485-3366</v>
      </c>
      <c r="C421" s="103">
        <f>MouserListTable12[[#This Row],['# Initial]]</f>
        <v>1</v>
      </c>
      <c r="D421" s="103" t="str">
        <f>MouserListTable12[[#This Row],[Name]]</f>
        <v>36-pin Stacking header - pack of 5!</v>
      </c>
      <c r="E421" s="179">
        <f>MouserListTable12[[#This Row],[Price (USD)]]</f>
        <v>2.95</v>
      </c>
      <c r="F421" s="179">
        <f>MouserListTable12[[#This Row],[Total Price]]</f>
        <v>2.95</v>
      </c>
    </row>
    <row r="422" spans="1:6" s="146" customFormat="1" hidden="1" x14ac:dyDescent="0.3">
      <c r="A422" s="103">
        <f>IF(MouserListTable1215[[#This Row],[Qty.]]&gt;0,IF($A421="List #",1,$A421+1),IF($A421="List #",0,$A421))</f>
        <v>115</v>
      </c>
      <c r="B422" s="103" t="str">
        <f>MouserListTable12[[#This Row],[SKU]]</f>
        <v>474-PRT-12807</v>
      </c>
      <c r="C422" s="103">
        <f>MouserListTable12[[#This Row],['# Initial]]</f>
        <v>0</v>
      </c>
      <c r="D422" s="103" t="str">
        <f>MouserListTable12[[#This Row],[Name]]</f>
        <v>Header - 2x3 (Male, 0.1\")</v>
      </c>
      <c r="E422" s="103">
        <f>MouserListTable12[[#This Row],[Price (USD)]]</f>
        <v>0.5</v>
      </c>
      <c r="F422" s="103">
        <f>MouserListTable12[[#This Row],[Total Price]]</f>
        <v>0</v>
      </c>
    </row>
    <row r="423" spans="1:6" s="146" customFormat="1" hidden="1" x14ac:dyDescent="0.3">
      <c r="A423" s="103">
        <f>IF(MouserListTable1215[[#This Row],[Qty.]]&gt;0,IF($A422="List #",1,$A422+1),IF($A422="List #",0,$A422))</f>
        <v>115</v>
      </c>
      <c r="B423" s="103" t="str">
        <f>MouserListTable12[[#This Row],[SKU]]</f>
        <v>474-PRT-13156</v>
      </c>
      <c r="C423" s="103">
        <f>MouserListTable12[[#This Row],['# Initial]]</f>
        <v>0</v>
      </c>
      <c r="D423" s="103" t="str">
        <f>MouserListTable12[[#This Row],[Name]]</f>
        <v xml:space="preserve">Header - 2x8 (Male, 0.1\") </v>
      </c>
      <c r="E423" s="103">
        <f>MouserListTable12[[#This Row],[Price (USD)]]</f>
        <v>0.95</v>
      </c>
      <c r="F423" s="103">
        <f>MouserListTable12[[#This Row],[Total Price]]</f>
        <v>0</v>
      </c>
    </row>
    <row r="424" spans="1:6" s="146" customFormat="1" hidden="1" x14ac:dyDescent="0.3">
      <c r="A424" s="103">
        <f>IF(MouserListTable1215[[#This Row],[Qty.]]&gt;0,IF($A423="List #",1,$A423+1),IF($A423="List #",0,$A423))</f>
        <v>115</v>
      </c>
      <c r="B424" s="103" t="str">
        <f>MouserListTable12[[#This Row],[SKU]]</f>
        <v>474-PRT-12791</v>
      </c>
      <c r="C424" s="103">
        <f>MouserListTable12[[#This Row],['# Initial]]</f>
        <v>0</v>
      </c>
      <c r="D424" s="103" t="str">
        <f>MouserListTable12[[#This Row],[Name]]</f>
        <v>Header - 2x23-pin Male (PTH, 0.1\")</v>
      </c>
      <c r="E424" s="179">
        <f>MouserListTable12[[#This Row],[Price (USD)]]</f>
        <v>0.95</v>
      </c>
      <c r="F424" s="179">
        <f>MouserListTable12[[#This Row],[Total Price]]</f>
        <v>0</v>
      </c>
    </row>
    <row r="425" spans="1:6" s="146" customFormat="1" hidden="1" x14ac:dyDescent="0.3">
      <c r="A425" s="103">
        <f>IF(MouserListTable1215[[#This Row],[Qty.]]&gt;0,IF($A424="List #",1,$A424+1),IF($A424="List #",0,$A424))</f>
        <v>115</v>
      </c>
      <c r="B425" s="103" t="str">
        <f>MouserListTable12[[#This Row],[SKU]]</f>
        <v>474-PRT-00116</v>
      </c>
      <c r="C425" s="103">
        <f>MouserListTable12[[#This Row],['# Initial]]</f>
        <v>0</v>
      </c>
      <c r="D425" s="103" t="str">
        <f>MouserListTable12[[#This Row],[Name]]</f>
        <v>Break Away Headers - Straight</v>
      </c>
      <c r="E425" s="103">
        <f>MouserListTable12[[#This Row],[Price (USD)]]</f>
        <v>1.5</v>
      </c>
      <c r="F425" s="103">
        <f>MouserListTable12[[#This Row],[Total Price]]</f>
        <v>0</v>
      </c>
    </row>
    <row r="426" spans="1:6" s="146" customFormat="1" x14ac:dyDescent="0.3">
      <c r="A426" s="193">
        <f>IF(MouserListTable1215[[#This Row],[Qty.]]&gt;0,IF($A425="List #",1,$A425+1),IF($A425="List #",0,$A425))</f>
        <v>116</v>
      </c>
      <c r="B426" s="103" t="str">
        <f>MouserListTable12[[#This Row],[SKU]]</f>
        <v>485-392</v>
      </c>
      <c r="C426" s="103">
        <f>MouserListTable12[[#This Row],['# Initial]]</f>
        <v>1</v>
      </c>
      <c r="D426" s="103" t="str">
        <f>MouserListTable12[[#This Row],[Name]]</f>
        <v>Break-away 0.1" 36-pin strip male header (10 pieces)</v>
      </c>
      <c r="E426" s="179">
        <f>MouserListTable12[[#This Row],[Price (USD)]]</f>
        <v>4.95</v>
      </c>
      <c r="F426" s="179">
        <f>MouserListTable12[[#This Row],[Total Price]]</f>
        <v>4.95</v>
      </c>
    </row>
    <row r="427" spans="1:6" s="146" customFormat="1" x14ac:dyDescent="0.3">
      <c r="A427" s="193">
        <f>IF(MouserListTable1215[[#This Row],[Qty.]]&gt;0,IF($A426="List #",1,$A426+1),IF($A426="List #",0,$A426))</f>
        <v>117</v>
      </c>
      <c r="B427" s="103" t="str">
        <f>MouserListTable12[[#This Row],[SKU]]</f>
        <v>485-3009</v>
      </c>
      <c r="C427" s="103">
        <f>MouserListTable12[[#This Row],['# Initial]]</f>
        <v>1</v>
      </c>
      <c r="D427" s="103" t="str">
        <f>MouserListTable12[[#This Row],[Name]]</f>
        <v xml:space="preserve">36-pin 0.1" Short Break-away Male Header - Pack of 10 </v>
      </c>
      <c r="E427" s="179">
        <f>MouserListTable12[[#This Row],[Price (USD)]]</f>
        <v>4.95</v>
      </c>
      <c r="F427" s="179">
        <f>MouserListTable12[[#This Row],[Total Price]]</f>
        <v>4.95</v>
      </c>
    </row>
    <row r="428" spans="1:6" s="146" customFormat="1" x14ac:dyDescent="0.3">
      <c r="A428" s="193">
        <f>IF(MouserListTable1215[[#This Row],[Qty.]]&gt;0,IF($A427="List #",1,$A427+1),IF($A427="List #",0,$A427))</f>
        <v>118</v>
      </c>
      <c r="B428" s="103" t="str">
        <f>MouserListTable12[[#This Row],[SKU]]</f>
        <v>474-PRT-10158</v>
      </c>
      <c r="C428" s="103">
        <f>MouserListTable12[[#This Row],['# Initial]]</f>
        <v>5</v>
      </c>
      <c r="D428" s="103" t="str">
        <f>MouserListTable12[[#This Row],[Name]]</f>
        <v>Break Away Headers - Long</v>
      </c>
      <c r="E428" s="179">
        <f>MouserListTable12[[#This Row],[Price (USD)]]</f>
        <v>2.95</v>
      </c>
      <c r="F428" s="179">
        <f>MouserListTable12[[#This Row],[Total Price]]</f>
        <v>14.75</v>
      </c>
    </row>
    <row r="429" spans="1:6" s="146" customFormat="1" x14ac:dyDescent="0.3">
      <c r="A429" s="193">
        <f>IF(MouserListTable1215[[#This Row],[Qty.]]&gt;0,IF($A428="List #",1,$A428+1),IF($A428="List #",0,$A428))</f>
        <v>119</v>
      </c>
      <c r="B429" s="103" t="str">
        <f>MouserListTable12[[#This Row],[SKU]]</f>
        <v>474-PRT-12693</v>
      </c>
      <c r="C429" s="103">
        <f>MouserListTable12[[#This Row],['# Initial]]</f>
        <v>5</v>
      </c>
      <c r="D429" s="103" t="str">
        <f>MouserListTable12[[#This Row],[Name]]</f>
        <v>Break Away Headers - 40-pin Male (Long Centered, PTH, 0.1\")</v>
      </c>
      <c r="E429" s="179">
        <f>MouserListTable12[[#This Row],[Price (USD)]]</f>
        <v>0.75</v>
      </c>
      <c r="F429" s="179">
        <f>MouserListTable12[[#This Row],[Total Price]]</f>
        <v>3.75</v>
      </c>
    </row>
    <row r="430" spans="1:6" s="146" customFormat="1" x14ac:dyDescent="0.3">
      <c r="A430" s="193">
        <f>IF(MouserListTable1215[[#This Row],[Qty.]]&gt;0,IF($A429="List #",1,$A429+1),IF($A429="List #",0,$A429))</f>
        <v>120</v>
      </c>
      <c r="B430" s="103" t="str">
        <f>MouserListTable12[[#This Row],[SKU]]</f>
        <v>485-400</v>
      </c>
      <c r="C430" s="103">
        <f>MouserListTable12[[#This Row],['# Initial]]</f>
        <v>1</v>
      </c>
      <c r="D430" s="103" t="str">
        <f>MouserListTable12[[#This Row],[Name]]</f>
        <v>Extra-long break-away 0.1" 16-pin strip male header (5 pieces)</v>
      </c>
      <c r="E430" s="179">
        <f>MouserListTable12[[#This Row],[Price (USD)]]</f>
        <v>3</v>
      </c>
      <c r="F430" s="179">
        <f>MouserListTable12[[#This Row],[Total Price]]</f>
        <v>3</v>
      </c>
    </row>
    <row r="431" spans="1:6" s="146" customFormat="1" hidden="1" x14ac:dyDescent="0.3">
      <c r="A431" s="103">
        <f>IF(MouserListTable1215[[#This Row],[Qty.]]&gt;0,IF($A430="List #",1,$A430+1),IF($A430="List #",0,$A430))</f>
        <v>120</v>
      </c>
      <c r="B431" s="103" t="str">
        <f>MouserListTable12[[#This Row],[SKU]]</f>
        <v>474-PRT-00553</v>
      </c>
      <c r="C431" s="103">
        <f>MouserListTable12[[#This Row],['# Initial]]</f>
        <v>0</v>
      </c>
      <c r="D431" s="103" t="str">
        <f>MouserListTable12[[#This Row],[Name]]</f>
        <v>Break Away Male Headers - Right Angle</v>
      </c>
      <c r="E431" s="103">
        <f>MouserListTable12[[#This Row],[Price (USD)]]</f>
        <v>1.95</v>
      </c>
      <c r="F431" s="103">
        <f>MouserListTable12[[#This Row],[Total Price]]</f>
        <v>0</v>
      </c>
    </row>
    <row r="432" spans="1:6" s="146" customFormat="1" hidden="1" x14ac:dyDescent="0.3">
      <c r="A432" s="193">
        <f>IF(MouserListTable1215[[#This Row],[Qty.]]&gt;0,IF($A431="List #",1,$A431+1),IF($A431="List #",0,$A431))</f>
        <v>120</v>
      </c>
      <c r="B432" s="103" t="str">
        <f>MouserListTable12[[#This Row],[SKU]]</f>
        <v>485-1540</v>
      </c>
      <c r="C432" s="103">
        <f>MouserListTable12[[#This Row],['# Initial]]</f>
        <v>0</v>
      </c>
      <c r="D432" s="103" t="str">
        <f>MouserListTable12[[#This Row],[Name]]</f>
        <v xml:space="preserve">Break-away 0.1" 36-pin strip right-angle male header (10 pack) </v>
      </c>
      <c r="E432" s="179">
        <f>MouserListTable12[[#This Row],[Price (USD)]]</f>
        <v>5.95</v>
      </c>
      <c r="F432" s="179">
        <f>MouserListTable12[[#This Row],[Total Price]]</f>
        <v>0</v>
      </c>
    </row>
    <row r="433" spans="1:6" s="146" customFormat="1" hidden="1" x14ac:dyDescent="0.3">
      <c r="A433" s="103">
        <f>IF(MouserListTable1215[[#This Row],[Qty.]]&gt;0,IF($A432="List #",1,$A432+1),IF($A432="List #",0,$A432))</f>
        <v>120</v>
      </c>
      <c r="B433" s="103" t="str">
        <f>MouserListTable12[[#This Row],[SKU]]</f>
        <v>485-2822</v>
      </c>
      <c r="C433" s="103">
        <f>MouserListTable12[[#This Row],['# Initial]]</f>
        <v>0</v>
      </c>
      <c r="D433" s="103" t="str">
        <f>MouserListTable12[[#This Row],[Name]]</f>
        <v>Break-away 0.1" 2x20-pin Strip Dual Male Header</v>
      </c>
      <c r="E433" s="103">
        <f>MouserListTable12[[#This Row],[Price (USD)]]</f>
        <v>0.95</v>
      </c>
      <c r="F433" s="103">
        <f>MouserListTable12[[#This Row],[Total Price]]</f>
        <v>0</v>
      </c>
    </row>
    <row r="434" spans="1:6" s="146" customFormat="1" x14ac:dyDescent="0.3">
      <c r="A434" s="193">
        <f>IF(MouserListTable1215[[#This Row],[Qty.]]&gt;0,IF($A433="List #",1,$A433+1),IF($A433="List #",0,$A433))</f>
        <v>121</v>
      </c>
      <c r="B434" s="103" t="str">
        <f>MouserListTable12[[#This Row],[SKU]]</f>
        <v>485-1539</v>
      </c>
      <c r="C434" s="103">
        <f>MouserListTable12[[#This Row],['# Initial]]</f>
        <v>1</v>
      </c>
      <c r="D434" s="103" t="str">
        <f>MouserListTable12[[#This Row],[Name]]</f>
        <v>Break-away 0.1" 2x36-pin strip dual male header (10 pieces)</v>
      </c>
      <c r="E434" s="179">
        <f>MouserListTable12[[#This Row],[Price (USD)]]</f>
        <v>7.5</v>
      </c>
      <c r="F434" s="179">
        <f>MouserListTable12[[#This Row],[Total Price]]</f>
        <v>7.5</v>
      </c>
    </row>
    <row r="435" spans="1:6" s="146" customFormat="1" x14ac:dyDescent="0.3">
      <c r="A435" s="193">
        <f>IF(MouserListTable1215[[#This Row],[Qty.]]&gt;0,IF($A434="List #",1,$A434+1),IF($A434="List #",0,$A434))</f>
        <v>122</v>
      </c>
      <c r="B435" s="103" t="str">
        <f>MouserListTable12[[#This Row],[SKU]]</f>
        <v>485-1541</v>
      </c>
      <c r="C435" s="103">
        <f>MouserListTable12[[#This Row],['# Initial]]</f>
        <v>1</v>
      </c>
      <c r="D435" s="103" t="str">
        <f>MouserListTable12[[#This Row],[Name]]</f>
        <v xml:space="preserve">Break-away 0.1" 2x36-pin strip right-angle male header (5 pack) </v>
      </c>
      <c r="E435" s="179">
        <f>MouserListTable12[[#This Row],[Price (USD)]]</f>
        <v>5.95</v>
      </c>
      <c r="F435" s="179">
        <f>MouserListTable12[[#This Row],[Total Price]]</f>
        <v>5.95</v>
      </c>
    </row>
    <row r="436" spans="1:6" s="146" customFormat="1" hidden="1" x14ac:dyDescent="0.3">
      <c r="A436" s="103">
        <f>IF(MouserListTable1215[[#This Row],[Qty.]]&gt;0,IF($A435="List #",1,$A435+1),IF($A435="List #",0,$A435))</f>
        <v>122</v>
      </c>
      <c r="B436" s="103" t="str">
        <f>MouserListTable12[[#This Row],[SKU]]</f>
        <v>474-COM-12792</v>
      </c>
      <c r="C436" s="103">
        <f>MouserListTable12[[#This Row],['# Initial]]</f>
        <v>0</v>
      </c>
      <c r="D436" s="103" t="str">
        <f>MouserListTable12[[#This Row],[Name]]</f>
        <v>Break Away Headers - Right Angle 2x40</v>
      </c>
      <c r="E436" s="103">
        <f>MouserListTable12[[#This Row],[Price (USD)]]</f>
        <v>1.95</v>
      </c>
      <c r="F436" s="103">
        <f>MouserListTable12[[#This Row],[Total Price]]</f>
        <v>0</v>
      </c>
    </row>
    <row r="437" spans="1:6" s="146" customFormat="1" hidden="1" x14ac:dyDescent="0.3">
      <c r="A437" s="103">
        <f>IF(MouserListTable1215[[#This Row],[Qty.]]&gt;0,IF($A436="List #",1,$A436+1),IF($A436="List #",0,$A436))</f>
        <v>122</v>
      </c>
      <c r="B437" s="103" t="str">
        <f>MouserListTable12[[#This Row],[SKU]]</f>
        <v>474-COM-10095</v>
      </c>
      <c r="C437" s="103">
        <f>MouserListTable12[[#This Row],['# Initial]]</f>
        <v>0</v>
      </c>
      <c r="D437" s="103" t="str">
        <f>MouserListTable12[[#This Row],[Name]]</f>
        <v>Break Away Headers - Right Angle 3x40</v>
      </c>
      <c r="E437" s="103">
        <f>MouserListTable12[[#This Row],[Price (USD)]]</f>
        <v>4.95</v>
      </c>
      <c r="F437" s="103">
        <f>MouserListTable12[[#This Row],[Total Price]]</f>
        <v>0</v>
      </c>
    </row>
    <row r="438" spans="1:6" s="146" customFormat="1" hidden="1" x14ac:dyDescent="0.3">
      <c r="A438" s="103">
        <f>IF(MouserListTable1215[[#This Row],[Qty.]]&gt;0,IF($A437="List #",1,$A437+1),IF($A437="List #",0,$A437))</f>
        <v>122</v>
      </c>
      <c r="B438" s="103" t="str">
        <f>MouserListTable12[[#This Row],[SKU]]</f>
        <v>474-PRT-10112</v>
      </c>
      <c r="C438" s="103">
        <f>MouserListTable12[[#This Row],['# Initial]]</f>
        <v>0</v>
      </c>
      <c r="D438" s="103" t="str">
        <f>MouserListTable12[[#This Row],[Name]]</f>
        <v>2mm 10pin XBee Header</v>
      </c>
      <c r="E438" s="103">
        <f>MouserListTable12[[#This Row],[Price (USD)]]</f>
        <v>0.95</v>
      </c>
      <c r="F438" s="103">
        <f>MouserListTable12[[#This Row],[Total Price]]</f>
        <v>0</v>
      </c>
    </row>
    <row r="439" spans="1:6" s="146" customFormat="1" x14ac:dyDescent="0.3">
      <c r="A439" s="193">
        <f>IF(MouserListTable1215[[#This Row],[Qty.]]&gt;0,IF($A438="List #",1,$A438+1),IF($A438="List #",0,$A438))</f>
        <v>123</v>
      </c>
      <c r="B439" s="103" t="str">
        <f>MouserListTable12[[#This Row],[SKU]]</f>
        <v>485-2671</v>
      </c>
      <c r="C439" s="103">
        <f>MouserListTable12[[#This Row],['# Initial]]</f>
        <v>1</v>
      </c>
      <c r="D439" s="103" t="str">
        <f>MouserListTable12[[#This Row],[Name]]</f>
        <v>2mm Pitch 40-Pin Break-apart Male Headers - Pack of 5</v>
      </c>
      <c r="E439" s="179">
        <f>MouserListTable12[[#This Row],[Price (USD)]]</f>
        <v>2.95</v>
      </c>
      <c r="F439" s="179">
        <f>MouserListTable12[[#This Row],[Total Price]]</f>
        <v>2.95</v>
      </c>
    </row>
    <row r="440" spans="1:6" s="146" customFormat="1" hidden="1" x14ac:dyDescent="0.3">
      <c r="A440" s="103">
        <f>IF(MouserListTable1215[[#This Row],[Qty.]]&gt;0,IF($A439="List #",1,$A439+1),IF($A439="List #",0,$A439))</f>
        <v>123</v>
      </c>
      <c r="B440" s="103" t="str">
        <f>MouserListTable12[[#This Row],[SKU]]</f>
        <v>485-2886</v>
      </c>
      <c r="C440" s="103">
        <f>MouserListTable12[[#This Row],['# Initial]]</f>
        <v>0</v>
      </c>
      <c r="D440" s="103" t="str">
        <f>MouserListTable12[[#This Row],[Name]]</f>
        <v xml:space="preserve">Feather Header Kit - 12-pin and 16-pin Female Header Set </v>
      </c>
      <c r="E440" s="103">
        <f>MouserListTable12[[#This Row],[Price (USD)]]</f>
        <v>0.95</v>
      </c>
      <c r="F440" s="103">
        <f>MouserListTable12[[#This Row],[Total Price]]</f>
        <v>0</v>
      </c>
    </row>
    <row r="441" spans="1:6" s="146" customFormat="1" x14ac:dyDescent="0.3">
      <c r="A441" s="193">
        <f>IF(MouserListTable1215[[#This Row],[Qty.]]&gt;0,IF($A440="List #",1,$A440+1),IF($A440="List #",0,$A440))</f>
        <v>124</v>
      </c>
      <c r="B441" s="103" t="str">
        <f>MouserListTable12[[#This Row],[SKU]]</f>
        <v>485-598</v>
      </c>
      <c r="C441" s="103">
        <f>MouserListTable12[[#This Row],['# Initial]]</f>
        <v>1</v>
      </c>
      <c r="D441" s="103" t="str">
        <f>MouserListTable12[[#This Row],[Name]]</f>
        <v>36-pin 0.1" Female header - pack of 5!</v>
      </c>
      <c r="E441" s="179">
        <f>MouserListTable12[[#This Row],[Price (USD)]]</f>
        <v>2.95</v>
      </c>
      <c r="F441" s="179">
        <f>MouserListTable12[[#This Row],[Total Price]]</f>
        <v>2.95</v>
      </c>
    </row>
    <row r="442" spans="1:6" s="146" customFormat="1" x14ac:dyDescent="0.3">
      <c r="A442" s="193">
        <f>IF(MouserListTable1215[[#This Row],[Qty.]]&gt;0,IF($A441="List #",1,$A441+1),IF($A441="List #",0,$A441))</f>
        <v>125</v>
      </c>
      <c r="B442" s="103" t="str">
        <f>MouserListTable12[[#This Row],[SKU]]</f>
        <v>485-3008</v>
      </c>
      <c r="C442" s="103">
        <f>MouserListTable12[[#This Row],['# Initial]]</f>
        <v>1</v>
      </c>
      <c r="D442" s="103" t="str">
        <f>MouserListTable12[[#This Row],[Name]]</f>
        <v xml:space="preserve">36-pin 0.1" Short Female Header - Pack of 5 </v>
      </c>
      <c r="E442" s="179">
        <f>MouserListTable12[[#This Row],[Price (USD)]]</f>
        <v>7.95</v>
      </c>
      <c r="F442" s="179">
        <f>MouserListTable12[[#This Row],[Total Price]]</f>
        <v>7.95</v>
      </c>
    </row>
    <row r="443" spans="1:6" s="146" customFormat="1" x14ac:dyDescent="0.3">
      <c r="A443" s="193">
        <f>IF(MouserListTable1215[[#This Row],[Qty.]]&gt;0,IF($A442="List #",1,$A442+1),IF($A442="List #",0,$A442))</f>
        <v>126</v>
      </c>
      <c r="B443" s="103" t="str">
        <f>MouserListTable12[[#This Row],[SKU]]</f>
        <v>485-1542</v>
      </c>
      <c r="C443" s="103">
        <f>MouserListTable12[[#This Row],['# Initial]]</f>
        <v>1</v>
      </c>
      <c r="D443" s="103" t="str">
        <f>MouserListTable12[[#This Row],[Name]]</f>
        <v>0.1" 36-pin Strip Right-Angle Female/Socket Header (5 pack)</v>
      </c>
      <c r="E443" s="179">
        <f>MouserListTable12[[#This Row],[Price (USD)]]</f>
        <v>4.95</v>
      </c>
      <c r="F443" s="179">
        <f>MouserListTable12[[#This Row],[Total Price]]</f>
        <v>4.95</v>
      </c>
    </row>
    <row r="444" spans="1:6" s="146" customFormat="1" x14ac:dyDescent="0.3">
      <c r="A444" s="193">
        <f>IF(MouserListTable1215[[#This Row],[Qty.]]&gt;0,IF($A443="List #",1,$A443+1),IF($A443="List #",0,$A443))</f>
        <v>127</v>
      </c>
      <c r="B444" s="103" t="str">
        <f>MouserListTable12[[#This Row],[SKU]]</f>
        <v>485-1544</v>
      </c>
      <c r="C444" s="103">
        <f>MouserListTable12[[#This Row],['# Initial]]</f>
        <v>1</v>
      </c>
      <c r="D444" s="103" t="str">
        <f>MouserListTable12[[#This Row],[Name]]</f>
        <v>0.1" 2x36-pin Strip Straight Socket (Female) Header (5 pack)</v>
      </c>
      <c r="E444" s="179">
        <f>MouserListTable12[[#This Row],[Price (USD)]]</f>
        <v>5.95</v>
      </c>
      <c r="F444" s="179">
        <f>MouserListTable12[[#This Row],[Total Price]]</f>
        <v>5.95</v>
      </c>
    </row>
    <row r="445" spans="1:6" s="146" customFormat="1" hidden="1" x14ac:dyDescent="0.3">
      <c r="A445" s="103">
        <f>IF(MouserListTable1215[[#This Row],[Qty.]]&gt;0,IF($A444="List #",1,$A444+1),IF($A444="List #",0,$A444))</f>
        <v>127</v>
      </c>
      <c r="B445" s="103" t="str">
        <f>MouserListTable12[[#This Row],[SKU]]</f>
        <v>485-2823</v>
      </c>
      <c r="C445" s="103">
        <f>MouserListTable12[[#This Row],['# Initial]]</f>
        <v>0</v>
      </c>
      <c r="D445" s="103" t="str">
        <f>MouserListTable12[[#This Row],[Name]]</f>
        <v xml:space="preserve">0.1" 2x20-pin Strip Right Angle Female Header </v>
      </c>
      <c r="E445" s="103">
        <f>MouserListTable12[[#This Row],[Price (USD)]]</f>
        <v>1.5</v>
      </c>
      <c r="F445" s="103">
        <f>MouserListTable12[[#This Row],[Total Price]]</f>
        <v>0</v>
      </c>
    </row>
    <row r="446" spans="1:6" s="146" customFormat="1" x14ac:dyDescent="0.3">
      <c r="A446" s="193">
        <f>IF(MouserListTable1215[[#This Row],[Qty.]]&gt;0,IF($A445="List #",1,$A445+1),IF($A445="List #",0,$A445))</f>
        <v>128</v>
      </c>
      <c r="B446" s="103" t="str">
        <f>MouserListTable12[[#This Row],[SKU]]</f>
        <v>485-1543</v>
      </c>
      <c r="C446" s="103">
        <f>MouserListTable12[[#This Row],['# Initial]]</f>
        <v>1</v>
      </c>
      <c r="D446" s="103" t="str">
        <f>MouserListTable12[[#This Row],[Name]]</f>
        <v>0.1" 2x36-pin Strip Right-Angle Socket (Female) Header (5 pack)</v>
      </c>
      <c r="E446" s="179">
        <f>MouserListTable12[[#This Row],[Price (USD)]]</f>
        <v>7.95</v>
      </c>
      <c r="F446" s="179">
        <f>MouserListTable12[[#This Row],[Total Price]]</f>
        <v>7.95</v>
      </c>
    </row>
    <row r="447" spans="1:6" s="146" customFormat="1" hidden="1" x14ac:dyDescent="0.3">
      <c r="A447" s="103">
        <f>IF(MouserListTable1215[[#This Row],[Qty.]]&gt;0,IF($A446="List #",1,$A446+1),IF($A446="List #",0,$A446))</f>
        <v>128</v>
      </c>
      <c r="B447" s="103" t="str">
        <f>MouserListTable12[[#This Row],[SKU]]</f>
        <v>485-3342</v>
      </c>
      <c r="C447" s="103">
        <f>MouserListTable12[[#This Row],['# Initial]]</f>
        <v>0</v>
      </c>
      <c r="D447" s="103" t="str">
        <f>MouserListTable12[[#This Row],[Name]]</f>
        <v xml:space="preserve">2x40 Right Angle Edge Connector for micro:bit </v>
      </c>
      <c r="E447" s="103">
        <f>MouserListTable12[[#This Row],[Price (USD)]]</f>
        <v>0</v>
      </c>
      <c r="F447" s="103">
        <f>MouserListTable12[[#This Row],[Total Price]]</f>
        <v>0</v>
      </c>
    </row>
    <row r="448" spans="1:6" s="146" customFormat="1" hidden="1" x14ac:dyDescent="0.3">
      <c r="A448" s="103">
        <f>IF(MouserListTable1215[[#This Row],[Qty.]]&gt;0,IF($A447="List #",1,$A447+1),IF($A447="List #",0,$A447))</f>
        <v>128</v>
      </c>
      <c r="B448" s="103" t="str">
        <f>MouserListTable12[[#This Row],[SKU]]</f>
        <v>474-PRT-13010</v>
      </c>
      <c r="C448" s="103">
        <f>MouserListTable12[[#This Row],['# Initial]]</f>
        <v>0</v>
      </c>
      <c r="D448" s="103" t="str">
        <f>MouserListTable12[[#This Row],[Name]]</f>
        <v>Header - 2x3 (Female, 0.1\")</v>
      </c>
      <c r="E448" s="103">
        <f>MouserListTable12[[#This Row],[Price (USD)]]</f>
        <v>0.5</v>
      </c>
      <c r="F448" s="103">
        <f>MouserListTable12[[#This Row],[Total Price]]</f>
        <v>0</v>
      </c>
    </row>
    <row r="449" spans="1:6" s="146" customFormat="1" x14ac:dyDescent="0.3">
      <c r="A449" s="193">
        <f>IF(MouserListTable1215[[#This Row],[Qty.]]&gt;0,IF($A448="List #",1,$A448+1),IF($A448="List #",0,$A448))</f>
        <v>129</v>
      </c>
      <c r="B449" s="103" t="str">
        <f>MouserListTable12[[#This Row],[SKU]]</f>
        <v>474-PRT-10877</v>
      </c>
      <c r="C449" s="103">
        <f>MouserListTable12[[#This Row],['# Initial]]</f>
        <v>5</v>
      </c>
      <c r="D449" s="103" t="str">
        <f>MouserListTable12[[#This Row],[Name]]</f>
        <v>2x3 Pin Shrouded Header</v>
      </c>
      <c r="E449" s="179">
        <f>MouserListTable12[[#This Row],[Price (USD)]]</f>
        <v>1.5</v>
      </c>
      <c r="F449" s="179">
        <f>MouserListTable12[[#This Row],[Total Price]]</f>
        <v>7.5</v>
      </c>
    </row>
    <row r="450" spans="1:6" s="146" customFormat="1" x14ac:dyDescent="0.3">
      <c r="A450" s="193">
        <f>IF(MouserListTable1215[[#This Row],[Qty.]]&gt;0,IF($A449="List #",1,$A449+1),IF($A449="List #",0,$A449))</f>
        <v>130</v>
      </c>
      <c r="B450" s="103" t="str">
        <f>MouserListTable12[[#This Row],[SKU]]</f>
        <v>474-PRT-08506</v>
      </c>
      <c r="C450" s="103">
        <f>MouserListTable12[[#This Row],['# Initial]]</f>
        <v>5</v>
      </c>
      <c r="D450" s="103" t="str">
        <f>MouserListTable12[[#This Row],[Name]]</f>
        <v>2x5 Pin Shrouded Header</v>
      </c>
      <c r="E450" s="179">
        <f>MouserListTable12[[#This Row],[Price (USD)]]</f>
        <v>1.5</v>
      </c>
      <c r="F450" s="179">
        <f>MouserListTable12[[#This Row],[Total Price]]</f>
        <v>7.5</v>
      </c>
    </row>
    <row r="451" spans="1:6" s="146" customFormat="1" hidden="1" x14ac:dyDescent="0.3">
      <c r="A451" s="103">
        <f>IF(MouserListTable1215[[#This Row],[Qty.]]&gt;0,IF($A450="List #",1,$A450+1),IF($A450="List #",0,$A450))</f>
        <v>130</v>
      </c>
      <c r="B451" s="103" t="str">
        <f>MouserListTable12[[#This Row],[SKU]]</f>
        <v>485-1465</v>
      </c>
      <c r="C451" s="103">
        <f>MouserListTable12[[#This Row],['# Initial]]</f>
        <v>0</v>
      </c>
      <c r="D451" s="103" t="str">
        <f>MouserListTable12[[#This Row],[Name]]</f>
        <v>Adafruit 6-pin AVR ISP Breadboard Adapter Mini Kit</v>
      </c>
      <c r="E451" s="103">
        <f>MouserListTable12[[#This Row],[Price (USD)]]</f>
        <v>0.95</v>
      </c>
      <c r="F451" s="103">
        <f>MouserListTable12[[#This Row],[Total Price]]</f>
        <v>0</v>
      </c>
    </row>
    <row r="452" spans="1:6" s="146" customFormat="1" hidden="1" x14ac:dyDescent="0.3">
      <c r="A452" s="103">
        <f>IF(MouserListTable1215[[#This Row],[Qty.]]&gt;0,IF($A451="List #",1,$A451+1),IF($A451="List #",0,$A451))</f>
        <v>130</v>
      </c>
      <c r="B452" s="103" t="str">
        <f>MouserListTable12[[#This Row],[SKU]]</f>
        <v>474-PRT-08272</v>
      </c>
      <c r="C452" s="103">
        <f>MouserListTable12[[#This Row],['# Initial]]</f>
        <v>0</v>
      </c>
      <c r="D452" s="103" t="str">
        <f>MouserListTable12[[#This Row],[Name]]</f>
        <v>2mm 10pin XBee Socket</v>
      </c>
      <c r="E452" s="103">
        <f>MouserListTable12[[#This Row],[Price (USD)]]</f>
        <v>1</v>
      </c>
      <c r="F452" s="103">
        <f>MouserListTable12[[#This Row],[Total Price]]</f>
        <v>0</v>
      </c>
    </row>
    <row r="453" spans="1:6" s="146" customFormat="1" x14ac:dyDescent="0.3">
      <c r="A453" s="193">
        <f>IF(MouserListTable1215[[#This Row],[Qty.]]&gt;0,IF($A452="List #",1,$A452+1),IF($A452="List #",0,$A452))</f>
        <v>131</v>
      </c>
      <c r="B453" s="103" t="str">
        <f>MouserListTable12[[#This Row],[SKU]]</f>
        <v>485-366</v>
      </c>
      <c r="C453" s="103">
        <f>MouserListTable12[[#This Row],['# Initial]]</f>
        <v>10</v>
      </c>
      <c r="D453" s="103" t="str">
        <f>MouserListTable12[[#This Row],[Name]]</f>
        <v>2mm 10 pin Socket Headers (for XBee) - Pack of 2</v>
      </c>
      <c r="E453" s="179">
        <f>MouserListTable12[[#This Row],[Price (USD)]]</f>
        <v>0.95</v>
      </c>
      <c r="F453" s="179">
        <f>MouserListTable12[[#This Row],[Total Price]]</f>
        <v>9.5</v>
      </c>
    </row>
    <row r="454" spans="1:6" s="146" customFormat="1" x14ac:dyDescent="0.3">
      <c r="A454" s="193">
        <f>IF(MouserListTable1215[[#This Row],[Qty.]]&gt;0,IF($A453="List #",1,$A453+1),IF($A453="List #",0,$A453))</f>
        <v>132</v>
      </c>
      <c r="B454" s="103" t="str">
        <f>MouserListTable12[[#This Row],[SKU]]</f>
        <v>485-2672</v>
      </c>
      <c r="C454" s="103">
        <f>MouserListTable12[[#This Row],['# Initial]]</f>
        <v>1</v>
      </c>
      <c r="D454" s="103" t="str">
        <f>MouserListTable12[[#This Row],[Name]]</f>
        <v>2mm Pitch 25-Pin Female Socket Headers - Pack of 5</v>
      </c>
      <c r="E454" s="179">
        <f>MouserListTable12[[#This Row],[Price (USD)]]</f>
        <v>3.95</v>
      </c>
      <c r="F454" s="179">
        <f>MouserListTable12[[#This Row],[Total Price]]</f>
        <v>3.95</v>
      </c>
    </row>
    <row r="455" spans="1:6" s="146" customFormat="1" hidden="1" x14ac:dyDescent="0.3">
      <c r="A455" s="103">
        <f>IF(MouserListTable1215[[#This Row],[Qty.]]&gt;0,IF($A454="List #",1,$A454+1),IF($A454="List #",0,$A454))</f>
        <v>132</v>
      </c>
      <c r="B455" s="103" t="str">
        <f>MouserListTable12[[#This Row],[SKU]]</f>
        <v>474-COM-14087</v>
      </c>
      <c r="C455" s="103">
        <f>MouserListTable12[[#This Row],['# Initial]]</f>
        <v>0</v>
      </c>
      <c r="D455" s="103" t="str">
        <f>MouserListTable12[[#This Row],[Name]]</f>
        <v>Flip-Pin (20-pins)</v>
      </c>
      <c r="E455" s="179">
        <f>MouserListTable12[[#This Row],[Price (USD)]]</f>
        <v>1.95</v>
      </c>
      <c r="F455" s="179">
        <f>MouserListTable12[[#This Row],[Total Price]]</f>
        <v>0</v>
      </c>
    </row>
    <row r="456" spans="1:6" s="146" customFormat="1" x14ac:dyDescent="0.3">
      <c r="A456" s="193">
        <f>IF(MouserListTable1215[[#This Row],[Qty.]]&gt;0,IF($A455="List #",1,$A455+1),IF($A455="List #",0,$A455))</f>
        <v>133</v>
      </c>
      <c r="B456" s="103" t="str">
        <f>MouserListTable12[[#This Row],[SKU]]</f>
        <v>474-COM-14085</v>
      </c>
      <c r="C456" s="103">
        <f>MouserListTable12[[#This Row],['# Initial]]</f>
        <v>25</v>
      </c>
      <c r="D456" s="103" t="str">
        <f>MouserListTable12[[#This Row],[Name]]</f>
        <v>Flip-Pin (8-pins)</v>
      </c>
      <c r="E456" s="179">
        <f>MouserListTable12[[#This Row],[Price (USD)]]</f>
        <v>0.95</v>
      </c>
      <c r="F456" s="179">
        <f>MouserListTable12[[#This Row],[Total Price]]</f>
        <v>23.75</v>
      </c>
    </row>
    <row r="457" spans="1:6" s="146" customFormat="1" x14ac:dyDescent="0.3">
      <c r="A457" s="193">
        <f>IF(MouserListTable1215[[#This Row],[Qty.]]&gt;0,IF($A456="List #",1,$A456+1),IF($A456="List #",0,$A456))</f>
        <v>134</v>
      </c>
      <c r="B457" s="103" t="str">
        <f>MouserListTable12[[#This Row],[SKU]]</f>
        <v>485-3145</v>
      </c>
      <c r="C457" s="103">
        <f>MouserListTable12[[#This Row],['# Initial]]</f>
        <v>3</v>
      </c>
      <c r="D457" s="103" t="str">
        <f>MouserListTable12[[#This Row],[Name]]</f>
        <v>Small Single Row Wire Housing Pack for DIY Jumper Cables</v>
      </c>
      <c r="E457" s="179">
        <f>MouserListTable12[[#This Row],[Price (USD)]]</f>
        <v>1.95</v>
      </c>
      <c r="F457" s="179">
        <f>MouserListTable12[[#This Row],[Total Price]]</f>
        <v>5.85</v>
      </c>
    </row>
    <row r="458" spans="1:6" s="144" customFormat="1" x14ac:dyDescent="0.3">
      <c r="A458" s="193">
        <f>IF(MouserListTable1215[[#This Row],[Qty.]]&gt;0,IF($A457="List #",1,$A457+1),IF($A457="List #",0,$A457))</f>
        <v>135</v>
      </c>
      <c r="B458" s="103" t="str">
        <f>MouserListTable12[[#This Row],[SKU]]</f>
        <v>485-3144</v>
      </c>
      <c r="C458" s="103">
        <f>MouserListTable12[[#This Row],['# Initial]]</f>
        <v>1</v>
      </c>
      <c r="D458" s="103" t="str">
        <f>MouserListTable12[[#This Row],[Name]]</f>
        <v>Large Dual Row Wire Housing Pack for DIY Jumper Cables</v>
      </c>
      <c r="E458" s="179">
        <f>MouserListTable12[[#This Row],[Price (USD)]]</f>
        <v>3.95</v>
      </c>
      <c r="F458" s="179">
        <f>MouserListTable12[[#This Row],[Total Price]]</f>
        <v>3.95</v>
      </c>
    </row>
    <row r="459" spans="1:6" s="144" customFormat="1" x14ac:dyDescent="0.3">
      <c r="A459" s="193">
        <f>IF(MouserListTable1215[[#This Row],[Qty.]]&gt;0,IF($A458="List #",1,$A458+1),IF($A458="List #",0,$A458))</f>
        <v>136</v>
      </c>
      <c r="B459" s="103" t="str">
        <f>MouserListTable12[[#This Row],[SKU]]</f>
        <v>485-3143</v>
      </c>
      <c r="C459" s="103">
        <f>MouserListTable12[[#This Row],['# Initial]]</f>
        <v>2</v>
      </c>
      <c r="D459" s="103" t="str">
        <f>MouserListTable12[[#This Row],[Name]]</f>
        <v>Small Dual Row Wire Housing Pack for DIY Jumper Cables</v>
      </c>
      <c r="E459" s="179">
        <f>MouserListTable12[[#This Row],[Price (USD)]]</f>
        <v>1.95</v>
      </c>
      <c r="F459" s="179">
        <f>MouserListTable12[[#This Row],[Total Price]]</f>
        <v>3.9</v>
      </c>
    </row>
    <row r="460" spans="1:6" s="144" customFormat="1" x14ac:dyDescent="0.3">
      <c r="A460" s="193">
        <f>IF(MouserListTable1215[[#This Row],[Qty.]]&gt;0,IF($A459="List #",1,$A459+1),IF($A459="List #",0,$A459))</f>
        <v>137</v>
      </c>
      <c r="B460" s="103" t="str">
        <f>MouserListTable12[[#This Row],[SKU]]</f>
        <v>485-3146</v>
      </c>
      <c r="C460" s="103">
        <f>MouserListTable12[[#This Row],['# Initial]]</f>
        <v>1</v>
      </c>
      <c r="D460" s="103" t="str">
        <f>MouserListTable12[[#This Row],[Name]]</f>
        <v>Large Single Row Housing Pack for DIY Jumper Cables</v>
      </c>
      <c r="E460" s="179">
        <f>MouserListTable12[[#This Row],[Price (USD)]]</f>
        <v>2.95</v>
      </c>
      <c r="F460" s="179">
        <f>MouserListTable12[[#This Row],[Total Price]]</f>
        <v>2.95</v>
      </c>
    </row>
    <row r="461" spans="1:6" s="144" customFormat="1" x14ac:dyDescent="0.3">
      <c r="A461" s="193">
        <f>IF(MouserListTable1215[[#This Row],[Qty.]]&gt;0,IF($A460="List #",1,$A460+1),IF($A460="List #",0,$A460))</f>
        <v>138</v>
      </c>
      <c r="B461" s="103" t="str">
        <f>MouserListTable12[[#This Row],[SKU]]</f>
        <v>485-3141</v>
      </c>
      <c r="C461" s="103">
        <f>MouserListTable12[[#This Row],['# Initial]]</f>
        <v>5</v>
      </c>
      <c r="D461" s="103" t="str">
        <f>MouserListTable12[[#This Row],[Name]]</f>
        <v>Premium Female/Female Raw Custom Jumper Wires - 40 x 6" (150mm)</v>
      </c>
      <c r="E461" s="179">
        <f>MouserListTable12[[#This Row],[Price (USD)]]</f>
        <v>2.95</v>
      </c>
      <c r="F461" s="179">
        <f>MouserListTable12[[#This Row],[Total Price]]</f>
        <v>14.75</v>
      </c>
    </row>
    <row r="462" spans="1:6" s="144" customFormat="1" x14ac:dyDescent="0.3">
      <c r="A462" s="193">
        <f>IF(MouserListTable1215[[#This Row],[Qty.]]&gt;0,IF($A461="List #",1,$A461+1),IF($A461="List #",0,$A461))</f>
        <v>139</v>
      </c>
      <c r="B462" s="103" t="str">
        <f>MouserListTable12[[#This Row],[SKU]]</f>
        <v>485-3142</v>
      </c>
      <c r="C462" s="103">
        <f>MouserListTable12[[#This Row],['# Initial]]</f>
        <v>5</v>
      </c>
      <c r="D462" s="103" t="str">
        <f>MouserListTable12[[#This Row],[Name]]</f>
        <v>Premium Male/Male Raw Jumper Wires - 40 x 6" (150mm)</v>
      </c>
      <c r="E462" s="179">
        <f>MouserListTable12[[#This Row],[Price (USD)]]</f>
        <v>3.95</v>
      </c>
      <c r="F462" s="179">
        <f>MouserListTable12[[#This Row],[Total Price]]</f>
        <v>19.75</v>
      </c>
    </row>
    <row r="463" spans="1:6" s="144" customFormat="1" hidden="1" x14ac:dyDescent="0.3">
      <c r="A463" s="103">
        <f>IF(MouserListTable1215[[#This Row],[Qty.]]&gt;0,IF($A462="List #",1,$A462+1),IF($A462="List #",0,$A462))</f>
        <v>139</v>
      </c>
      <c r="B463" s="103" t="str">
        <f>MouserListTable12[[#This Row],[SKU]]</f>
        <v>474-PRT-08671</v>
      </c>
      <c r="C463" s="103">
        <f>MouserListTable12[[#This Row],['# Initial]]</f>
        <v>0</v>
      </c>
      <c r="D463" s="103" t="str">
        <f>MouserListTable12[[#This Row],[Name]]</f>
        <v>Jumper Wire - JST Black Blue</v>
      </c>
      <c r="E463" s="103">
        <f>MouserListTable12[[#This Row],[Price (USD)]]</f>
        <v>0.95</v>
      </c>
      <c r="F463" s="103">
        <f>MouserListTable12[[#This Row],[Total Price]]</f>
        <v>0</v>
      </c>
    </row>
    <row r="464" spans="1:6" s="144" customFormat="1" hidden="1" x14ac:dyDescent="0.3">
      <c r="A464" s="103">
        <f>IF(MouserListTable1215[[#This Row],[Qty.]]&gt;0,IF($A463="List #",1,$A463+1),IF($A463="List #",0,$A463))</f>
        <v>139</v>
      </c>
      <c r="B464" s="103" t="str">
        <f>MouserListTable12[[#This Row],[SKU]]</f>
        <v>474-PRT-08670</v>
      </c>
      <c r="C464" s="103">
        <f>MouserListTable12[[#This Row],['# Initial]]</f>
        <v>0</v>
      </c>
      <c r="D464" s="103" t="str">
        <f>MouserListTable12[[#This Row],[Name]]</f>
        <v>Jumper Wire - JST Black Red</v>
      </c>
      <c r="E464" s="103">
        <f>MouserListTable12[[#This Row],[Price (USD)]]</f>
        <v>0.95</v>
      </c>
      <c r="F464" s="103">
        <f>MouserListTable12[[#This Row],[Total Price]]</f>
        <v>0</v>
      </c>
    </row>
    <row r="465" spans="1:6" s="144" customFormat="1" x14ac:dyDescent="0.3">
      <c r="A465" s="193">
        <f>IF(MouserListTable1215[[#This Row],[Qty.]]&gt;0,IF($A464="List #",1,$A464+1),IF($A464="List #",0,$A464))</f>
        <v>140</v>
      </c>
      <c r="B465" s="103" t="str">
        <f>MouserListTable12[[#This Row],[SKU]]</f>
        <v>474-PRT-09914</v>
      </c>
      <c r="C465" s="103">
        <f>MouserListTable12[[#This Row],['# Initial]]</f>
        <v>10</v>
      </c>
      <c r="D465" s="103" t="str">
        <f>MouserListTable12[[#This Row],[Name]]</f>
        <v>JST Jumper 2 Wire Assembly</v>
      </c>
      <c r="E465" s="179">
        <f>MouserListTable12[[#This Row],[Price (USD)]]</f>
        <v>0.95</v>
      </c>
      <c r="F465" s="179">
        <f>MouserListTable12[[#This Row],[Total Price]]</f>
        <v>9.5</v>
      </c>
    </row>
    <row r="466" spans="1:6" s="144" customFormat="1" x14ac:dyDescent="0.3">
      <c r="A466" s="193">
        <f>IF(MouserListTable1215[[#This Row],[Qty.]]&gt;0,IF($A465="List #",1,$A465+1),IF($A465="List #",0,$A465))</f>
        <v>141</v>
      </c>
      <c r="B466" s="103" t="str">
        <f>MouserListTable12[[#This Row],[SKU]]</f>
        <v>474-PRT-09915</v>
      </c>
      <c r="C466" s="103">
        <f>MouserListTable12[[#This Row],['# Initial]]</f>
        <v>5</v>
      </c>
      <c r="D466" s="103" t="str">
        <f>MouserListTable12[[#This Row],[Name]]</f>
        <v>JST Jumper 3 Wire Assembly</v>
      </c>
      <c r="E466" s="179">
        <f>MouserListTable12[[#This Row],[Price (USD)]]</f>
        <v>1.5</v>
      </c>
      <c r="F466" s="179">
        <f>MouserListTable12[[#This Row],[Total Price]]</f>
        <v>7.5</v>
      </c>
    </row>
    <row r="467" spans="1:6" s="144" customFormat="1" x14ac:dyDescent="0.3">
      <c r="A467" s="193">
        <f>IF(MouserListTable1215[[#This Row],[Qty.]]&gt;0,IF($A466="List #",1,$A466+1),IF($A466="List #",0,$A466))</f>
        <v>142</v>
      </c>
      <c r="B467" s="103" t="str">
        <f>MouserListTable12[[#This Row],[SKU]]</f>
        <v>474-PRT-09916</v>
      </c>
      <c r="C467" s="103">
        <f>MouserListTable12[[#This Row],['# Initial]]</f>
        <v>10</v>
      </c>
      <c r="D467" s="103" t="str">
        <f>MouserListTable12[[#This Row],[Name]]</f>
        <v>JST Jumper 4 Wire Assembly</v>
      </c>
      <c r="E467" s="179">
        <f>MouserListTable12[[#This Row],[Price (USD)]]</f>
        <v>1.5</v>
      </c>
      <c r="F467" s="179">
        <f>MouserListTable12[[#This Row],[Total Price]]</f>
        <v>15</v>
      </c>
    </row>
    <row r="468" spans="1:6" s="144" customFormat="1" x14ac:dyDescent="0.3">
      <c r="A468" s="193">
        <f>IF(MouserListTable1215[[#This Row],[Qty.]]&gt;0,IF($A467="List #",1,$A467+1),IF($A467="List #",0,$A467))</f>
        <v>143</v>
      </c>
      <c r="B468" s="103" t="str">
        <f>MouserListTable12[[#This Row],[SKU]]</f>
        <v>485-3064</v>
      </c>
      <c r="C468" s="103">
        <f>MouserListTable12[[#This Row],['# Initial]]</f>
        <v>5</v>
      </c>
      <c r="D468" s="103" t="str">
        <f>MouserListTable12[[#This Row],[Name]]</f>
        <v xml:space="preserve">JST 2-pin Extension Cable with On/Off Switch - JST PH2 </v>
      </c>
      <c r="E468" s="179">
        <f>MouserListTable12[[#This Row],[Price (USD)]]</f>
        <v>2.95</v>
      </c>
      <c r="F468" s="179">
        <f>MouserListTable12[[#This Row],[Total Price]]</f>
        <v>14.75</v>
      </c>
    </row>
    <row r="469" spans="1:6" s="144" customFormat="1" hidden="1" x14ac:dyDescent="0.3">
      <c r="A469" s="103">
        <f>IF(MouserListTable1215[[#This Row],[Qty.]]&gt;0,IF($A468="List #",1,$A468+1),IF($A468="List #",0,$A468))</f>
        <v>143</v>
      </c>
      <c r="B469" s="103" t="str">
        <f>MouserListTable12[[#This Row],[SKU]]</f>
        <v>485-3568</v>
      </c>
      <c r="C469" s="103">
        <f>MouserListTable12[[#This Row],['# Initial]]</f>
        <v>0</v>
      </c>
      <c r="D469" s="103" t="str">
        <f>MouserListTable12[[#This Row],[Name]]</f>
        <v>STEMMA Cable - 150mm/6" Long 4 Pin JST-PH Cable–Female/Female</v>
      </c>
      <c r="E469" s="103">
        <f>MouserListTable12[[#This Row],[Price (USD)]]</f>
        <v>0.75</v>
      </c>
      <c r="F469" s="103">
        <f>MouserListTable12[[#This Row],[Total Price]]</f>
        <v>0</v>
      </c>
    </row>
    <row r="470" spans="1:6" s="144" customFormat="1" x14ac:dyDescent="0.3">
      <c r="A470" s="193">
        <f>IF(MouserListTable1215[[#This Row],[Qty.]]&gt;0,IF($A469="List #",1,$A469+1),IF($A469="List #",0,$A469))</f>
        <v>144</v>
      </c>
      <c r="B470" s="103" t="str">
        <f>MouserListTable12[[#This Row],[SKU]]</f>
        <v>474-PRT-10359</v>
      </c>
      <c r="C470" s="103">
        <f>MouserListTable12[[#This Row],['# Initial]]</f>
        <v>5</v>
      </c>
      <c r="D470" s="103" t="str">
        <f>MouserListTable12[[#This Row],[Name]]</f>
        <v>JST SH Jumper 4 Wire Assembly - 8\"</v>
      </c>
      <c r="E470" s="179">
        <f>MouserListTable12[[#This Row],[Price (USD)]]</f>
        <v>1.5</v>
      </c>
      <c r="F470" s="179">
        <f>MouserListTable12[[#This Row],[Total Price]]</f>
        <v>7.5</v>
      </c>
    </row>
    <row r="471" spans="1:6" s="144" customFormat="1" hidden="1" x14ac:dyDescent="0.3">
      <c r="A471" s="103">
        <f>IF(MouserListTable1215[[#This Row],[Qty.]]&gt;0,IF($A470="List #",1,$A470+1),IF($A470="List #",0,$A470))</f>
        <v>144</v>
      </c>
      <c r="B471" s="103" t="str">
        <f>MouserListTable12[[#This Row],[SKU]]</f>
        <v>474-GPS-00574</v>
      </c>
      <c r="C471" s="103">
        <f>MouserListTable12[[#This Row],['# Initial]]</f>
        <v>0</v>
      </c>
      <c r="D471" s="103" t="str">
        <f>MouserListTable12[[#This Row],[Name]]</f>
        <v>JST SH Jumper 6 Wire  - 1.75\"</v>
      </c>
      <c r="E471" s="103">
        <f>MouserListTable12[[#This Row],[Price (USD)]]</f>
        <v>2.95</v>
      </c>
      <c r="F471" s="103">
        <f>MouserListTable12[[#This Row],[Total Price]]</f>
        <v>0</v>
      </c>
    </row>
    <row r="472" spans="1:6" s="144" customFormat="1" hidden="1" x14ac:dyDescent="0.3">
      <c r="A472" s="103">
        <f>IF(MouserListTable1215[[#This Row],[Qty.]]&gt;0,IF($A471="List #",1,$A471+1),IF($A471="List #",0,$A471))</f>
        <v>144</v>
      </c>
      <c r="B472" s="103" t="str">
        <f>MouserListTable12[[#This Row],[SKU]]</f>
        <v>474-PRT-10361</v>
      </c>
      <c r="C472" s="103">
        <f>MouserListTable12[[#This Row],['# Initial]]</f>
        <v>0</v>
      </c>
      <c r="D472" s="103" t="str">
        <f>MouserListTable12[[#This Row],[Name]]</f>
        <v>JST SH Jumper 6 Wire Assembly - 8\"</v>
      </c>
      <c r="E472" s="103">
        <f>MouserListTable12[[#This Row],[Price (USD)]]</f>
        <v>1.5</v>
      </c>
      <c r="F472" s="103">
        <f>MouserListTable12[[#This Row],[Total Price]]</f>
        <v>0</v>
      </c>
    </row>
    <row r="473" spans="1:6" s="144" customFormat="1" hidden="1" x14ac:dyDescent="0.3">
      <c r="A473" s="103">
        <f>IF(MouserListTable1215[[#This Row],[Qty.]]&gt;0,IF($A472="List #",1,$A472+1),IF($A472="List #",0,$A472))</f>
        <v>144</v>
      </c>
      <c r="B473" s="103" t="str">
        <f>MouserListTable12[[#This Row],[SKU]]</f>
        <v>474-GPS-09123</v>
      </c>
      <c r="C473" s="103">
        <f>MouserListTable12[[#This Row],['# Initial]]</f>
        <v>0</v>
      </c>
      <c r="D473" s="103" t="str">
        <f>MouserListTable12[[#This Row],[Name]]</f>
        <v>JST SH Jumper 6 Wire  - 1 Foot</v>
      </c>
      <c r="E473" s="103">
        <f>MouserListTable12[[#This Row],[Price (USD)]]</f>
        <v>2.95</v>
      </c>
      <c r="F473" s="103">
        <f>MouserListTable12[[#This Row],[Total Price]]</f>
        <v>0</v>
      </c>
    </row>
    <row r="474" spans="1:6" s="144" customFormat="1" hidden="1" x14ac:dyDescent="0.3">
      <c r="A474" s="103">
        <f>IF(MouserListTable1215[[#This Row],[Qty.]]&gt;0,IF($A473="List #",1,$A473+1),IF($A473="List #",0,$A473))</f>
        <v>144</v>
      </c>
      <c r="B474" s="103" t="str">
        <f>MouserListTable12[[#This Row],[SKU]]</f>
        <v>474-PRT-10853</v>
      </c>
      <c r="C474" s="103">
        <f>MouserListTable12[[#This Row],['# Initial]]</f>
        <v>0</v>
      </c>
      <c r="D474" s="103" t="str">
        <f>MouserListTable12[[#This Row],[Name]]</f>
        <v>Mega Pro Mini Cable - 8\" (8-wire)</v>
      </c>
      <c r="E474" s="103">
        <f>MouserListTable12[[#This Row],[Price (USD)]]</f>
        <v>0.95</v>
      </c>
      <c r="F474" s="103">
        <f>MouserListTable12[[#This Row],[Total Price]]</f>
        <v>0</v>
      </c>
    </row>
    <row r="475" spans="1:6" s="144" customFormat="1" hidden="1" x14ac:dyDescent="0.3">
      <c r="A475" s="103">
        <f>IF(MouserListTable1215[[#This Row],[Qty.]]&gt;0,IF($A474="List #",1,$A474+1),IF($A474="List #",0,$A474))</f>
        <v>144</v>
      </c>
      <c r="B475" s="103" t="str">
        <f>MouserListTable12[[#This Row],[SKU]]</f>
        <v>485-578</v>
      </c>
      <c r="C475" s="103">
        <f>MouserListTable12[[#This Row],['# Initial]]</f>
        <v>0</v>
      </c>
      <c r="D475" s="103" t="str">
        <f>MouserListTable12[[#This Row],[Name]]</f>
        <v xml:space="preserve">4-pin JST SM Plug + Receptacle Cable Set </v>
      </c>
      <c r="E475" s="103">
        <f>MouserListTable12[[#This Row],[Price (USD)]]</f>
        <v>1.5</v>
      </c>
      <c r="F475" s="103">
        <f>MouserListTable12[[#This Row],[Total Price]]</f>
        <v>0</v>
      </c>
    </row>
    <row r="476" spans="1:6" s="144" customFormat="1" x14ac:dyDescent="0.3">
      <c r="A476" s="193">
        <f>IF(MouserListTable1215[[#This Row],[Qty.]]&gt;0,IF($A475="List #",1,$A475+1),IF($A475="List #",0,$A475))</f>
        <v>145</v>
      </c>
      <c r="B476" s="103" t="str">
        <f>MouserListTable12[[#This Row],[SKU]]</f>
        <v>474-CAB-13685</v>
      </c>
      <c r="C476" s="103">
        <f>MouserListTable12[[#This Row],['# Initial]]</f>
        <v>5</v>
      </c>
      <c r="D476" s="103" t="str">
        <f>MouserListTable12[[#This Row],[Name]]</f>
        <v>JST to Breadboard Jumper (3-pin)</v>
      </c>
      <c r="E476" s="179">
        <f>MouserListTable12[[#This Row],[Price (USD)]]</f>
        <v>1.5</v>
      </c>
      <c r="F476" s="179">
        <f>MouserListTable12[[#This Row],[Total Price]]</f>
        <v>7.5</v>
      </c>
    </row>
    <row r="477" spans="1:6" s="144" customFormat="1" hidden="1" x14ac:dyDescent="0.3">
      <c r="A477" s="103">
        <f>IF(MouserListTable1215[[#This Row],[Qty.]]&gt;0,IF($A476="List #",1,$A476+1),IF($A476="List #",0,$A476))</f>
        <v>145</v>
      </c>
      <c r="B477" s="103" t="str">
        <f>MouserListTable12[[#This Row],[SKU]]</f>
        <v>474-PRT-08599</v>
      </c>
      <c r="C477" s="103">
        <f>MouserListTable12[[#This Row],['# Initial]]</f>
        <v>0</v>
      </c>
      <c r="D477" s="103" t="str">
        <f>MouserListTable12[[#This Row],[Name]]</f>
        <v>Jumper Wire - JST to Female Connector</v>
      </c>
      <c r="E477" s="103">
        <f>MouserListTable12[[#This Row],[Price (USD)]]</f>
        <v>1.5</v>
      </c>
      <c r="F477" s="103">
        <f>MouserListTable12[[#This Row],[Total Price]]</f>
        <v>0</v>
      </c>
    </row>
    <row r="478" spans="1:6" s="144" customFormat="1" hidden="1" x14ac:dyDescent="0.3">
      <c r="A478" s="103">
        <f>IF(MouserListTable1215[[#This Row],[Qty.]]&gt;0,IF($A477="List #",1,$A477+1),IF($A477="List #",0,$A477))</f>
        <v>145</v>
      </c>
      <c r="B478" s="103" t="str">
        <f>MouserListTable12[[#This Row],[SKU]]</f>
        <v>474-PRT-08598</v>
      </c>
      <c r="C478" s="103">
        <f>MouserListTable12[[#This Row],['# Initial]]</f>
        <v>0</v>
      </c>
      <c r="D478" s="103" t="str">
        <f>MouserListTable12[[#This Row],[Name]]</f>
        <v>Jumper Wire - JST to Molex</v>
      </c>
      <c r="E478" s="103">
        <f>MouserListTable12[[#This Row],[Price (USD)]]</f>
        <v>1.5</v>
      </c>
      <c r="F478" s="103">
        <f>MouserListTable12[[#This Row],[Total Price]]</f>
        <v>0</v>
      </c>
    </row>
    <row r="479" spans="1:6" s="144" customFormat="1" hidden="1" x14ac:dyDescent="0.3">
      <c r="A479" s="103">
        <f>IF(MouserListTable1215[[#This Row],[Qty.]]&gt;0,IF($A478="List #",1,$A478+1),IF($A478="List #",0,$A478))</f>
        <v>145</v>
      </c>
      <c r="B479" s="103" t="str">
        <f>MouserListTable12[[#This Row],[SKU]]</f>
        <v>485-425</v>
      </c>
      <c r="C479" s="103">
        <f>MouserListTable12[[#This Row],['# Initial]]</f>
        <v>0</v>
      </c>
      <c r="D479" s="103" t="str">
        <f>MouserListTable12[[#This Row],[Name]]</f>
        <v>4-pin AT/ATX/IDE power cable</v>
      </c>
      <c r="E479" s="103">
        <f>MouserListTable12[[#This Row],[Price (USD)]]</f>
        <v>1.95</v>
      </c>
      <c r="F479" s="103">
        <f>MouserListTable12[[#This Row],[Total Price]]</f>
        <v>0</v>
      </c>
    </row>
    <row r="480" spans="1:6" s="144" customFormat="1" hidden="1" x14ac:dyDescent="0.3">
      <c r="A480" s="103">
        <f>IF(MouserListTable1215[[#This Row],[Qty.]]&gt;0,IF($A479="List #",1,$A479+1),IF($A479="List #",0,$A479))</f>
        <v>145</v>
      </c>
      <c r="B480" s="103" t="str">
        <f>MouserListTable12[[#This Row],[SKU]]</f>
        <v>485-2880</v>
      </c>
      <c r="C480" s="103">
        <f>MouserListTable12[[#This Row],['# Initial]]</f>
        <v>0</v>
      </c>
      <c r="D480" s="103" t="str">
        <f>MouserListTable12[[#This Row],[Name]]</f>
        <v>2-pin JST SM Plug + Receptacle Cable Set</v>
      </c>
      <c r="E480" s="103">
        <f>MouserListTable12[[#This Row],[Price (USD)]]</f>
        <v>0.75</v>
      </c>
      <c r="F480" s="103">
        <f>MouserListTable12[[#This Row],[Total Price]]</f>
        <v>0</v>
      </c>
    </row>
    <row r="481" spans="1:6" s="144" customFormat="1" hidden="1" x14ac:dyDescent="0.3">
      <c r="A481" s="103">
        <f>IF(MouserListTable1215[[#This Row],[Qty.]]&gt;0,IF($A480="List #",1,$A480+1),IF($A480="List #",0,$A480))</f>
        <v>145</v>
      </c>
      <c r="B481" s="103" t="str">
        <f>MouserListTable12[[#This Row],[SKU]]</f>
        <v>485-261</v>
      </c>
      <c r="C481" s="103">
        <f>MouserListTable12[[#This Row],['# Initial]]</f>
        <v>0</v>
      </c>
      <c r="D481" s="103" t="str">
        <f>MouserListTable12[[#This Row],[Name]]</f>
        <v>JST 2-pin cable</v>
      </c>
      <c r="E481" s="103">
        <f>MouserListTable12[[#This Row],[Price (USD)]]</f>
        <v>0.75</v>
      </c>
      <c r="F481" s="103">
        <f>MouserListTable12[[#This Row],[Total Price]]</f>
        <v>0</v>
      </c>
    </row>
    <row r="482" spans="1:6" s="144" customFormat="1" hidden="1" x14ac:dyDescent="0.3">
      <c r="A482" s="103">
        <f>IF(MouserListTable1215[[#This Row],[Qty.]]&gt;0,IF($A481="List #",1,$A481+1),IF($A481="List #",0,$A481))</f>
        <v>145</v>
      </c>
      <c r="B482" s="103" t="str">
        <f>MouserListTable12[[#This Row],[SKU]]</f>
        <v>485-1769</v>
      </c>
      <c r="C482" s="103">
        <f>MouserListTable12[[#This Row],['# Initial]]</f>
        <v>0</v>
      </c>
      <c r="D482" s="103" t="str">
        <f>MouserListTable12[[#This Row],[Name]]</f>
        <v>JST-PH 2-Pin SMT Right Angle Connector</v>
      </c>
      <c r="E482" s="103">
        <f>MouserListTable12[[#This Row],[Price (USD)]]</f>
        <v>0.75</v>
      </c>
      <c r="F482" s="103">
        <f>MouserListTable12[[#This Row],[Total Price]]</f>
        <v>0</v>
      </c>
    </row>
    <row r="483" spans="1:6" s="144" customFormat="1" x14ac:dyDescent="0.3">
      <c r="A483" s="193">
        <f>IF(MouserListTable1215[[#This Row],[Qty.]]&gt;0,IF($A482="List #",1,$A482+1),IF($A482="List #",0,$A482))</f>
        <v>146</v>
      </c>
      <c r="B483" s="103" t="str">
        <f>MouserListTable12[[#This Row],[SKU]]</f>
        <v>474-PRT-09918</v>
      </c>
      <c r="C483" s="103">
        <f>MouserListTable12[[#This Row],['# Initial]]</f>
        <v>10</v>
      </c>
      <c r="D483" s="103" t="str">
        <f>MouserListTable12[[#This Row],[Name]]</f>
        <v>Molex Jumper 2 Wire Assembly</v>
      </c>
      <c r="E483" s="179">
        <f>MouserListTable12[[#This Row],[Price (USD)]]</f>
        <v>0.95</v>
      </c>
      <c r="F483" s="179">
        <f>MouserListTable12[[#This Row],[Total Price]]</f>
        <v>9.5</v>
      </c>
    </row>
    <row r="484" spans="1:6" s="144" customFormat="1" x14ac:dyDescent="0.3">
      <c r="A484" s="193">
        <f>IF(MouserListTable1215[[#This Row],[Qty.]]&gt;0,IF($A483="List #",1,$A483+1),IF($A483="List #",0,$A483))</f>
        <v>147</v>
      </c>
      <c r="B484" s="103" t="str">
        <f>MouserListTable12[[#This Row],[SKU]]</f>
        <v>474-PRT-09922</v>
      </c>
      <c r="C484" s="103">
        <f>MouserListTable12[[#This Row],['# Initial]]</f>
        <v>10</v>
      </c>
      <c r="D484" s="103" t="str">
        <f>MouserListTable12[[#This Row],[Name]]</f>
        <v>Molex Jumper 6 Wire Assembly</v>
      </c>
      <c r="E484" s="179">
        <f>MouserListTable12[[#This Row],[Price (USD)]]</f>
        <v>1.95</v>
      </c>
      <c r="F484" s="179">
        <f>MouserListTable12[[#This Row],[Total Price]]</f>
        <v>19.5</v>
      </c>
    </row>
    <row r="485" spans="1:6" s="144" customFormat="1" hidden="1" x14ac:dyDescent="0.3">
      <c r="A485" s="103">
        <f>IF(MouserListTable1215[[#This Row],[Qty.]]&gt;0,IF($A484="List #",1,$A484+1),IF($A484="List #",0,$A484))</f>
        <v>147</v>
      </c>
      <c r="B485" s="103" t="str">
        <f>MouserListTable12[[#This Row],[SKU]]</f>
        <v>474-PRT-08614</v>
      </c>
      <c r="C485" s="103">
        <f>MouserListTable12[[#This Row],['# Initial]]</f>
        <v>0</v>
      </c>
      <c r="D485" s="103" t="str">
        <f>MouserListTable12[[#This Row],[Name]]</f>
        <v>Jumper Wire - Female to Female Connector</v>
      </c>
      <c r="E485" s="103">
        <f>MouserListTable12[[#This Row],[Price (USD)]]</f>
        <v>1.5</v>
      </c>
      <c r="F485" s="103">
        <f>MouserListTable12[[#This Row],[Total Price]]</f>
        <v>0</v>
      </c>
    </row>
    <row r="486" spans="1:6" s="144" customFormat="1" hidden="1" x14ac:dyDescent="0.3">
      <c r="A486" s="103">
        <f>IF(MouserListTable1215[[#This Row],[Qty.]]&gt;0,IF($A485="List #",1,$A485+1),IF($A485="List #",0,$A485))</f>
        <v>147</v>
      </c>
      <c r="B486" s="103" t="str">
        <f>MouserListTable12[[#This Row],[SKU]]</f>
        <v>474-PRT-08672</v>
      </c>
      <c r="C486" s="103">
        <f>MouserListTable12[[#This Row],['# Initial]]</f>
        <v>0</v>
      </c>
      <c r="D486" s="103" t="str">
        <f>MouserListTable12[[#This Row],[Name]]</f>
        <v>Jumper Wire - PTH Black White</v>
      </c>
      <c r="E486" s="103">
        <f>MouserListTable12[[#This Row],[Price (USD)]]</f>
        <v>0.95</v>
      </c>
      <c r="F486" s="103">
        <f>MouserListTable12[[#This Row],[Total Price]]</f>
        <v>0</v>
      </c>
    </row>
    <row r="487" spans="1:6" s="144" customFormat="1" hidden="1" x14ac:dyDescent="0.3">
      <c r="A487" s="103">
        <f>IF(MouserListTable1215[[#This Row],[Qty.]]&gt;0,IF($A486="List #",1,$A486+1),IF($A486="List #",0,$A486))</f>
        <v>147</v>
      </c>
      <c r="B487" s="103" t="str">
        <f>MouserListTable12[[#This Row],[SKU]]</f>
        <v>474-PRT-10367</v>
      </c>
      <c r="C487" s="103">
        <f>MouserListTable12[[#This Row],['# Initial]]</f>
        <v>0</v>
      </c>
      <c r="D487" s="103" t="str">
        <f>MouserListTable12[[#This Row],[Name]]</f>
        <v>Jumper Wire - 0.1\", 2-pin, 6\"</v>
      </c>
      <c r="E487" s="103">
        <f>MouserListTable12[[#This Row],[Price (USD)]]</f>
        <v>1.5</v>
      </c>
      <c r="F487" s="103">
        <f>MouserListTable12[[#This Row],[Total Price]]</f>
        <v>0</v>
      </c>
    </row>
    <row r="488" spans="1:6" s="144" customFormat="1" hidden="1" x14ac:dyDescent="0.3">
      <c r="A488" s="103">
        <f>IF(MouserListTable1215[[#This Row],[Qty.]]&gt;0,IF($A487="List #",1,$A487+1),IF($A487="List #",0,$A487))</f>
        <v>147</v>
      </c>
      <c r="B488" s="103" t="str">
        <f>MouserListTable12[[#This Row],[SKU]]</f>
        <v>474-PRT-10373</v>
      </c>
      <c r="C488" s="103">
        <f>MouserListTable12[[#This Row],['# Initial]]</f>
        <v>0</v>
      </c>
      <c r="D488" s="103" t="str">
        <f>MouserListTable12[[#This Row],[Name]]</f>
        <v>Jumper Wire - 0.1\", 3-pin, 12\"</v>
      </c>
      <c r="E488" s="103">
        <f>MouserListTable12[[#This Row],[Price (USD)]]</f>
        <v>1.95</v>
      </c>
      <c r="F488" s="103">
        <f>MouserListTable12[[#This Row],[Total Price]]</f>
        <v>0</v>
      </c>
    </row>
    <row r="489" spans="1:6" s="144" customFormat="1" hidden="1" x14ac:dyDescent="0.3">
      <c r="A489" s="103">
        <f>IF(MouserListTable1215[[#This Row],[Qty.]]&gt;0,IF($A488="List #",1,$A488+1),IF($A488="List #",0,$A488))</f>
        <v>147</v>
      </c>
      <c r="B489" s="103" t="str">
        <f>MouserListTable12[[#This Row],[SKU]]</f>
        <v>474-PRT-13164</v>
      </c>
      <c r="C489" s="103">
        <f>MouserListTable12[[#This Row],['# Initial]]</f>
        <v>0</v>
      </c>
      <c r="D489" s="103" t="str">
        <f>MouserListTable12[[#This Row],[Name]]</f>
        <v>Jumper Wire - 0.1\", 3-pin, 6\" (Black, Red, White)</v>
      </c>
      <c r="E489" s="103">
        <f>MouserListTable12[[#This Row],[Price (USD)]]</f>
        <v>1.5</v>
      </c>
      <c r="F489" s="103">
        <f>MouserListTable12[[#This Row],[Total Price]]</f>
        <v>0</v>
      </c>
    </row>
    <row r="490" spans="1:6" s="144" customFormat="1" hidden="1" x14ac:dyDescent="0.3">
      <c r="A490" s="103">
        <f>IF(MouserListTable1215[[#This Row],[Qty.]]&gt;0,IF($A489="List #",1,$A489+1),IF($A489="List #",0,$A489))</f>
        <v>147</v>
      </c>
      <c r="B490" s="103" t="str">
        <f>MouserListTable12[[#This Row],[SKU]]</f>
        <v>474-PRT-10369</v>
      </c>
      <c r="C490" s="103">
        <f>MouserListTable12[[#This Row],['# Initial]]</f>
        <v>0</v>
      </c>
      <c r="D490" s="103" t="str">
        <f>MouserListTable12[[#This Row],[Name]]</f>
        <v>Jumper Wire - 0.1\", 4-pin, 6\"</v>
      </c>
      <c r="E490" s="103">
        <f>MouserListTable12[[#This Row],[Price (USD)]]</f>
        <v>1.5</v>
      </c>
      <c r="F490" s="103">
        <f>MouserListTable12[[#This Row],[Total Price]]</f>
        <v>0</v>
      </c>
    </row>
    <row r="491" spans="1:6" s="144" customFormat="1" hidden="1" x14ac:dyDescent="0.3">
      <c r="A491" s="103">
        <f>IF(MouserListTable1215[[#This Row],[Qty.]]&gt;0,IF($A490="List #",1,$A490+1),IF($A490="List #",0,$A490))</f>
        <v>147</v>
      </c>
      <c r="B491" s="103" t="str">
        <f>MouserListTable12[[#This Row],[SKU]]</f>
        <v>474-PRT-10370</v>
      </c>
      <c r="C491" s="103">
        <f>MouserListTable12[[#This Row],['# Initial]]</f>
        <v>0</v>
      </c>
      <c r="D491" s="103" t="str">
        <f>MouserListTable12[[#This Row],[Name]]</f>
        <v>Jumper Wire - 0.1\", 5-pin, 6\"</v>
      </c>
      <c r="E491" s="103">
        <f>MouserListTable12[[#This Row],[Price (USD)]]</f>
        <v>1.5</v>
      </c>
      <c r="F491" s="103">
        <f>MouserListTable12[[#This Row],[Total Price]]</f>
        <v>0</v>
      </c>
    </row>
    <row r="492" spans="1:6" s="144" customFormat="1" hidden="1" x14ac:dyDescent="0.3">
      <c r="A492" s="103">
        <f>IF(MouserListTable1215[[#This Row],[Qty.]]&gt;0,IF($A491="List #",1,$A491+1),IF($A491="List #",0,$A491))</f>
        <v>147</v>
      </c>
      <c r="B492" s="103" t="str">
        <f>MouserListTable12[[#This Row],[SKU]]</f>
        <v>474-PRT-10376</v>
      </c>
      <c r="C492" s="103">
        <f>MouserListTable12[[#This Row],['# Initial]]</f>
        <v>0</v>
      </c>
      <c r="D492" s="103" t="str">
        <f>MouserListTable12[[#This Row],[Name]]</f>
        <v>Jumper Wire - 0.1\", 6-pin, 12\"</v>
      </c>
      <c r="E492" s="103">
        <f>MouserListTable12[[#This Row],[Price (USD)]]</f>
        <v>1.95</v>
      </c>
      <c r="F492" s="103">
        <f>MouserListTable12[[#This Row],[Total Price]]</f>
        <v>0</v>
      </c>
    </row>
    <row r="493" spans="1:6" s="144" customFormat="1" hidden="1" x14ac:dyDescent="0.3">
      <c r="A493" s="103">
        <f>IF(MouserListTable1215[[#This Row],[Qty.]]&gt;0,IF($A492="List #",1,$A492+1),IF($A492="List #",0,$A492))</f>
        <v>147</v>
      </c>
      <c r="B493" s="103" t="str">
        <f>MouserListTable12[[#This Row],[SKU]]</f>
        <v>474-PRT-10371</v>
      </c>
      <c r="C493" s="103">
        <f>MouserListTable12[[#This Row],['# Initial]]</f>
        <v>0</v>
      </c>
      <c r="D493" s="103" t="str">
        <f>MouserListTable12[[#This Row],[Name]]</f>
        <v>Jumper Wire - 0.1\", 6-pin, 6\"</v>
      </c>
      <c r="E493" s="103">
        <f>MouserListTable12[[#This Row],[Price (USD)]]</f>
        <v>1.5</v>
      </c>
      <c r="F493" s="103">
        <f>MouserListTable12[[#This Row],[Total Price]]</f>
        <v>0</v>
      </c>
    </row>
    <row r="494" spans="1:6" s="144" customFormat="1" hidden="1" x14ac:dyDescent="0.3">
      <c r="A494" s="103">
        <f>IF(MouserListTable1215[[#This Row],[Qty.]]&gt;0,IF($A493="List #",1,$A493+1),IF($A493="List #",0,$A493))</f>
        <v>147</v>
      </c>
      <c r="B494" s="103" t="str">
        <f>MouserListTable12[[#This Row],[SKU]]</f>
        <v>474-PRT-12796</v>
      </c>
      <c r="C494" s="103">
        <f>MouserListTable12[[#This Row],['# Initial]]</f>
        <v>0</v>
      </c>
      <c r="D494" s="103" t="str">
        <f>MouserListTable12[[#This Row],[Name]]</f>
        <v>Jumper Wires - Connected 6\" (F/F, 20 pack)</v>
      </c>
      <c r="E494" s="103">
        <f>MouserListTable12[[#This Row],[Price (USD)]]</f>
        <v>1.95</v>
      </c>
      <c r="F494" s="103">
        <f>MouserListTable12[[#This Row],[Total Price]]</f>
        <v>0</v>
      </c>
    </row>
    <row r="495" spans="1:6" s="144" customFormat="1" hidden="1" x14ac:dyDescent="0.3">
      <c r="A495" s="103">
        <f>IF(MouserListTable1215[[#This Row],[Qty.]]&gt;0,IF($A494="List #",1,$A494+1),IF($A494="List #",0,$A494))</f>
        <v>147</v>
      </c>
      <c r="B495" s="103" t="str">
        <f>MouserListTable12[[#This Row],[SKU]]</f>
        <v>474-PRT-11710</v>
      </c>
      <c r="C495" s="103">
        <f>MouserListTable12[[#This Row],['# Initial]]</f>
        <v>0</v>
      </c>
      <c r="D495" s="103" t="str">
        <f>MouserListTable12[[#This Row],[Name]]</f>
        <v>Jumper Wires Premium 6\" F/F - 20 AWG (10 Pack)</v>
      </c>
      <c r="E495" s="103">
        <f>MouserListTable12[[#This Row],[Price (USD)]]</f>
        <v>4.95</v>
      </c>
      <c r="F495" s="103">
        <f>MouserListTable12[[#This Row],[Total Price]]</f>
        <v>0</v>
      </c>
    </row>
    <row r="496" spans="1:6" s="144" customFormat="1" hidden="1" x14ac:dyDescent="0.3">
      <c r="A496" s="103">
        <f>IF(MouserListTable1215[[#This Row],[Qty.]]&gt;0,IF($A495="List #",1,$A495+1),IF($A495="List #",0,$A495))</f>
        <v>147</v>
      </c>
      <c r="B496" s="103" t="str">
        <f>MouserListTable12[[#This Row],[SKU]]</f>
        <v>474-PRT-09389</v>
      </c>
      <c r="C496" s="103">
        <f>MouserListTable12[[#This Row],['# Initial]]</f>
        <v>0</v>
      </c>
      <c r="D496" s="103" t="str">
        <f>MouserListTable12[[#This Row],[Name]]</f>
        <v>Jumper Wires Premium 12\" F/F Pack of 10</v>
      </c>
      <c r="E496" s="103">
        <f>MouserListTable12[[#This Row],[Price (USD)]]</f>
        <v>4.5</v>
      </c>
      <c r="F496" s="103">
        <f>MouserListTable12[[#This Row],[Total Price]]</f>
        <v>0</v>
      </c>
    </row>
    <row r="497" spans="1:6" s="144" customFormat="1" hidden="1" x14ac:dyDescent="0.3">
      <c r="A497" s="103">
        <f>IF(MouserListTable1215[[#This Row],[Qty.]]&gt;0,IF($A496="List #",1,$A496+1),IF($A496="List #",0,$A496))</f>
        <v>147</v>
      </c>
      <c r="B497" s="103" t="str">
        <f>MouserListTable12[[#This Row],[SKU]]</f>
        <v>474-PRT-09140</v>
      </c>
      <c r="C497" s="103">
        <f>MouserListTable12[[#This Row],['# Initial]]</f>
        <v>0</v>
      </c>
      <c r="D497" s="103" t="str">
        <f>MouserListTable12[[#This Row],[Name]]</f>
        <v>Jumper Wires Premium 6\" M/F Pack of 10</v>
      </c>
      <c r="E497" s="103">
        <f>MouserListTable12[[#This Row],[Price (USD)]]</f>
        <v>3.95</v>
      </c>
      <c r="F497" s="103">
        <f>MouserListTable12[[#This Row],[Total Price]]</f>
        <v>0</v>
      </c>
    </row>
    <row r="498" spans="1:6" s="144" customFormat="1" hidden="1" x14ac:dyDescent="0.3">
      <c r="A498" s="103">
        <f>IF(MouserListTable1215[[#This Row],[Qty.]]&gt;0,IF($A497="List #",1,$A497+1),IF($A497="List #",0,$A497))</f>
        <v>147</v>
      </c>
      <c r="B498" s="103" t="str">
        <f>MouserListTable12[[#This Row],[SKU]]</f>
        <v>474-PRT-09385</v>
      </c>
      <c r="C498" s="103">
        <f>MouserListTable12[[#This Row],['# Initial]]</f>
        <v>0</v>
      </c>
      <c r="D498" s="103" t="str">
        <f>MouserListTable12[[#This Row],[Name]]</f>
        <v>Jumper Wires Premium 12\" M/F Pack of 10</v>
      </c>
      <c r="E498" s="103">
        <f>MouserListTable12[[#This Row],[Price (USD)]]</f>
        <v>4.5</v>
      </c>
      <c r="F498" s="103">
        <f>MouserListTable12[[#This Row],[Total Price]]</f>
        <v>0</v>
      </c>
    </row>
    <row r="499" spans="1:6" s="144" customFormat="1" hidden="1" x14ac:dyDescent="0.3">
      <c r="A499" s="103">
        <f>IF(MouserListTable1215[[#This Row],[Qty.]]&gt;0,IF($A498="List #",1,$A498+1),IF($A498="List #",0,$A498))</f>
        <v>147</v>
      </c>
      <c r="B499" s="103" t="str">
        <f>MouserListTable12[[#This Row],[SKU]]</f>
        <v>474-PRT-14284</v>
      </c>
      <c r="C499" s="103">
        <f>MouserListTable12[[#This Row],['# Initial]]</f>
        <v>0</v>
      </c>
      <c r="D499" s="103" t="str">
        <f>MouserListTable12[[#This Row],[Name]]</f>
        <v>Jumper Wires Premium 4\" M/M - 26 AWG (30 Pack)</v>
      </c>
      <c r="E499" s="103">
        <f>MouserListTable12[[#This Row],[Price (USD)]]</f>
        <v>1.95</v>
      </c>
      <c r="F499" s="103">
        <f>MouserListTable12[[#This Row],[Total Price]]</f>
        <v>0</v>
      </c>
    </row>
    <row r="500" spans="1:6" s="144" customFormat="1" hidden="1" x14ac:dyDescent="0.3">
      <c r="A500" s="103">
        <f>IF(MouserListTable1215[[#This Row],[Qty.]]&gt;0,IF($A499="List #",1,$A499+1),IF($A499="List #",0,$A499))</f>
        <v>147</v>
      </c>
      <c r="B500" s="103" t="str">
        <f>MouserListTable12[[#This Row],[SKU]]</f>
        <v>474-PRT-11709</v>
      </c>
      <c r="C500" s="103">
        <f>MouserListTable12[[#This Row],['# Initial]]</f>
        <v>0</v>
      </c>
      <c r="D500" s="103" t="str">
        <f>MouserListTable12[[#This Row],[Name]]</f>
        <v>Jumper Wires Premium 6\" M/M - 20 AWG (10 Pack)</v>
      </c>
      <c r="E500" s="103">
        <f>MouserListTable12[[#This Row],[Price (USD)]]</f>
        <v>4.95</v>
      </c>
      <c r="F500" s="103">
        <f>MouserListTable12[[#This Row],[Total Price]]</f>
        <v>0</v>
      </c>
    </row>
    <row r="501" spans="1:6" s="144" customFormat="1" hidden="1" x14ac:dyDescent="0.3">
      <c r="A501" s="103">
        <f>IF(MouserListTable1215[[#This Row],[Qty.]]&gt;0,IF($A500="List #",1,$A500+1),IF($A500="List #",0,$A500))</f>
        <v>147</v>
      </c>
      <c r="B501" s="103" t="str">
        <f>MouserListTable12[[#This Row],[SKU]]</f>
        <v>474-PRT-08431</v>
      </c>
      <c r="C501" s="103">
        <f>MouserListTable12[[#This Row],['# Initial]]</f>
        <v>0</v>
      </c>
      <c r="D501" s="103" t="str">
        <f>MouserListTable12[[#This Row],[Name]]</f>
        <v>Jumper Wires Premium 6\" M/M Pack of 10</v>
      </c>
      <c r="E501" s="103">
        <f>MouserListTable12[[#This Row],[Price (USD)]]</f>
        <v>3.95</v>
      </c>
      <c r="F501" s="103">
        <f>MouserListTable12[[#This Row],[Total Price]]</f>
        <v>0</v>
      </c>
    </row>
    <row r="502" spans="1:6" s="144" customFormat="1" hidden="1" x14ac:dyDescent="0.3">
      <c r="A502" s="103">
        <f>IF(MouserListTable1215[[#This Row],[Qty.]]&gt;0,IF($A501="List #",1,$A501+1),IF($A501="List #",0,$A501))</f>
        <v>147</v>
      </c>
      <c r="B502" s="103" t="str">
        <f>MouserListTable12[[#This Row],[SKU]]</f>
        <v>474-PRT-11026</v>
      </c>
      <c r="C502" s="103">
        <f>MouserListTable12[[#This Row],['# Initial]]</f>
        <v>0</v>
      </c>
      <c r="D502" s="103" t="str">
        <f>MouserListTable12[[#This Row],[Name]]</f>
        <v>Jumper Wires Standard 7\" M/M - 30 AWG (30 Pack)</v>
      </c>
      <c r="E502" s="103">
        <f>MouserListTable12[[#This Row],[Price (USD)]]</f>
        <v>1.95</v>
      </c>
      <c r="F502" s="103">
        <f>MouserListTable12[[#This Row],[Total Price]]</f>
        <v>0</v>
      </c>
    </row>
    <row r="503" spans="1:6" s="144" customFormat="1" x14ac:dyDescent="0.3">
      <c r="A503" s="193">
        <f>IF(MouserListTable1215[[#This Row],[Qty.]]&gt;0,IF($A502="List #",1,$A502+1),IF($A502="List #",0,$A502))</f>
        <v>148</v>
      </c>
      <c r="B503" s="103" t="str">
        <f>MouserListTable12[[#This Row],[SKU]]</f>
        <v>474-COM-10969</v>
      </c>
      <c r="C503" s="103">
        <f>MouserListTable12[[#This Row],['# Initial]]</f>
        <v>1</v>
      </c>
      <c r="D503" s="103" t="str">
        <f>MouserListTable12[[#This Row],[Name]]</f>
        <v>Resistor Kit - 1/4W (500 total)</v>
      </c>
      <c r="E503" s="179">
        <f>MouserListTable12[[#This Row],[Price (USD)]]</f>
        <v>7.95</v>
      </c>
      <c r="F503" s="179">
        <f>MouserListTable12[[#This Row],[Total Price]]</f>
        <v>7.95</v>
      </c>
    </row>
    <row r="504" spans="1:6" s="146" customFormat="1" x14ac:dyDescent="0.3">
      <c r="A504" s="193">
        <f>IF(MouserListTable1215[[#This Row],[Qty.]]&gt;0,IF($A503="List #",1,$A503+1),IF($A503="List #",0,$A503))</f>
        <v>149</v>
      </c>
      <c r="B504" s="103" t="str">
        <f>MouserListTable12[[#This Row],[SKU]]</f>
        <v>474-COM-10856</v>
      </c>
      <c r="C504" s="103">
        <f>MouserListTable12[[#This Row],['# Initial]]</f>
        <v>5</v>
      </c>
      <c r="D504" s="103" t="str">
        <f>MouserListTable12[[#This Row],[Name]]</f>
        <v>Resistor Network - 10K Ohm (6-pin bussed)</v>
      </c>
      <c r="E504" s="179">
        <f>MouserListTable12[[#This Row],[Price (USD)]]</f>
        <v>0.5</v>
      </c>
      <c r="F504" s="179">
        <f>MouserListTable12[[#This Row],[Total Price]]</f>
        <v>2.5</v>
      </c>
    </row>
    <row r="505" spans="1:6" s="146" customFormat="1" x14ac:dyDescent="0.3">
      <c r="A505" s="193">
        <f>IF(MouserListTable1215[[#This Row],[Qty.]]&gt;0,IF($A504="List #",1,$A504+1),IF($A504="List #",0,$A504))</f>
        <v>150</v>
      </c>
      <c r="B505" s="103" t="str">
        <f>MouserListTable12[[#This Row],[SKU]]</f>
        <v>474-COM-10855</v>
      </c>
      <c r="C505" s="103">
        <f>MouserListTable12[[#This Row],['# Initial]]</f>
        <v>5</v>
      </c>
      <c r="D505" s="103" t="str">
        <f>MouserListTable12[[#This Row],[Name]]</f>
        <v>Resistor Network - 330 Ohm (6-pin bussed)</v>
      </c>
      <c r="E505" s="179">
        <f>MouserListTable12[[#This Row],[Price (USD)]]</f>
        <v>0.5</v>
      </c>
      <c r="F505" s="179">
        <f>MouserListTable12[[#This Row],[Total Price]]</f>
        <v>2.5</v>
      </c>
    </row>
    <row r="506" spans="1:6" s="146" customFormat="1" hidden="1" x14ac:dyDescent="0.3">
      <c r="A506" s="103">
        <f>IF(MouserListTable1215[[#This Row],[Qty.]]&gt;0,IF($A505="List #",1,$A505+1),IF($A505="List #",0,$A505))</f>
        <v>150</v>
      </c>
      <c r="B506" s="103" t="str">
        <f>MouserListTable12[[#This Row],[SKU]]</f>
        <v>474-COM-09120</v>
      </c>
      <c r="C506" s="103">
        <f>MouserListTable12[[#This Row],['# Initial]]</f>
        <v>0</v>
      </c>
      <c r="D506" s="103" t="str">
        <f>MouserListTable12[[#This Row],[Name]]</f>
        <v>Slide Potentiometer Knob</v>
      </c>
      <c r="E506" s="103">
        <f>MouserListTable12[[#This Row],[Price (USD)]]</f>
        <v>0.95</v>
      </c>
      <c r="F506" s="103">
        <f>MouserListTable12[[#This Row],[Total Price]]</f>
        <v>0</v>
      </c>
    </row>
    <row r="507" spans="1:6" s="146" customFormat="1" hidden="1" x14ac:dyDescent="0.3">
      <c r="A507" s="103">
        <f>IF(MouserListTable1215[[#This Row],[Qty.]]&gt;0,IF($A506="List #",1,$A506+1),IF($A506="List #",0,$A506))</f>
        <v>150</v>
      </c>
      <c r="B507" s="103" t="str">
        <f>MouserListTable12[[#This Row],[SKU]]</f>
        <v>474-COM-11620</v>
      </c>
      <c r="C507" s="103">
        <f>MouserListTable12[[#This Row],['# Initial]]</f>
        <v>0</v>
      </c>
      <c r="D507" s="103" t="str">
        <f>MouserListTable12[[#This Row],[Name]]</f>
        <v>Slide Pot - Small (10k Linear Taper)</v>
      </c>
      <c r="E507" s="103">
        <f>MouserListTable12[[#This Row],[Price (USD)]]</f>
        <v>1.95</v>
      </c>
      <c r="F507" s="103">
        <f>MouserListTable12[[#This Row],[Total Price]]</f>
        <v>0</v>
      </c>
    </row>
    <row r="508" spans="1:6" s="146" customFormat="1" hidden="1" x14ac:dyDescent="0.3">
      <c r="A508" s="103">
        <f>IF(MouserListTable1215[[#This Row],[Qty.]]&gt;0,IF($A507="List #",1,$A507+1),IF($A507="List #",0,$A507))</f>
        <v>150</v>
      </c>
      <c r="B508" s="103" t="str">
        <f>MouserListTable12[[#This Row],[SKU]]</f>
        <v>474-COM-11621</v>
      </c>
      <c r="C508" s="103">
        <f>MouserListTable12[[#This Row],['# Initial]]</f>
        <v>0</v>
      </c>
      <c r="D508" s="103" t="str">
        <f>MouserListTable12[[#This Row],[Name]]</f>
        <v>Slide Pot - Medium (10k Linear Taper)</v>
      </c>
      <c r="E508" s="103">
        <f>MouserListTable12[[#This Row],[Price (USD)]]</f>
        <v>2.5</v>
      </c>
      <c r="F508" s="103">
        <f>MouserListTable12[[#This Row],[Total Price]]</f>
        <v>0</v>
      </c>
    </row>
    <row r="509" spans="1:6" s="146" customFormat="1" hidden="1" x14ac:dyDescent="0.3">
      <c r="A509" s="103">
        <f>IF(MouserListTable1215[[#This Row],[Qty.]]&gt;0,IF($A508="List #",1,$A508+1),IF($A508="List #",0,$A508))</f>
        <v>150</v>
      </c>
      <c r="B509" s="103" t="str">
        <f>MouserListTable12[[#This Row],[SKU]]</f>
        <v>474-COM-09119</v>
      </c>
      <c r="C509" s="103">
        <f>MouserListTable12[[#This Row],['# Initial]]</f>
        <v>0</v>
      </c>
      <c r="D509" s="103" t="str">
        <f>MouserListTable12[[#This Row],[Name]]</f>
        <v>Slide Pot - X-Large (10k Linear Taper)</v>
      </c>
      <c r="E509" s="103">
        <f>MouserListTable12[[#This Row],[Price (USD)]]</f>
        <v>2.95</v>
      </c>
      <c r="F509" s="103">
        <f>MouserListTable12[[#This Row],[Total Price]]</f>
        <v>0</v>
      </c>
    </row>
    <row r="510" spans="1:6" s="146" customFormat="1" x14ac:dyDescent="0.3">
      <c r="A510" s="193">
        <f>IF(MouserListTable1215[[#This Row],[Qty.]]&gt;0,IF($A509="List #",1,$A509+1),IF($A509="List #",0,$A509))</f>
        <v>151</v>
      </c>
      <c r="B510" s="103" t="str">
        <f>MouserListTable12[[#This Row],[SKU]]</f>
        <v>474-COM-09806</v>
      </c>
      <c r="C510" s="103">
        <f>MouserListTable12[[#This Row],['# Initial]]</f>
        <v>5</v>
      </c>
      <c r="D510" s="103" t="str">
        <f>MouserListTable12[[#This Row],[Name]]</f>
        <v>Trimpot 10K with Knob</v>
      </c>
      <c r="E510" s="179">
        <f>MouserListTable12[[#This Row],[Price (USD)]]</f>
        <v>0.95</v>
      </c>
      <c r="F510" s="179">
        <f>MouserListTable12[[#This Row],[Total Price]]</f>
        <v>4.75</v>
      </c>
    </row>
    <row r="511" spans="1:6" s="146" customFormat="1" x14ac:dyDescent="0.3">
      <c r="A511" s="193">
        <f>IF(MouserListTable1215[[#This Row],[Qty.]]&gt;0,IF($A510="List #",1,$A510+1),IF($A510="List #",0,$A510))</f>
        <v>152</v>
      </c>
      <c r="B511" s="103" t="str">
        <f>MouserListTable12[[#This Row],[SKU]]</f>
        <v>474-KIT-13698</v>
      </c>
      <c r="C511" s="103">
        <f>MouserListTable12[[#This Row],['# Initial]]</f>
        <v>1</v>
      </c>
      <c r="D511" s="103" t="str">
        <f>MouserListTable12[[#This Row],[Name]]</f>
        <v>SparkFun Capacitor Kit</v>
      </c>
      <c r="E511" s="179">
        <f>MouserListTable12[[#This Row],[Price (USD)]]</f>
        <v>6.95</v>
      </c>
      <c r="F511" s="179">
        <f>MouserListTable12[[#This Row],[Total Price]]</f>
        <v>6.95</v>
      </c>
    </row>
    <row r="512" spans="1:6" s="146" customFormat="1" x14ac:dyDescent="0.3">
      <c r="A512" s="193">
        <f>IF(MouserListTable1215[[#This Row],[Qty.]]&gt;0,IF($A511="List #",1,$A511+1),IF($A511="List #",0,$A511))</f>
        <v>153</v>
      </c>
      <c r="B512" s="103" t="str">
        <f>MouserListTable12[[#This Row],[SKU]]</f>
        <v>474-COM-00096</v>
      </c>
      <c r="C512" s="103">
        <f>MouserListTable12[[#This Row],['# Initial]]</f>
        <v>5</v>
      </c>
      <c r="D512" s="103" t="str">
        <f>MouserListTable12[[#This Row],[Name]]</f>
        <v>Electrolytic Decoupling Capacitors - 100uF/25V</v>
      </c>
      <c r="E512" s="179">
        <f>MouserListTable12[[#This Row],[Price (USD)]]</f>
        <v>0.35</v>
      </c>
      <c r="F512" s="179">
        <f>MouserListTable12[[#This Row],[Total Price]]</f>
        <v>1.75</v>
      </c>
    </row>
    <row r="513" spans="1:6" s="146" customFormat="1" x14ac:dyDescent="0.3">
      <c r="A513" s="193">
        <f>IF(MouserListTable1215[[#This Row],[Qty.]]&gt;0,IF($A512="List #",1,$A512+1),IF($A512="List #",0,$A512))</f>
        <v>154</v>
      </c>
      <c r="B513" s="103" t="str">
        <f>MouserListTable12[[#This Row],[SKU]]</f>
        <v>474-COM-00523</v>
      </c>
      <c r="C513" s="103">
        <f>MouserListTable12[[#This Row],['# Initial]]</f>
        <v>5</v>
      </c>
      <c r="D513" s="103" t="str">
        <f>MouserListTable12[[#This Row],[Name]]</f>
        <v>Electrolytic Decoupling Capacitors - 10uF/25V</v>
      </c>
      <c r="E513" s="179">
        <f>MouserListTable12[[#This Row],[Price (USD)]]</f>
        <v>0.45</v>
      </c>
      <c r="F513" s="179">
        <f>MouserListTable12[[#This Row],[Total Price]]</f>
        <v>2.25</v>
      </c>
    </row>
    <row r="514" spans="1:6" s="146" customFormat="1" hidden="1" x14ac:dyDescent="0.3">
      <c r="A514" s="103">
        <f>IF(MouserListTable1215[[#This Row],[Qty.]]&gt;0,IF($A513="List #",1,$A513+1),IF($A513="List #",0,$A513))</f>
        <v>154</v>
      </c>
      <c r="B514" s="103" t="str">
        <f>MouserListTable12[[#This Row],[SKU]]</f>
        <v>474-COM-00746</v>
      </c>
      <c r="C514" s="103">
        <f>MouserListTable12[[#This Row],['# Initial]]</f>
        <v>0</v>
      </c>
      <c r="D514" s="103" t="str">
        <f>MouserListTable12[[#This Row],[Name]]</f>
        <v>Super Capacitor - 10F/2.5V</v>
      </c>
      <c r="E514" s="103">
        <f>MouserListTable12[[#This Row],[Price (USD)]]</f>
        <v>4.95</v>
      </c>
      <c r="F514" s="103">
        <f>MouserListTable12[[#This Row],[Total Price]]</f>
        <v>0</v>
      </c>
    </row>
    <row r="515" spans="1:6" s="146" customFormat="1" x14ac:dyDescent="0.3">
      <c r="A515" s="193">
        <f>IF(MouserListTable1215[[#This Row],[Qty.]]&gt;0,IF($A514="List #",1,$A514+1),IF($A514="List #",0,$A514))</f>
        <v>155</v>
      </c>
      <c r="B515" s="103" t="str">
        <f>MouserListTable12[[#This Row],[SKU]]</f>
        <v>474-SEN-00250</v>
      </c>
      <c r="C515" s="103">
        <f>MouserListTable12[[#This Row],['# Initial]]</f>
        <v>10</v>
      </c>
      <c r="D515" s="103" t="str">
        <f>MouserListTable12[[#This Row],[Name]]</f>
        <v>Thermistor 10K</v>
      </c>
      <c r="E515" s="179">
        <f>MouserListTable12[[#This Row],[Price (USD)]]</f>
        <v>0.75</v>
      </c>
      <c r="F515" s="179">
        <f>MouserListTable12[[#This Row],[Total Price]]</f>
        <v>7.5</v>
      </c>
    </row>
    <row r="516" spans="1:6" s="146" customFormat="1" x14ac:dyDescent="0.3">
      <c r="A516" s="193">
        <f>IF(MouserListTable1215[[#This Row],[Qty.]]&gt;0,IF($A515="List #",1,$A515+1),IF($A515="List #",0,$A515))</f>
        <v>156</v>
      </c>
      <c r="B516" s="103" t="str">
        <f>MouserListTable12[[#This Row],[SKU]]</f>
        <v>474-COM-08589</v>
      </c>
      <c r="C516" s="103">
        <f>MouserListTable12[[#This Row],['# Initial]]</f>
        <v>10</v>
      </c>
      <c r="D516" s="103" t="str">
        <f>MouserListTable12[[#This Row],[Name]]</f>
        <v>Diode Rectifier - 1A 50V</v>
      </c>
      <c r="E516" s="179">
        <f>MouserListTable12[[#This Row],[Price (USD)]]</f>
        <v>0.15</v>
      </c>
      <c r="F516" s="179">
        <f>MouserListTable12[[#This Row],[Total Price]]</f>
        <v>1.5</v>
      </c>
    </row>
    <row r="517" spans="1:6" s="146" customFormat="1" x14ac:dyDescent="0.3">
      <c r="A517" s="193">
        <f>IF(MouserListTable1215[[#This Row],[Qty.]]&gt;0,IF($A516="List #",1,$A516+1),IF($A516="List #",0,$A516))</f>
        <v>157</v>
      </c>
      <c r="B517" s="103" t="str">
        <f>MouserListTable12[[#This Row],[SKU]]</f>
        <v>474-COM-08588</v>
      </c>
      <c r="C517" s="103">
        <f>MouserListTable12[[#This Row],['# Initial]]</f>
        <v>10</v>
      </c>
      <c r="D517" s="103" t="str">
        <f>MouserListTable12[[#This Row],[Name]]</f>
        <v>Diode Small Signal - 1N4148</v>
      </c>
      <c r="E517" s="179">
        <f>MouserListTable12[[#This Row],[Price (USD)]]</f>
        <v>0.15</v>
      </c>
      <c r="F517" s="179">
        <f>MouserListTable12[[#This Row],[Total Price]]</f>
        <v>1.5</v>
      </c>
    </row>
    <row r="518" spans="1:6" s="146" customFormat="1" x14ac:dyDescent="0.3">
      <c r="A518" s="193">
        <f>IF(MouserListTable1215[[#This Row],[Qty.]]&gt;0,IF($A517="List #",1,$A517+1),IF($A517="List #",0,$A517))</f>
        <v>158</v>
      </c>
      <c r="B518" s="103" t="str">
        <f>MouserListTable12[[#This Row],[SKU]]</f>
        <v>474-COM-10926</v>
      </c>
      <c r="C518" s="103">
        <f>MouserListTable12[[#This Row],['# Initial]]</f>
        <v>10</v>
      </c>
      <c r="D518" s="103" t="str">
        <f>MouserListTable12[[#This Row],[Name]]</f>
        <v>Schottky Diode</v>
      </c>
      <c r="E518" s="179">
        <f>MouserListTable12[[#This Row],[Price (USD)]]</f>
        <v>0.15</v>
      </c>
      <c r="F518" s="179">
        <f>MouserListTable12[[#This Row],[Total Price]]</f>
        <v>1.5</v>
      </c>
    </row>
    <row r="519" spans="1:6" s="146" customFormat="1" hidden="1" x14ac:dyDescent="0.3">
      <c r="A519" s="193">
        <f>IF(MouserListTable1215[[#This Row],[Qty.]]&gt;0,IF($A518="List #",1,$A518+1),IF($A518="List #",0,$A518))</f>
        <v>158</v>
      </c>
      <c r="B519" s="103" t="str">
        <f>MouserListTable12[[#This Row],[SKU]]</f>
        <v>474-COM-10301</v>
      </c>
      <c r="C519" s="103">
        <f>MouserListTable12[[#This Row],['# Initial]]</f>
        <v>0</v>
      </c>
      <c r="D519" s="103" t="str">
        <f>MouserListTable12[[#This Row],[Name]]</f>
        <v>Zener Diode - 5.1V 1W</v>
      </c>
      <c r="E519" s="179">
        <f>MouserListTable12[[#This Row],[Price (USD)]]</f>
        <v>0.25</v>
      </c>
      <c r="F519" s="179">
        <f>MouserListTable12[[#This Row],[Total Price]]</f>
        <v>0</v>
      </c>
    </row>
    <row r="520" spans="1:6" s="146" customFormat="1" hidden="1" x14ac:dyDescent="0.3">
      <c r="A520" s="103">
        <f>IF(MouserListTable1215[[#This Row],[Qty.]]&gt;0,IF($A519="List #",1,$A519+1),IF($A519="List #",0,$A519))</f>
        <v>158</v>
      </c>
      <c r="B520" s="103" t="str">
        <f>MouserListTable12[[#This Row],[SKU]]</f>
        <v>474-COM-11154</v>
      </c>
      <c r="C520" s="103">
        <f>MouserListTable12[[#This Row],['# Initial]]</f>
        <v>0</v>
      </c>
      <c r="D520" s="103" t="str">
        <f>MouserListTable12[[#This Row],[Name]]</f>
        <v>Audio Jack - 3.5mm (Panel Mount)</v>
      </c>
      <c r="E520" s="103">
        <f>MouserListTable12[[#This Row],[Price (USD)]]</f>
        <v>0.5</v>
      </c>
      <c r="F520" s="103">
        <f>MouserListTable12[[#This Row],[Total Price]]</f>
        <v>0</v>
      </c>
    </row>
    <row r="521" spans="1:6" s="146" customFormat="1" hidden="1" x14ac:dyDescent="0.3">
      <c r="A521" s="103">
        <f>IF(MouserListTable1215[[#This Row],[Qty.]]&gt;0,IF($A520="List #",1,$A520+1),IF($A520="List #",0,$A520))</f>
        <v>158</v>
      </c>
      <c r="B521" s="103" t="str">
        <f>MouserListTable12[[#This Row],[SKU]]</f>
        <v>474-PRT-08032</v>
      </c>
      <c r="C521" s="103">
        <f>MouserListTable12[[#This Row],['# Initial]]</f>
        <v>0</v>
      </c>
      <c r="D521" s="103" t="str">
        <f>MouserListTable12[[#This Row],[Name]]</f>
        <v>Audio Jack 3.5mm</v>
      </c>
      <c r="E521" s="103">
        <f>MouserListTable12[[#This Row],[Price (USD)]]</f>
        <v>1.5</v>
      </c>
      <c r="F521" s="103">
        <f>MouserListTable12[[#This Row],[Total Price]]</f>
        <v>0</v>
      </c>
    </row>
    <row r="522" spans="1:6" s="146" customFormat="1" hidden="1" x14ac:dyDescent="0.3">
      <c r="A522" s="103">
        <f>IF(MouserListTable1215[[#This Row],[Qty.]]&gt;0,IF($A521="List #",1,$A521+1),IF($A521="List #",0,$A521))</f>
        <v>158</v>
      </c>
      <c r="B522" s="103" t="str">
        <f>MouserListTable12[[#This Row],[SKU]]</f>
        <v>474-COM-11143</v>
      </c>
      <c r="C522" s="103">
        <f>MouserListTable12[[#This Row],['# Initial]]</f>
        <v>0</v>
      </c>
      <c r="D522" s="103" t="str">
        <f>MouserListTable12[[#This Row],[Name]]</f>
        <v>Audio Plug - 3.5mm</v>
      </c>
      <c r="E522" s="103">
        <f>MouserListTable12[[#This Row],[Price (USD)]]</f>
        <v>0.5</v>
      </c>
      <c r="F522" s="103">
        <f>MouserListTable12[[#This Row],[Total Price]]</f>
        <v>0</v>
      </c>
    </row>
    <row r="523" spans="1:6" s="146" customFormat="1" hidden="1" x14ac:dyDescent="0.3">
      <c r="A523" s="103">
        <f>IF(MouserListTable1215[[#This Row],[Qty.]]&gt;0,IF($A522="List #",1,$A522+1),IF($A522="List #",0,$A522))</f>
        <v>158</v>
      </c>
      <c r="B523" s="103" t="str">
        <f>MouserListTable12[[#This Row],[SKU]]</f>
        <v>474-PRT-10588</v>
      </c>
      <c r="C523" s="103">
        <f>MouserListTable12[[#This Row],['# Initial]]</f>
        <v>0</v>
      </c>
      <c r="D523" s="103" t="str">
        <f>MouserListTable12[[#This Row],[Name]]</f>
        <v>SparkFun Audio Jack Breakout</v>
      </c>
      <c r="E523" s="103">
        <f>MouserListTable12[[#This Row],[Price (USD)]]</f>
        <v>0.95</v>
      </c>
      <c r="F523" s="103">
        <f>MouserListTable12[[#This Row],[Total Price]]</f>
        <v>0</v>
      </c>
    </row>
    <row r="524" spans="1:6" s="146" customFormat="1" hidden="1" x14ac:dyDescent="0.3">
      <c r="A524" s="103">
        <f>IF(MouserListTable1215[[#This Row],[Qty.]]&gt;0,IF($A523="List #",1,$A523+1),IF($A523="List #",0,$A523))</f>
        <v>158</v>
      </c>
      <c r="B524" s="103" t="str">
        <f>MouserListTable12[[#This Row],[SKU]]</f>
        <v>485-2911</v>
      </c>
      <c r="C524" s="103">
        <f>MouserListTable12[[#This Row],['# Initial]]</f>
        <v>0</v>
      </c>
      <c r="D524" s="103" t="str">
        <f>MouserListTable12[[#This Row],[Name]]</f>
        <v xml:space="preserve">1/4" (6.35mm) Stereo Plug Terminal Block </v>
      </c>
      <c r="E524" s="103">
        <f>MouserListTable12[[#This Row],[Price (USD)]]</f>
        <v>1.95</v>
      </c>
      <c r="F524" s="103">
        <f>MouserListTable12[[#This Row],[Total Price]]</f>
        <v>0</v>
      </c>
    </row>
    <row r="525" spans="1:6" s="146" customFormat="1" hidden="1" x14ac:dyDescent="0.3">
      <c r="A525" s="103">
        <f>IF(MouserListTable1215[[#This Row],[Qty.]]&gt;0,IF($A524="List #",1,$A524+1),IF($A524="List #",0,$A524))</f>
        <v>158</v>
      </c>
      <c r="B525" s="103" t="str">
        <f>MouserListTable12[[#This Row],[SKU]]</f>
        <v>485-2791</v>
      </c>
      <c r="C525" s="103">
        <f>MouserListTable12[[#This Row],['# Initial]]</f>
        <v>0</v>
      </c>
      <c r="D525" s="103" t="str">
        <f>MouserListTable12[[#This Row],[Name]]</f>
        <v xml:space="preserve">3.5mm (1/8") Stereo Audio Jack Terminal Block </v>
      </c>
      <c r="E525" s="103">
        <f>MouserListTable12[[#This Row],[Price (USD)]]</f>
        <v>2.5</v>
      </c>
      <c r="F525" s="103">
        <f>MouserListTable12[[#This Row],[Total Price]]</f>
        <v>0</v>
      </c>
    </row>
    <row r="526" spans="1:6" s="146" customFormat="1" hidden="1" x14ac:dyDescent="0.3">
      <c r="A526" s="103">
        <f>IF(MouserListTable1215[[#This Row],[Qty.]]&gt;0,IF($A525="List #",1,$A525+1),IF($A525="List #",0,$A525))</f>
        <v>158</v>
      </c>
      <c r="B526" s="103" t="str">
        <f>MouserListTable12[[#This Row],[SKU]]</f>
        <v>485-2790</v>
      </c>
      <c r="C526" s="103">
        <f>MouserListTable12[[#This Row],['# Initial]]</f>
        <v>0</v>
      </c>
      <c r="D526" s="103" t="str">
        <f>MouserListTable12[[#This Row],[Name]]</f>
        <v xml:space="preserve">3.5mm (1/8") Stereo Audio Plug Terminal Block </v>
      </c>
      <c r="E526" s="103">
        <f>MouserListTable12[[#This Row],[Price (USD)]]</f>
        <v>2.5</v>
      </c>
      <c r="F526" s="103">
        <f>MouserListTable12[[#This Row],[Total Price]]</f>
        <v>0</v>
      </c>
    </row>
    <row r="527" spans="1:6" s="146" customFormat="1" hidden="1" x14ac:dyDescent="0.3">
      <c r="A527" s="103">
        <f>IF(MouserListTable1215[[#This Row],[Qty.]]&gt;0,IF($A526="List #",1,$A526+1),IF($A526="List #",0,$A526))</f>
        <v>158</v>
      </c>
      <c r="B527" s="103" t="str">
        <f>MouserListTable12[[#This Row],[SKU]]</f>
        <v>485-1699</v>
      </c>
      <c r="C527" s="103">
        <f>MouserListTable12[[#This Row],['# Initial]]</f>
        <v>0</v>
      </c>
      <c r="D527" s="103" t="str">
        <f>MouserListTable12[[#This Row],[Name]]</f>
        <v xml:space="preserve">Breadboard-Friendly 3.5mm Stereo Headphone Jack </v>
      </c>
      <c r="E527" s="103">
        <f>MouserListTable12[[#This Row],[Price (USD)]]</f>
        <v>0.95</v>
      </c>
      <c r="F527" s="103">
        <f>MouserListTable12[[#This Row],[Total Price]]</f>
        <v>0</v>
      </c>
    </row>
    <row r="528" spans="1:6" s="146" customFormat="1" x14ac:dyDescent="0.3">
      <c r="A528" s="193">
        <f>IF(MouserListTable1215[[#This Row],[Qty.]]&gt;0,IF($A527="List #",1,$A527+1),IF($A527="List #",0,$A527))</f>
        <v>159</v>
      </c>
      <c r="B528" s="103" t="str">
        <f>MouserListTable12[[#This Row],[SKU]]</f>
        <v>485-2429</v>
      </c>
      <c r="C528" s="103">
        <f>MouserListTable12[[#This Row],['# Initial]]</f>
        <v>1</v>
      </c>
      <c r="D528" s="103" t="str">
        <f>MouserListTable12[[#This Row],[Name]]</f>
        <v xml:space="preserve">Pogo Pins "Crown Head" (10 pack) - P75-H2 </v>
      </c>
      <c r="E528" s="179">
        <f>MouserListTable12[[#This Row],[Price (USD)]]</f>
        <v>4.95</v>
      </c>
      <c r="F528" s="179">
        <f>MouserListTable12[[#This Row],[Total Price]]</f>
        <v>4.95</v>
      </c>
    </row>
    <row r="529" spans="1:6" s="146" customFormat="1" x14ac:dyDescent="0.3">
      <c r="A529" s="193">
        <f>IF(MouserListTable1215[[#This Row],[Qty.]]&gt;0,IF($A528="List #",1,$A528+1),IF($A528="List #",0,$A528))</f>
        <v>160</v>
      </c>
      <c r="B529" s="103" t="str">
        <f>MouserListTable12[[#This Row],[SKU]]</f>
        <v>485-2428</v>
      </c>
      <c r="C529" s="103">
        <f>MouserListTable12[[#This Row],['# Initial]]</f>
        <v>1</v>
      </c>
      <c r="D529" s="103" t="str">
        <f>MouserListTable12[[#This Row],[Name]]</f>
        <v xml:space="preserve">Pogo Pins "Cupped Head" (10 pack) - P75-A2 </v>
      </c>
      <c r="E529" s="179">
        <f>MouserListTable12[[#This Row],[Price (USD)]]</f>
        <v>4.95</v>
      </c>
      <c r="F529" s="179">
        <f>MouserListTable12[[#This Row],[Total Price]]</f>
        <v>4.95</v>
      </c>
    </row>
    <row r="530" spans="1:6" s="146" customFormat="1" x14ac:dyDescent="0.3">
      <c r="A530" s="193">
        <f>IF(MouserListTable1215[[#This Row],[Qty.]]&gt;0,IF($A529="List #",1,$A529+1),IF($A529="List #",0,$A529))</f>
        <v>161</v>
      </c>
      <c r="B530" s="103" t="str">
        <f>MouserListTable12[[#This Row],[SKU]]</f>
        <v>485-2430</v>
      </c>
      <c r="C530" s="103">
        <f>MouserListTable12[[#This Row],['# Initial]]</f>
        <v>1</v>
      </c>
      <c r="D530" s="103" t="str">
        <f>MouserListTable12[[#This Row],[Name]]</f>
        <v>Pogo Pins "Needle Head" (10 pack) - P75-B1</v>
      </c>
      <c r="E530" s="179">
        <f>MouserListTable12[[#This Row],[Price (USD)]]</f>
        <v>4.95</v>
      </c>
      <c r="F530" s="179">
        <f>MouserListTable12[[#This Row],[Total Price]]</f>
        <v>4.95</v>
      </c>
    </row>
    <row r="531" spans="1:6" s="146" customFormat="1" x14ac:dyDescent="0.3">
      <c r="A531" s="193">
        <f>IF(MouserListTable1215[[#This Row],[Qty.]]&gt;0,IF($A530="List #",1,$A530+1),IF($A530="List #",0,$A530))</f>
        <v>162</v>
      </c>
      <c r="B531" s="103" t="str">
        <f>MouserListTable12[[#This Row],[SKU]]</f>
        <v>485-394</v>
      </c>
      <c r="C531" s="103">
        <f>MouserListTable12[[#This Row],['# Initial]]</f>
        <v>1</v>
      </c>
      <c r="D531" s="103" t="str">
        <f>MouserListTable12[[#This Row],[Name]]</f>
        <v xml:space="preserve">Pogo Pins "Spear Head" (10 pack) - P75-LM3 </v>
      </c>
      <c r="E531" s="179">
        <f>MouserListTable12[[#This Row],[Price (USD)]]</f>
        <v>7.5</v>
      </c>
      <c r="F531" s="179">
        <f>MouserListTable12[[#This Row],[Total Price]]</f>
        <v>7.5</v>
      </c>
    </row>
    <row r="532" spans="1:6" s="146" customFormat="1" x14ac:dyDescent="0.3">
      <c r="A532" s="193">
        <f>IF(MouserListTable1215[[#This Row],[Qty.]]&gt;0,IF($A531="List #",1,$A531+1),IF($A531="List #",0,$A531))</f>
        <v>163</v>
      </c>
      <c r="B532" s="103" t="str">
        <f>MouserListTable12[[#This Row],[SKU]]</f>
        <v>474-CAB-10646</v>
      </c>
      <c r="C532" s="103">
        <f>MouserListTable12[[#This Row],['# Initial]]</f>
        <v>2</v>
      </c>
      <c r="D532" s="103" t="str">
        <f>MouserListTable12[[#This Row],[Name]]</f>
        <v>Ribbon Cable - 6 wire (15ft)</v>
      </c>
      <c r="E532" s="179">
        <f>MouserListTable12[[#This Row],[Price (USD)]]</f>
        <v>2.95</v>
      </c>
      <c r="F532" s="179">
        <f>MouserListTable12[[#This Row],[Total Price]]</f>
        <v>5.9</v>
      </c>
    </row>
    <row r="533" spans="1:6" s="146" customFormat="1" hidden="1" x14ac:dyDescent="0.3">
      <c r="A533" s="103">
        <f>IF(MouserListTable1215[[#This Row],[Qty.]]&gt;0,IF($A532="List #",1,$A532+1),IF($A532="List #",0,$A532))</f>
        <v>163</v>
      </c>
      <c r="B533" s="103" t="str">
        <f>MouserListTable12[[#This Row],[SKU]]</f>
        <v>485-371</v>
      </c>
      <c r="C533" s="103">
        <f>MouserListTable12[[#This Row],['# Initial]]</f>
        <v>0</v>
      </c>
      <c r="D533" s="103" t="str">
        <f>MouserListTable12[[#This Row],[Name]]</f>
        <v>6-pin Socket/Socket IDC cable - 6"</v>
      </c>
      <c r="E533" s="103">
        <f>MouserListTable12[[#This Row],[Price (USD)]]</f>
        <v>2</v>
      </c>
      <c r="F533" s="103">
        <f>MouserListTable12[[#This Row],[Total Price]]</f>
        <v>0</v>
      </c>
    </row>
    <row r="534" spans="1:6" s="146" customFormat="1" hidden="1" x14ac:dyDescent="0.3">
      <c r="A534" s="103">
        <f>IF(MouserListTable1215[[#This Row],[Qty.]]&gt;0,IF($A533="List #",1,$A533+1),IF($A533="List #",0,$A533))</f>
        <v>163</v>
      </c>
      <c r="B534" s="103" t="str">
        <f>MouserListTable12[[#This Row],[SKU]]</f>
        <v>474-CAB-10649</v>
      </c>
      <c r="C534" s="103">
        <f>MouserListTable12[[#This Row],['# Initial]]</f>
        <v>0</v>
      </c>
      <c r="D534" s="103" t="str">
        <f>MouserListTable12[[#This Row],[Name]]</f>
        <v>Ribbon Cable - 10 wire (3ft)</v>
      </c>
      <c r="E534" s="103">
        <f>MouserListTable12[[#This Row],[Price (USD)]]</f>
        <v>0.95</v>
      </c>
      <c r="F534" s="103">
        <f>MouserListTable12[[#This Row],[Total Price]]</f>
        <v>0</v>
      </c>
    </row>
    <row r="535" spans="1:6" s="146" customFormat="1" x14ac:dyDescent="0.3">
      <c r="A535" s="193">
        <f>IF(MouserListTable1215[[#This Row],[Qty.]]&gt;0,IF($A534="List #",1,$A534+1),IF($A534="List #",0,$A534))</f>
        <v>164</v>
      </c>
      <c r="B535" s="103" t="str">
        <f>MouserListTable12[[#This Row],[SKU]]</f>
        <v>474-CAB-10647</v>
      </c>
      <c r="C535" s="103">
        <f>MouserListTable12[[#This Row],['# Initial]]</f>
        <v>1</v>
      </c>
      <c r="D535" s="103" t="str">
        <f>MouserListTable12[[#This Row],[Name]]</f>
        <v>Ribbon Cable - 10 wire (15ft)</v>
      </c>
      <c r="E535" s="179">
        <f>MouserListTable12[[#This Row],[Price (USD)]]</f>
        <v>4.95</v>
      </c>
      <c r="F535" s="179">
        <f>MouserListTable12[[#This Row],[Total Price]]</f>
        <v>4.95</v>
      </c>
    </row>
    <row r="536" spans="1:6" s="146" customFormat="1" hidden="1" x14ac:dyDescent="0.3">
      <c r="A536" s="103">
        <f>IF(MouserListTable1215[[#This Row],[Qty.]]&gt;0,IF($A535="List #",1,$A535+1),IF($A535="List #",0,$A535))</f>
        <v>164</v>
      </c>
      <c r="B536" s="103" t="str">
        <f>MouserListTable12[[#This Row],[SKU]]</f>
        <v>485-556</v>
      </c>
      <c r="C536" s="103">
        <f>MouserListTable12[[#This Row],['# Initial]]</f>
        <v>0</v>
      </c>
      <c r="D536" s="103" t="str">
        <f>MouserListTable12[[#This Row],[Name]]</f>
        <v>10-pin Socket/Socket IDC cable - Short 1.5"</v>
      </c>
      <c r="E536" s="103">
        <f>MouserListTable12[[#This Row],[Price (USD)]]</f>
        <v>1.5</v>
      </c>
      <c r="F536" s="103">
        <f>MouserListTable12[[#This Row],[Total Price]]</f>
        <v>0</v>
      </c>
    </row>
    <row r="537" spans="1:6" s="146" customFormat="1" hidden="1" x14ac:dyDescent="0.3">
      <c r="A537" s="103">
        <f>IF(MouserListTable1215[[#This Row],[Qty.]]&gt;0,IF($A536="List #",1,$A536+1),IF($A536="List #",0,$A536))</f>
        <v>164</v>
      </c>
      <c r="B537" s="103" t="str">
        <f>MouserListTable12[[#This Row],[SKU]]</f>
        <v>485-370</v>
      </c>
      <c r="C537" s="103">
        <f>MouserListTable12[[#This Row],['# Initial]]</f>
        <v>0</v>
      </c>
      <c r="D537" s="103" t="str">
        <f>MouserListTable12[[#This Row],[Name]]</f>
        <v xml:space="preserve">10-pin Socket/Socket IDC cable - 6" </v>
      </c>
      <c r="E537" s="103">
        <f>MouserListTable12[[#This Row],[Price (USD)]]</f>
        <v>2</v>
      </c>
      <c r="F537" s="103">
        <f>MouserListTable12[[#This Row],[Total Price]]</f>
        <v>0</v>
      </c>
    </row>
    <row r="538" spans="1:6" s="146" customFormat="1" hidden="1" x14ac:dyDescent="0.3">
      <c r="A538" s="103">
        <f>IF(MouserListTable1215[[#This Row],[Qty.]]&gt;0,IF($A537="List #",1,$A537+1),IF($A537="List #",0,$A537))</f>
        <v>164</v>
      </c>
      <c r="B538" s="103" t="str">
        <f>MouserListTable12[[#This Row],[SKU]]</f>
        <v>485-1199</v>
      </c>
      <c r="C538" s="103">
        <f>MouserListTable12[[#This Row],['# Initial]]</f>
        <v>0</v>
      </c>
      <c r="D538" s="103" t="str">
        <f>MouserListTable12[[#This Row],[Name]]</f>
        <v>10-pin IDC Socket Rainbow Breakout Cable</v>
      </c>
      <c r="E538" s="103">
        <f>MouserListTable12[[#This Row],[Price (USD)]]</f>
        <v>3.95</v>
      </c>
      <c r="F538" s="103">
        <f>MouserListTable12[[#This Row],[Total Price]]</f>
        <v>0</v>
      </c>
    </row>
    <row r="539" spans="1:6" s="146" customFormat="1" hidden="1" x14ac:dyDescent="0.3">
      <c r="A539" s="103">
        <f>IF(MouserListTable1215[[#This Row],[Qty.]]&gt;0,IF($A538="List #",1,$A538+1),IF($A538="List #",0,$A538))</f>
        <v>164</v>
      </c>
      <c r="B539" s="103" t="str">
        <f>MouserListTable12[[#This Row],[SKU]]</f>
        <v>474-PRT-08535</v>
      </c>
      <c r="C539" s="103">
        <f>MouserListTable12[[#This Row],['# Initial]]</f>
        <v>0</v>
      </c>
      <c r="D539" s="103" t="str">
        <f>MouserListTable12[[#This Row],[Name]]</f>
        <v>2x5 Pin IDC Ribbon Cable</v>
      </c>
      <c r="E539" s="103">
        <f>MouserListTable12[[#This Row],[Price (USD)]]</f>
        <v>1.5</v>
      </c>
      <c r="F539" s="103">
        <f>MouserListTable12[[#This Row],[Total Price]]</f>
        <v>0</v>
      </c>
    </row>
    <row r="540" spans="1:6" s="146" customFormat="1" hidden="1" x14ac:dyDescent="0.3">
      <c r="A540" s="103">
        <f>IF(MouserListTable1215[[#This Row],[Qty.]]&gt;0,IF($A539="List #",1,$A539+1),IF($A539="List #",0,$A539))</f>
        <v>164</v>
      </c>
      <c r="B540" s="103" t="str">
        <f>MouserListTable12[[#This Row],[SKU]]</f>
        <v>485-1675</v>
      </c>
      <c r="C540" s="103">
        <f>MouserListTable12[[#This Row],['# Initial]]</f>
        <v>0</v>
      </c>
      <c r="D540" s="103" t="str">
        <f>MouserListTable12[[#This Row],[Name]]</f>
        <v>10-pin 2x5 Socket-Socket 1.27mm IDC (SWD) Cable - 150mm long</v>
      </c>
      <c r="E540" s="103">
        <f>MouserListTable12[[#This Row],[Price (USD)]]</f>
        <v>2.95</v>
      </c>
      <c r="F540" s="103">
        <f>MouserListTable12[[#This Row],[Total Price]]</f>
        <v>0</v>
      </c>
    </row>
    <row r="541" spans="1:6" s="146" customFormat="1" hidden="1" x14ac:dyDescent="0.3">
      <c r="A541" s="103">
        <f>IF(MouserListTable1215[[#This Row],[Qty.]]&gt;0,IF($A540="List #",1,$A540+1),IF($A540="List #",0,$A540))</f>
        <v>164</v>
      </c>
      <c r="B541" s="103" t="str">
        <f>MouserListTable12[[#This Row],[SKU]]</f>
        <v>474-COM-09939</v>
      </c>
      <c r="C541" s="103">
        <f>MouserListTable12[[#This Row],['# Initial]]</f>
        <v>0</v>
      </c>
      <c r="D541" s="103" t="str">
        <f>MouserListTable12[[#This Row],[Name]]</f>
        <v>Rotary Potentiometer - 10k Ohm, Linear</v>
      </c>
      <c r="E541" s="103">
        <f>MouserListTable12[[#This Row],[Price (USD)]]</f>
        <v>0.95</v>
      </c>
      <c r="F541" s="103">
        <f>MouserListTable12[[#This Row],[Total Price]]</f>
        <v>0</v>
      </c>
    </row>
    <row r="542" spans="1:6" s="146" customFormat="1" hidden="1" x14ac:dyDescent="0.3">
      <c r="A542" s="103">
        <f>IF(MouserListTable1215[[#This Row],[Qty.]]&gt;0,IF($A541="List #",1,$A541+1),IF($A541="List #",0,$A541))</f>
        <v>164</v>
      </c>
      <c r="B542" s="103" t="str">
        <f>MouserListTable12[[#This Row],[SKU]]</f>
        <v>474-COM-09940</v>
      </c>
      <c r="C542" s="103">
        <f>MouserListTable12[[#This Row],['# Initial]]</f>
        <v>0</v>
      </c>
      <c r="D542" s="103" t="str">
        <f>MouserListTable12[[#This Row],[Name]]</f>
        <v>Rotary Potentiometer - 10k Ohm, Logarithmic</v>
      </c>
      <c r="E542" s="103">
        <f>MouserListTable12[[#This Row],[Price (USD)]]</f>
        <v>0.95</v>
      </c>
      <c r="F542" s="103">
        <f>MouserListTable12[[#This Row],[Total Price]]</f>
        <v>0</v>
      </c>
    </row>
    <row r="543" spans="1:6" s="146" customFormat="1" x14ac:dyDescent="0.3">
      <c r="A543" s="193">
        <f>IF(MouserListTable1215[[#This Row],[Qty.]]&gt;0,IF($A542="List #",1,$A542+1),IF($A542="List #",0,$A542))</f>
        <v>165</v>
      </c>
      <c r="B543" s="103" t="str">
        <f>MouserListTable12[[#This Row],[SKU]]</f>
        <v>474-COM-09288</v>
      </c>
      <c r="C543" s="103">
        <f>MouserListTable12[[#This Row],['# Initial]]</f>
        <v>5</v>
      </c>
      <c r="D543" s="103" t="str">
        <f>MouserListTable12[[#This Row],[Name]]</f>
        <v>Rotary Potentiometer - Linear (10k ohm)</v>
      </c>
      <c r="E543" s="179">
        <f>MouserListTable12[[#This Row],[Price (USD)]]</f>
        <v>0.95</v>
      </c>
      <c r="F543" s="179">
        <f>MouserListTable12[[#This Row],[Total Price]]</f>
        <v>4.75</v>
      </c>
    </row>
    <row r="544" spans="1:6" s="146" customFormat="1" hidden="1" x14ac:dyDescent="0.3">
      <c r="A544" s="103">
        <f>IF(MouserListTable1215[[#This Row],[Qty.]]&gt;0,IF($A543="List #",1,$A543+1),IF($A543="List #",0,$A543))</f>
        <v>165</v>
      </c>
      <c r="B544" s="103" t="str">
        <f>MouserListTable12[[#This Row],[SKU]]</f>
        <v>485-3392</v>
      </c>
      <c r="C544" s="103">
        <f>MouserListTable12[[#This Row],['# Initial]]</f>
        <v>0</v>
      </c>
      <c r="D544" s="103" t="str">
        <f>MouserListTable12[[#This Row],[Name]]</f>
        <v xml:space="preserve">Panel Mount 10K Dual Linear Potentiometer - 10K Dual Linear </v>
      </c>
      <c r="E544" s="103">
        <f>MouserListTable12[[#This Row],[Price (USD)]]</f>
        <v>1.5</v>
      </c>
      <c r="F544" s="103">
        <f>MouserListTable12[[#This Row],[Total Price]]</f>
        <v>0</v>
      </c>
    </row>
    <row r="545" spans="1:6" s="146" customFormat="1" hidden="1" x14ac:dyDescent="0.3">
      <c r="A545" s="103">
        <f>IF(MouserListTable1215[[#This Row],[Qty.]]&gt;0,IF($A544="List #",1,$A544+1),IF($A544="List #",0,$A544))</f>
        <v>165</v>
      </c>
      <c r="B545" s="103" t="str">
        <f>MouserListTable12[[#This Row],[SKU]]</f>
        <v>485-3393</v>
      </c>
      <c r="C545" s="103">
        <f>MouserListTable12[[#This Row],['# Initial]]</f>
        <v>0</v>
      </c>
      <c r="D545" s="103" t="str">
        <f>MouserListTable12[[#This Row],[Name]]</f>
        <v xml:space="preserve">Panel Mount 10K Dual Linear Potentiometer w/ On-Off Switch - 10K Dual Linear w/ Switch </v>
      </c>
      <c r="E545" s="103">
        <f>MouserListTable12[[#This Row],[Price (USD)]]</f>
        <v>1.75</v>
      </c>
      <c r="F545" s="103">
        <f>MouserListTable12[[#This Row],[Total Price]]</f>
        <v>0</v>
      </c>
    </row>
    <row r="546" spans="1:6" s="146" customFormat="1" hidden="1" x14ac:dyDescent="0.3">
      <c r="A546" s="103">
        <f>IF(MouserListTable1215[[#This Row],[Qty.]]&gt;0,IF($A545="List #",1,$A545+1),IF($A545="List #",0,$A545))</f>
        <v>165</v>
      </c>
      <c r="B546" s="103" t="str">
        <f>MouserListTable12[[#This Row],[SKU]]</f>
        <v>485-562</v>
      </c>
      <c r="C546" s="103">
        <f>MouserListTable12[[#This Row],['# Initial]]</f>
        <v>0</v>
      </c>
      <c r="D546" s="103" t="str">
        <f>MouserListTable12[[#This Row],[Name]]</f>
        <v xml:space="preserve">Panel Mount 10K potentiometer (Breadboard Friendly) - 10K Linear </v>
      </c>
      <c r="E546" s="103">
        <f>MouserListTable12[[#This Row],[Price (USD)]]</f>
        <v>0.95</v>
      </c>
      <c r="F546" s="103">
        <f>MouserListTable12[[#This Row],[Total Price]]</f>
        <v>0</v>
      </c>
    </row>
    <row r="547" spans="1:6" s="146" customFormat="1" hidden="1" x14ac:dyDescent="0.3">
      <c r="A547" s="103">
        <f>IF(MouserListTable1215[[#This Row],[Qty.]]&gt;0,IF($A546="List #",1,$A546+1),IF($A546="List #",0,$A546))</f>
        <v>165</v>
      </c>
      <c r="B547" s="103" t="str">
        <f>MouserListTable12[[#This Row],[SKU]]</f>
        <v>485-1789</v>
      </c>
      <c r="C547" s="103">
        <f>MouserListTable12[[#This Row],['# Initial]]</f>
        <v>0</v>
      </c>
      <c r="D547" s="103" t="str">
        <f>MouserListTable12[[#This Row],[Name]]</f>
        <v xml:space="preserve">Panel Mount 1K potentiometer (Breadboard Friendly) - 1K Linear </v>
      </c>
      <c r="E547" s="103">
        <f>MouserListTable12[[#This Row],[Price (USD)]]</f>
        <v>0.95</v>
      </c>
      <c r="F547" s="103">
        <f>MouserListTable12[[#This Row],[Total Price]]</f>
        <v>0</v>
      </c>
    </row>
    <row r="548" spans="1:6" s="146" customFormat="1" x14ac:dyDescent="0.3">
      <c r="A548" s="193">
        <f>IF(MouserListTable1215[[#This Row],[Qty.]]&gt;0,IF($A547="List #",1,$A547+1),IF($A547="List #",0,$A547))</f>
        <v>166</v>
      </c>
      <c r="B548" s="103" t="str">
        <f>MouserListTable12[[#This Row],[SKU]]</f>
        <v>485-3395</v>
      </c>
      <c r="C548" s="103">
        <f>MouserListTable12[[#This Row],['# Initial]]</f>
        <v>5</v>
      </c>
      <c r="D548" s="103" t="str">
        <f>MouserListTable12[[#This Row],[Name]]</f>
        <v xml:space="preserve">Panel Mount Right Angle 10K Linear Potentiometer w/On-Off Switch - 10K Linear w/ Switch </v>
      </c>
      <c r="E548" s="179">
        <f>MouserListTable12[[#This Row],[Price (USD)]]</f>
        <v>1.5</v>
      </c>
      <c r="F548" s="179">
        <f>MouserListTable12[[#This Row],[Total Price]]</f>
        <v>7.5</v>
      </c>
    </row>
    <row r="549" spans="1:6" s="146" customFormat="1" hidden="1" x14ac:dyDescent="0.3">
      <c r="A549" s="103">
        <f>IF(MouserListTable1215[[#This Row],[Qty.]]&gt;0,IF($A548="List #",1,$A548+1),IF($A548="List #",0,$A548))</f>
        <v>166</v>
      </c>
      <c r="B549" s="103" t="str">
        <f>MouserListTable12[[#This Row],[SKU]]</f>
        <v>474-COM-09117</v>
      </c>
      <c r="C549" s="103">
        <f>MouserListTable12[[#This Row],['# Initial]]</f>
        <v>0</v>
      </c>
      <c r="D549" s="103" t="str">
        <f>MouserListTable12[[#This Row],[Name]]</f>
        <v>Rotary Encoder</v>
      </c>
      <c r="E549" s="103">
        <f>MouserListTable12[[#This Row],[Price (USD)]]</f>
        <v>2.95</v>
      </c>
      <c r="F549" s="103">
        <f>MouserListTable12[[#This Row],[Total Price]]</f>
        <v>0</v>
      </c>
    </row>
    <row r="550" spans="1:6" s="146" customFormat="1" hidden="1" x14ac:dyDescent="0.3">
      <c r="A550" s="103">
        <f>IF(MouserListTable1215[[#This Row],[Qty.]]&gt;0,IF($A549="List #",1,$A549+1),IF($A549="List #",0,$A549))</f>
        <v>166</v>
      </c>
      <c r="B550" s="103" t="str">
        <f>MouserListTable12[[#This Row],[SKU]]</f>
        <v>474-COM-10596</v>
      </c>
      <c r="C550" s="103">
        <f>MouserListTable12[[#This Row],['# Initial]]</f>
        <v>0</v>
      </c>
      <c r="D550" s="103" t="str">
        <f>MouserListTable12[[#This Row],[Name]]</f>
        <v>Rotary Encoder - Illuminated (Red/Green)</v>
      </c>
      <c r="E550" s="103">
        <f>MouserListTable12[[#This Row],[Price (USD)]]</f>
        <v>2.95</v>
      </c>
      <c r="F550" s="103">
        <f>MouserListTable12[[#This Row],[Total Price]]</f>
        <v>0</v>
      </c>
    </row>
    <row r="551" spans="1:6" s="146" customFormat="1" hidden="1" x14ac:dyDescent="0.3">
      <c r="A551" s="103">
        <f>IF(MouserListTable1215[[#This Row],[Qty.]]&gt;0,IF($A550="List #",1,$A550+1),IF($A550="List #",0,$A550))</f>
        <v>166</v>
      </c>
      <c r="B551" s="103" t="str">
        <f>MouserListTable12[[#This Row],[SKU]]</f>
        <v>474-COM-10982</v>
      </c>
      <c r="C551" s="103">
        <f>MouserListTable12[[#This Row],['# Initial]]</f>
        <v>0</v>
      </c>
      <c r="D551" s="103" t="str">
        <f>MouserListTable12[[#This Row],[Name]]</f>
        <v>Rotary Encoder - Illuminated (RGB)</v>
      </c>
      <c r="E551" s="103">
        <f>MouserListTable12[[#This Row],[Price (USD)]]</f>
        <v>3.95</v>
      </c>
      <c r="F551" s="103">
        <f>MouserListTable12[[#This Row],[Total Price]]</f>
        <v>0</v>
      </c>
    </row>
    <row r="552" spans="1:6" s="146" customFormat="1" hidden="1" x14ac:dyDescent="0.3">
      <c r="A552" s="103">
        <f>IF(MouserListTable1215[[#This Row],[Qty.]]&gt;0,IF($A551="List #",1,$A551+1),IF($A551="List #",0,$A551))</f>
        <v>166</v>
      </c>
      <c r="B552" s="103" t="str">
        <f>MouserListTable12[[#This Row],[SKU]]</f>
        <v>474-BOB-11722</v>
      </c>
      <c r="C552" s="103">
        <f>MouserListTable12[[#This Row],['# Initial]]</f>
        <v>0</v>
      </c>
      <c r="D552" s="103" t="str">
        <f>MouserListTable12[[#This Row],[Name]]</f>
        <v>SparkFun Rotary Encoder Breakout - Illuminated (RG/RGB)</v>
      </c>
      <c r="E552" s="103">
        <f>MouserListTable12[[#This Row],[Price (USD)]]</f>
        <v>2.95</v>
      </c>
      <c r="F552" s="103">
        <f>MouserListTable12[[#This Row],[Total Price]]</f>
        <v>0</v>
      </c>
    </row>
    <row r="553" spans="1:6" s="146" customFormat="1" hidden="1" x14ac:dyDescent="0.3">
      <c r="A553" s="103">
        <f>IF(MouserListTable1215[[#This Row],[Qty.]]&gt;0,IF($A552="List #",1,$A552+1),IF($A552="List #",0,$A552))</f>
        <v>166</v>
      </c>
      <c r="B553" s="103" t="str">
        <f>MouserListTable12[[#This Row],[SKU]]</f>
        <v>485-377</v>
      </c>
      <c r="C553" s="103">
        <f>MouserListTable12[[#This Row],['# Initial]]</f>
        <v>0</v>
      </c>
      <c r="D553" s="103" t="str">
        <f>MouserListTable12[[#This Row],[Name]]</f>
        <v xml:space="preserve">Rotary Encoder + Extras </v>
      </c>
      <c r="E553" s="103">
        <f>MouserListTable12[[#This Row],[Price (USD)]]</f>
        <v>4.5</v>
      </c>
      <c r="F553" s="103">
        <f>MouserListTable12[[#This Row],[Total Price]]</f>
        <v>0</v>
      </c>
    </row>
    <row r="554" spans="1:6" s="146" customFormat="1" x14ac:dyDescent="0.3">
      <c r="A554" s="193">
        <f>IF(MouserListTable1215[[#This Row],[Qty.]]&gt;0,IF($A553="List #",1,$A553+1),IF($A553="List #",0,$A553))</f>
        <v>167</v>
      </c>
      <c r="B554" s="103" t="str">
        <f>MouserListTable12[[#This Row],[SKU]]</f>
        <v>474-COM-13253</v>
      </c>
      <c r="C554" s="103">
        <f>MouserListTable12[[#This Row],['# Initial]]</f>
        <v>5</v>
      </c>
      <c r="D554" s="103" t="str">
        <f>MouserListTable12[[#This Row],[Name]]</f>
        <v>Rotary Switch - 10 Position</v>
      </c>
      <c r="E554" s="179">
        <f>MouserListTable12[[#This Row],[Price (USD)]]</f>
        <v>1.95</v>
      </c>
      <c r="F554" s="179">
        <f>MouserListTable12[[#This Row],[Total Price]]</f>
        <v>9.75</v>
      </c>
    </row>
    <row r="555" spans="1:6" s="146" customFormat="1" x14ac:dyDescent="0.3">
      <c r="A555" s="193">
        <f>IF(MouserListTable1215[[#This Row],[Qty.]]&gt;0,IF($A554="List #",1,$A554+1),IF($A554="List #",0,$A554))</f>
        <v>168</v>
      </c>
      <c r="B555" s="103" t="str">
        <f>MouserListTable12[[#This Row],[SKU]]</f>
        <v>474-BOB-13098</v>
      </c>
      <c r="C555" s="103">
        <f>MouserListTable12[[#This Row],['# Initial]]</f>
        <v>5</v>
      </c>
      <c r="D555" s="103" t="str">
        <f>MouserListTable12[[#This Row],[Name]]</f>
        <v>SparkFun Rotary Switch Breakout</v>
      </c>
      <c r="E555" s="179">
        <f>MouserListTable12[[#This Row],[Price (USD)]]</f>
        <v>1.95</v>
      </c>
      <c r="F555" s="179">
        <f>MouserListTable12[[#This Row],[Total Price]]</f>
        <v>9.75</v>
      </c>
    </row>
    <row r="556" spans="1:6" s="146" customFormat="1" x14ac:dyDescent="0.3">
      <c r="A556" s="193">
        <f>IF(MouserListTable1215[[#This Row],[Qty.]]&gt;0,IF($A555="List #",1,$A555+1),IF($A555="List #",0,$A555))</f>
        <v>169</v>
      </c>
      <c r="B556" s="103" t="str">
        <f>MouserListTable12[[#This Row],[SKU]]</f>
        <v>474-BOB-13099</v>
      </c>
      <c r="C556" s="103">
        <f>MouserListTable12[[#This Row],['# Initial]]</f>
        <v>5</v>
      </c>
      <c r="D556" s="103" t="str">
        <f>MouserListTable12[[#This Row],[Name]]</f>
        <v>SparkFun Rotary Switch Potentiometer Breakout</v>
      </c>
      <c r="E556" s="179">
        <f>MouserListTable12[[#This Row],[Price (USD)]]</f>
        <v>1.95</v>
      </c>
      <c r="F556" s="179">
        <f>MouserListTable12[[#This Row],[Total Price]]</f>
        <v>9.75</v>
      </c>
    </row>
    <row r="557" spans="1:6" s="146" customFormat="1" hidden="1" x14ac:dyDescent="0.3">
      <c r="A557" s="103">
        <f>IF(MouserListTable1215[[#This Row],[Qty.]]&gt;0,IF($A556="List #",1,$A556+1),IF($A556="List #",0,$A556))</f>
        <v>169</v>
      </c>
      <c r="B557" s="103" t="str">
        <f>MouserListTable12[[#This Row],[SKU]]</f>
        <v>485-2925</v>
      </c>
      <c r="C557" s="103">
        <f>MouserListTable12[[#This Row],['# Initial]]</f>
        <v>0</v>
      </c>
      <c r="D557" s="103" t="str">
        <f>MouserListTable12[[#This Row],[Name]]</f>
        <v xml:space="preserve">Mini 8-Way Rotary Selector Switch - SP8T </v>
      </c>
      <c r="E557" s="103">
        <f>MouserListTable12[[#This Row],[Price (USD)]]</f>
        <v>1.95</v>
      </c>
      <c r="F557" s="103">
        <f>MouserListTable12[[#This Row],[Total Price]]</f>
        <v>0</v>
      </c>
    </row>
    <row r="558" spans="1:6" s="146" customFormat="1" hidden="1" x14ac:dyDescent="0.3">
      <c r="A558" s="103">
        <f>IF(MouserListTable1215[[#This Row],[Qty.]]&gt;0,IF($A557="List #",1,$A557+1),IF($A557="List #",0,$A557))</f>
        <v>169</v>
      </c>
      <c r="B558" s="103" t="str">
        <f>MouserListTable12[[#This Row],[SKU]]</f>
        <v>474-PRT-11367</v>
      </c>
      <c r="C558" s="103">
        <f>MouserListTable12[[#This Row],['# Initial]]</f>
        <v>0</v>
      </c>
      <c r="D558" s="103" t="str">
        <f>MouserListTable12[[#This Row],[Name]]</f>
        <v>Hook-Up Wire - Assortment (Solid Core, 22 AWG)</v>
      </c>
      <c r="E558" s="103">
        <f>MouserListTable12[[#This Row],[Price (USD)]]</f>
        <v>16.95</v>
      </c>
      <c r="F558" s="103">
        <f>MouserListTable12[[#This Row],[Total Price]]</f>
        <v>0</v>
      </c>
    </row>
    <row r="559" spans="1:6" s="146" customFormat="1" x14ac:dyDescent="0.3">
      <c r="A559" s="193">
        <f>IF(MouserListTable1215[[#This Row],[Qty.]]&gt;0,IF($A558="List #",1,$A558+1),IF($A558="List #",0,$A558))</f>
        <v>170</v>
      </c>
      <c r="B559" s="103" t="str">
        <f>MouserListTable12[[#This Row],[SKU]]</f>
        <v>485-3174</v>
      </c>
      <c r="C559" s="103">
        <f>MouserListTable12[[#This Row],['# Initial]]</f>
        <v>1</v>
      </c>
      <c r="D559" s="103" t="str">
        <f>MouserListTable12[[#This Row],[Name]]</f>
        <v>Hook-up Wire Spool Set - 22AWG Solid Core - 10 x 25ft</v>
      </c>
      <c r="E559" s="179">
        <f>MouserListTable12[[#This Row],[Price (USD)]]</f>
        <v>27.5</v>
      </c>
      <c r="F559" s="179">
        <f>MouserListTable12[[#This Row],[Total Price]]</f>
        <v>27.5</v>
      </c>
    </row>
    <row r="560" spans="1:6" s="146" customFormat="1" hidden="1" x14ac:dyDescent="0.3">
      <c r="A560" s="103">
        <f>IF(MouserListTable1215[[#This Row],[Qty.]]&gt;0,IF($A559="List #",1,$A559+1),IF($A559="List #",0,$A559))</f>
        <v>170</v>
      </c>
      <c r="B560" s="103" t="str">
        <f>MouserListTable12[[#This Row],[SKU]]</f>
        <v>474-PRT-08023</v>
      </c>
      <c r="C560" s="103">
        <f>MouserListTable12[[#This Row],['# Initial]]</f>
        <v>0</v>
      </c>
      <c r="D560" s="103" t="str">
        <f>MouserListTable12[[#This Row],[Name]]</f>
        <v>Hook-up Wire - Red (22 AWG)</v>
      </c>
      <c r="E560" s="103">
        <f>MouserListTable12[[#This Row],[Price (USD)]]</f>
        <v>2.5</v>
      </c>
      <c r="F560" s="103">
        <f>MouserListTable12[[#This Row],[Total Price]]</f>
        <v>0</v>
      </c>
    </row>
    <row r="561" spans="1:6" s="146" customFormat="1" hidden="1" x14ac:dyDescent="0.3">
      <c r="A561" s="103">
        <f>IF(MouserListTable1215[[#This Row],[Qty.]]&gt;0,IF($A560="List #",1,$A560+1),IF($A560="List #",0,$A560))</f>
        <v>170</v>
      </c>
      <c r="B561" s="103" t="str">
        <f>MouserListTable12[[#This Row],[SKU]]</f>
        <v>474-PRT-08024</v>
      </c>
      <c r="C561" s="103">
        <f>MouserListTable12[[#This Row],['# Initial]]</f>
        <v>0</v>
      </c>
      <c r="D561" s="103" t="str">
        <f>MouserListTable12[[#This Row],[Name]]</f>
        <v>Hook-up Wire - Yellow (22 AWG)</v>
      </c>
      <c r="E561" s="103">
        <f>MouserListTable12[[#This Row],[Price (USD)]]</f>
        <v>2.5</v>
      </c>
      <c r="F561" s="103">
        <f>MouserListTable12[[#This Row],[Total Price]]</f>
        <v>0</v>
      </c>
    </row>
    <row r="562" spans="1:6" s="146" customFormat="1" hidden="1" x14ac:dyDescent="0.3">
      <c r="A562" s="103">
        <f>IF(MouserListTable1215[[#This Row],[Qty.]]&gt;0,IF($A561="List #",1,$A561+1),IF($A561="List #",0,$A561))</f>
        <v>170</v>
      </c>
      <c r="B562" s="103" t="str">
        <f>MouserListTable12[[#This Row],[SKU]]</f>
        <v>474-PRT-08022</v>
      </c>
      <c r="C562" s="103">
        <f>MouserListTable12[[#This Row],['# Initial]]</f>
        <v>0</v>
      </c>
      <c r="D562" s="103" t="str">
        <f>MouserListTable12[[#This Row],[Name]]</f>
        <v>Hook-up Wire - Black (22 AWG)</v>
      </c>
      <c r="E562" s="103">
        <f>MouserListTable12[[#This Row],[Price (USD)]]</f>
        <v>2.5</v>
      </c>
      <c r="F562" s="103">
        <f>MouserListTable12[[#This Row],[Total Price]]</f>
        <v>0</v>
      </c>
    </row>
    <row r="563" spans="1:6" s="146" customFormat="1" hidden="1" x14ac:dyDescent="0.3">
      <c r="A563" s="103">
        <f>IF(MouserListTable1215[[#This Row],[Qty.]]&gt;0,IF($A562="List #",1,$A562+1),IF($A562="List #",0,$A562))</f>
        <v>170</v>
      </c>
      <c r="B563" s="103" t="str">
        <f>MouserListTable12[[#This Row],[SKU]]</f>
        <v>474-PRT-08025</v>
      </c>
      <c r="C563" s="103">
        <f>MouserListTable12[[#This Row],['# Initial]]</f>
        <v>0</v>
      </c>
      <c r="D563" s="103" t="str">
        <f>MouserListTable12[[#This Row],[Name]]</f>
        <v>Hook-up Wire - Gray (22 AWG)</v>
      </c>
      <c r="E563" s="103">
        <f>MouserListTable12[[#This Row],[Price (USD)]]</f>
        <v>2.95</v>
      </c>
      <c r="F563" s="103">
        <f>MouserListTable12[[#This Row],[Total Price]]</f>
        <v>0</v>
      </c>
    </row>
    <row r="564" spans="1:6" s="146" customFormat="1" hidden="1" x14ac:dyDescent="0.3">
      <c r="A564" s="103">
        <f>IF(MouserListTable1215[[#This Row],[Qty.]]&gt;0,IF($A563="List #",1,$A563+1),IF($A563="List #",0,$A563))</f>
        <v>170</v>
      </c>
      <c r="B564" s="103" t="str">
        <f>MouserListTable12[[#This Row],[SKU]]</f>
        <v>474-PRT-08026</v>
      </c>
      <c r="C564" s="103">
        <f>MouserListTable12[[#This Row],['# Initial]]</f>
        <v>0</v>
      </c>
      <c r="D564" s="103" t="str">
        <f>MouserListTable12[[#This Row],[Name]]</f>
        <v>Hook-up Wire - White (22 AWG)</v>
      </c>
      <c r="E564" s="103">
        <f>MouserListTable12[[#This Row],[Price (USD)]]</f>
        <v>2.5</v>
      </c>
      <c r="F564" s="103">
        <f>MouserListTable12[[#This Row],[Total Price]]</f>
        <v>0</v>
      </c>
    </row>
    <row r="565" spans="1:6" s="146" customFormat="1" hidden="1" x14ac:dyDescent="0.3">
      <c r="A565" s="103">
        <f>IF(MouserListTable1215[[#This Row],[Qty.]]&gt;0,IF($A564="List #",1,$A564+1),IF($A564="List #",0,$A564))</f>
        <v>170</v>
      </c>
      <c r="B565" s="103" t="str">
        <f>MouserListTable12[[#This Row],[SKU]]</f>
        <v>474-PRT-08027</v>
      </c>
      <c r="C565" s="103">
        <f>MouserListTable12[[#This Row],['# Initial]]</f>
        <v>0</v>
      </c>
      <c r="D565" s="103" t="str">
        <f>MouserListTable12[[#This Row],[Name]]</f>
        <v>Hook-up Wire - Brown (22 AWG)</v>
      </c>
      <c r="E565" s="103">
        <f>MouserListTable12[[#This Row],[Price (USD)]]</f>
        <v>2.95</v>
      </c>
      <c r="F565" s="103">
        <f>MouserListTable12[[#This Row],[Total Price]]</f>
        <v>0</v>
      </c>
    </row>
    <row r="566" spans="1:6" s="146" customFormat="1" x14ac:dyDescent="0.3">
      <c r="A566" s="193">
        <f>IF(MouserListTable1215[[#This Row],[Qty.]]&gt;0,IF($A565="List #",1,$A565+1),IF($A565="List #",0,$A565))</f>
        <v>171</v>
      </c>
      <c r="B566" s="103" t="str">
        <f>MouserListTable12[[#This Row],[SKU]]</f>
        <v>474-PRT-00124</v>
      </c>
      <c r="C566" s="103">
        <f>MouserListTable12[[#This Row],['# Initial]]</f>
        <v>2</v>
      </c>
      <c r="D566" s="103" t="str">
        <f>MouserListTable12[[#This Row],[Name]]</f>
        <v>Jumper Wire Kit</v>
      </c>
      <c r="E566" s="179">
        <f>MouserListTable12[[#This Row],[Price (USD)]]</f>
        <v>6.95</v>
      </c>
      <c r="F566" s="179">
        <f>MouserListTable12[[#This Row],[Total Price]]</f>
        <v>13.9</v>
      </c>
    </row>
    <row r="567" spans="1:6" s="146" customFormat="1" hidden="1" x14ac:dyDescent="0.3">
      <c r="A567" s="103">
        <f>IF(MouserListTable1215[[#This Row],[Qty.]]&gt;0,IF($A566="List #",1,$A566+1),IF($A566="List #",0,$A566))</f>
        <v>171</v>
      </c>
      <c r="B567" s="103" t="str">
        <f>MouserListTable12[[#This Row],[SKU]]</f>
        <v>485-3314</v>
      </c>
      <c r="C567" s="103">
        <f>MouserListTable12[[#This Row],['# Initial]]</f>
        <v>0</v>
      </c>
      <c r="D567" s="103" t="str">
        <f>MouserListTable12[[#This Row],[Name]]</f>
        <v>Half Size Breadboard + 78 Piece 22AWG Jumper Wire Bundle</v>
      </c>
      <c r="E567" s="103">
        <f>MouserListTable12[[#This Row],[Price (USD)]]</f>
        <v>7.95</v>
      </c>
      <c r="F567" s="103">
        <f>MouserListTable12[[#This Row],[Total Price]]</f>
        <v>0</v>
      </c>
    </row>
    <row r="568" spans="1:6" s="146" customFormat="1" hidden="1" x14ac:dyDescent="0.3">
      <c r="A568" s="103">
        <f>IF(MouserListTable1215[[#This Row],[Qty.]]&gt;0,IF($A567="List #",1,$A567+1),IF($A567="List #",0,$A567))</f>
        <v>171</v>
      </c>
      <c r="B568" s="103" t="str">
        <f>MouserListTable12[[#This Row],[SKU]]</f>
        <v>474-TOL-13086</v>
      </c>
      <c r="C568" s="103">
        <f>MouserListTable12[[#This Row],['# Initial]]</f>
        <v>0</v>
      </c>
      <c r="D568" s="103" t="str">
        <f>MouserListTable12[[#This Row],[Name]]</f>
        <v>Tool Kit - Beginner</v>
      </c>
      <c r="E568" s="103">
        <f>MouserListTable12[[#This Row],[Price (USD)]]</f>
        <v>34.950000000000003</v>
      </c>
      <c r="F568" s="103">
        <f>MouserListTable12[[#This Row],[Total Price]]</f>
        <v>0</v>
      </c>
    </row>
    <row r="569" spans="1:6" s="146" customFormat="1" hidden="1" x14ac:dyDescent="0.3">
      <c r="A569" s="103">
        <f>IF(MouserListTable1215[[#This Row],[Qty.]]&gt;0,IF($A568="List #",1,$A568+1),IF($A568="List #",0,$A568))</f>
        <v>171</v>
      </c>
      <c r="B569" s="103" t="str">
        <f>MouserListTable12[[#This Row],[SKU]]</f>
        <v>485-136</v>
      </c>
      <c r="C569" s="103">
        <f>MouserListTable12[[#This Row],['# Initial]]</f>
        <v>0</v>
      </c>
      <c r="D569" s="103" t="str">
        <f>MouserListTable12[[#This Row],[Name]]</f>
        <v>Ladyada's Electronics Toolkit</v>
      </c>
      <c r="E569" s="103">
        <f>MouserListTable12[[#This Row],[Price (USD)]]</f>
        <v>100</v>
      </c>
      <c r="F569" s="103">
        <f>MouserListTable12[[#This Row],[Total Price]]</f>
        <v>0</v>
      </c>
    </row>
    <row r="570" spans="1:6" s="146" customFormat="1" hidden="1" x14ac:dyDescent="0.3">
      <c r="A570" s="103">
        <f>IF(MouserListTable1215[[#This Row],[Qty.]]&gt;0,IF($A569="List #",1,$A569+1),IF($A569="List #",0,$A569))</f>
        <v>171</v>
      </c>
      <c r="B570" s="103" t="str">
        <f>MouserListTable12[[#This Row],[SKU]]</f>
        <v>474-TOL-14226</v>
      </c>
      <c r="C570" s="103">
        <f>MouserListTable12[[#This Row],['# Initial]]</f>
        <v>0</v>
      </c>
      <c r="D570" s="103" t="str">
        <f>MouserListTable12[[#This Row],[Name]]</f>
        <v>Weller Portasol Butane Soldering Iron Kit</v>
      </c>
      <c r="E570" s="103">
        <f>MouserListTable12[[#This Row],[Price (USD)]]</f>
        <v>59.95</v>
      </c>
      <c r="F570" s="103">
        <f>MouserListTable12[[#This Row],[Total Price]]</f>
        <v>0</v>
      </c>
    </row>
    <row r="571" spans="1:6" s="146" customFormat="1" hidden="1" x14ac:dyDescent="0.3">
      <c r="A571" s="103">
        <f>IF(MouserListTable1215[[#This Row],[Qty.]]&gt;0,IF($A570="List #",1,$A570+1),IF($A570="List #",0,$A570))</f>
        <v>171</v>
      </c>
      <c r="B571" s="103" t="str">
        <f>MouserListTable12[[#This Row],[SKU]]</f>
        <v>474-TOL-13203</v>
      </c>
      <c r="C571" s="103">
        <f>MouserListTable12[[#This Row],['# Initial]]</f>
        <v>0</v>
      </c>
      <c r="D571" s="103" t="str">
        <f>MouserListTable12[[#This Row],[Name]]</f>
        <v>Solder Vacuum</v>
      </c>
      <c r="E571" s="103">
        <f>MouserListTable12[[#This Row],[Price (USD)]]</f>
        <v>4.95</v>
      </c>
      <c r="F571" s="103">
        <f>MouserListTable12[[#This Row],[Total Price]]</f>
        <v>0</v>
      </c>
    </row>
    <row r="572" spans="1:6" s="146" customFormat="1" hidden="1" x14ac:dyDescent="0.3">
      <c r="A572" s="103">
        <f>IF(MouserListTable1215[[#This Row],[Qty.]]&gt;0,IF($A571="List #",1,$A571+1),IF($A571="List #",0,$A571))</f>
        <v>171</v>
      </c>
      <c r="B572" s="103" t="str">
        <f>MouserListTable12[[#This Row],[SKU]]</f>
        <v>474-TOL-08964</v>
      </c>
      <c r="C572" s="103">
        <f>MouserListTable12[[#This Row],['# Initial]]</f>
        <v>0</v>
      </c>
      <c r="D572" s="103" t="str">
        <f>MouserListTable12[[#This Row],[Name]]</f>
        <v>Brass Sponge</v>
      </c>
      <c r="E572" s="103">
        <f>MouserListTable12[[#This Row],[Price (USD)]]</f>
        <v>2.95</v>
      </c>
      <c r="F572" s="103">
        <f>MouserListTable12[[#This Row],[Total Price]]</f>
        <v>0</v>
      </c>
    </row>
    <row r="573" spans="1:6" s="146" customFormat="1" x14ac:dyDescent="0.3">
      <c r="A573" s="193">
        <f>IF(MouserListTable1215[[#This Row],[Qty.]]&gt;0,IF($A572="List #",1,$A572+1),IF($A572="List #",0,$A572))</f>
        <v>172</v>
      </c>
      <c r="B573" s="103" t="str">
        <f>MouserListTable12[[#This Row],[SKU]]</f>
        <v>474-TOL-12878</v>
      </c>
      <c r="C573" s="103">
        <f>MouserListTable12[[#This Row],['# Initial]]</f>
        <v>1</v>
      </c>
      <c r="D573" s="103" t="str">
        <f>MouserListTable12[[#This Row],[Name]]</f>
        <v>Solder Paste - 50g (Lead Free)</v>
      </c>
      <c r="E573" s="179">
        <f>MouserListTable12[[#This Row],[Price (USD)]]</f>
        <v>16.95</v>
      </c>
      <c r="F573" s="179">
        <f>MouserListTable12[[#This Row],[Total Price]]</f>
        <v>16.95</v>
      </c>
    </row>
    <row r="574" spans="1:6" s="146" customFormat="1" hidden="1" x14ac:dyDescent="0.3">
      <c r="A574" s="103">
        <f>IF(MouserListTable1215[[#This Row],[Qty.]]&gt;0,IF($A573="List #",1,$A573+1),IF($A573="List #",0,$A573))</f>
        <v>172</v>
      </c>
      <c r="B574" s="103" t="str">
        <f>MouserListTable12[[#This Row],[SKU]]</f>
        <v>474-TOL-10706</v>
      </c>
      <c r="C574" s="103">
        <f>MouserListTable12[[#This Row],['# Initial]]</f>
        <v>0</v>
      </c>
      <c r="D574" s="103" t="str">
        <f>MouserListTable12[[#This Row],[Name]]</f>
        <v>Hot-air Rework Station - 303D</v>
      </c>
      <c r="E574" s="103">
        <f>MouserListTable12[[#This Row],[Price (USD)]]</f>
        <v>114.95</v>
      </c>
      <c r="F574" s="103">
        <f>MouserListTable12[[#This Row],[Total Price]]</f>
        <v>0</v>
      </c>
    </row>
    <row r="575" spans="1:6" s="146" customFormat="1" hidden="1" x14ac:dyDescent="0.3">
      <c r="A575" s="103">
        <f>IF(MouserListTable1215[[#This Row],[Qty.]]&gt;0,IF($A574="List #",1,$A574+1),IF($A574="List #",0,$A574))</f>
        <v>172</v>
      </c>
      <c r="B575" s="103" t="str">
        <f>MouserListTable12[[#This Row],[SKU]]</f>
        <v>485-1869</v>
      </c>
      <c r="C575" s="103">
        <f>MouserListTable12[[#This Row],['# Initial]]</f>
        <v>0</v>
      </c>
      <c r="D575" s="103" t="str">
        <f>MouserListTable12[[#This Row],[Name]]</f>
        <v xml:space="preserve">Hot Air Soldering Rework Station w/ Three Nozzles - Quick 957D </v>
      </c>
      <c r="E575" s="103">
        <f>MouserListTable12[[#This Row],[Price (USD)]]</f>
        <v>97.5</v>
      </c>
      <c r="F575" s="103">
        <f>MouserListTable12[[#This Row],[Total Price]]</f>
        <v>0</v>
      </c>
    </row>
    <row r="576" spans="1:6" s="146" customFormat="1" hidden="1" x14ac:dyDescent="0.3">
      <c r="A576" s="103">
        <f>IF(MouserListTable1215[[#This Row],[Qty.]]&gt;0,IF($A575="List #",1,$A575+1),IF($A575="List #",0,$A575))</f>
        <v>172</v>
      </c>
      <c r="B576" s="103" t="str">
        <f>MouserListTable12[[#This Row],[SKU]]</f>
        <v>474-TOL-07925</v>
      </c>
      <c r="C576" s="103">
        <f>MouserListTable12[[#This Row],['# Initial]]</f>
        <v>0</v>
      </c>
      <c r="D576" s="103" t="str">
        <f>MouserListTable12[[#This Row],[Name]]</f>
        <v>Hot-air Rework Nozzles - Y1126</v>
      </c>
      <c r="E576" s="103">
        <f>MouserListTable12[[#This Row],[Price (USD)]]</f>
        <v>14.95</v>
      </c>
      <c r="F576" s="103">
        <f>MouserListTable12[[#This Row],[Total Price]]</f>
        <v>0</v>
      </c>
    </row>
    <row r="577" spans="1:6" s="146" customFormat="1" hidden="1" x14ac:dyDescent="0.3">
      <c r="A577" s="103">
        <f>IF(MouserListTable1215[[#This Row],[Qty.]]&gt;0,IF($A576="List #",1,$A576+1),IF($A576="List #",0,$A576))</f>
        <v>172</v>
      </c>
      <c r="B577" s="103" t="str">
        <f>MouserListTable12[[#This Row],[SKU]]</f>
        <v>474-TOL-10326</v>
      </c>
      <c r="C577" s="103">
        <f>MouserListTable12[[#This Row],['# Initial]]</f>
        <v>0</v>
      </c>
      <c r="D577" s="103" t="str">
        <f>MouserListTable12[[#This Row],[Name]]</f>
        <v>Heaterizer XL-3000 Heat Gun</v>
      </c>
      <c r="E577" s="103">
        <f>MouserListTable12[[#This Row],[Price (USD)]]</f>
        <v>13.95</v>
      </c>
      <c r="F577" s="103">
        <f>MouserListTable12[[#This Row],[Total Price]]</f>
        <v>0</v>
      </c>
    </row>
    <row r="578" spans="1:6" s="146" customFormat="1" hidden="1" x14ac:dyDescent="0.3">
      <c r="A578" s="103">
        <f>IF(MouserListTable1215[[#This Row],[Qty.]]&gt;0,IF($A577="List #",1,$A577+1),IF($A577="List #",0,$A577))</f>
        <v>172</v>
      </c>
      <c r="B578" s="103" t="str">
        <f>MouserListTable12[[#This Row],[SKU]]</f>
        <v>485-3536</v>
      </c>
      <c r="C578" s="103">
        <f>MouserListTable12[[#This Row],['# Initial]]</f>
        <v>0</v>
      </c>
      <c r="D578" s="103" t="str">
        <f>MouserListTable12[[#This Row],[Name]]</f>
        <v>Insulated Silicone Rework Mat - 34cm x 23cm x 4mm Work Surface</v>
      </c>
      <c r="E578" s="103">
        <f>MouserListTable12[[#This Row],[Price (USD)]]</f>
        <v>9.9499999999999993</v>
      </c>
      <c r="F578" s="103">
        <f>MouserListTable12[[#This Row],[Total Price]]</f>
        <v>0</v>
      </c>
    </row>
    <row r="579" spans="1:6" s="146" customFormat="1" x14ac:dyDescent="0.3">
      <c r="A579" s="193">
        <f>IF(MouserListTable1215[[#This Row],[Qty.]]&gt;0,IF($A578="List #",1,$A578+1),IF($A578="List #",0,$A578))</f>
        <v>173</v>
      </c>
      <c r="B579" s="103" t="str">
        <f>MouserListTable12[[#This Row],[SKU]]</f>
        <v>474-TOL-10410</v>
      </c>
      <c r="C579" s="103">
        <f>MouserListTable12[[#This Row],['# Initial]]</f>
        <v>1</v>
      </c>
      <c r="D579" s="103" t="str">
        <f>MouserListTable12[[#This Row],[Name]]</f>
        <v>Panavise Jr. - Vacuum Base</v>
      </c>
      <c r="E579" s="179">
        <f>MouserListTable12[[#This Row],[Price (USD)]]</f>
        <v>33.75</v>
      </c>
      <c r="F579" s="179">
        <f>MouserListTable12[[#This Row],[Total Price]]</f>
        <v>33.75</v>
      </c>
    </row>
    <row r="580" spans="1:6" s="146" customFormat="1" hidden="1" x14ac:dyDescent="0.3">
      <c r="A580" s="103">
        <f>IF(MouserListTable1215[[#This Row],[Qty.]]&gt;0,IF($A579="List #",1,$A579+1),IF($A579="List #",0,$A579))</f>
        <v>173</v>
      </c>
      <c r="B580" s="103" t="str">
        <f>MouserListTable12[[#This Row],[SKU]]</f>
        <v>474-TOL-11784</v>
      </c>
      <c r="C580" s="103">
        <f>MouserListTable12[[#This Row],['# Initial]]</f>
        <v>0</v>
      </c>
      <c r="D580" s="103" t="str">
        <f>MouserListTable12[[#This Row],[Name]]</f>
        <v>SparkFun Third Hand Kit</v>
      </c>
      <c r="E580" s="103">
        <f>MouserListTable12[[#This Row],[Price (USD)]]</f>
        <v>29.95</v>
      </c>
      <c r="F580" s="103">
        <f>MouserListTable12[[#This Row],[Total Price]]</f>
        <v>0</v>
      </c>
    </row>
    <row r="581" spans="1:6" s="146" customFormat="1" hidden="1" x14ac:dyDescent="0.3">
      <c r="A581" s="103">
        <f>IF(MouserListTable1215[[#This Row],[Qty.]]&gt;0,IF($A580="List #",1,$A580+1),IF($A580="List #",0,$A580))</f>
        <v>173</v>
      </c>
      <c r="B581" s="103" t="str">
        <f>MouserListTable12[[#This Row],[SKU]]</f>
        <v>474-TOL-09317</v>
      </c>
      <c r="C581" s="103">
        <f>MouserListTable12[[#This Row],['# Initial]]</f>
        <v>0</v>
      </c>
      <c r="D581" s="103" t="str">
        <f>MouserListTable12[[#This Row],[Name]]</f>
        <v>Third Hand</v>
      </c>
      <c r="E581" s="103">
        <f>MouserListTable12[[#This Row],[Price (USD)]]</f>
        <v>9.9499999999999993</v>
      </c>
      <c r="F581" s="103">
        <f>MouserListTable12[[#This Row],[Total Price]]</f>
        <v>0</v>
      </c>
    </row>
    <row r="582" spans="1:6" s="146" customFormat="1" x14ac:dyDescent="0.3">
      <c r="A582" s="193">
        <f>IF(MouserListTable1215[[#This Row],[Qty.]]&gt;0,IF($A581="List #",1,$A581+1),IF($A581="List #",0,$A581))</f>
        <v>174</v>
      </c>
      <c r="B582" s="103" t="str">
        <f>MouserListTable12[[#This Row],[SKU]]</f>
        <v>485-3019</v>
      </c>
      <c r="C582" s="103">
        <f>MouserListTable12[[#This Row],['# Initial]]</f>
        <v>1</v>
      </c>
      <c r="D582" s="103" t="str">
        <f>MouserListTable12[[#This Row],[Name]]</f>
        <v>Third Hand Pana Hand Workstation Add-On for Panavise</v>
      </c>
      <c r="E582" s="179">
        <f>MouserListTable12[[#This Row],[Price (USD)]]</f>
        <v>68.69</v>
      </c>
      <c r="F582" s="179">
        <f>MouserListTable12[[#This Row],[Total Price]]</f>
        <v>68.69</v>
      </c>
    </row>
    <row r="583" spans="1:6" s="146" customFormat="1" x14ac:dyDescent="0.3">
      <c r="A583" s="193">
        <f>IF(MouserListTable1215[[#This Row],[Qty.]]&gt;0,IF($A582="List #",1,$A582+1),IF($A582="List #",0,$A582))</f>
        <v>175</v>
      </c>
      <c r="B583" s="103" t="str">
        <f>MouserListTable12[[#This Row],[SKU]]</f>
        <v>474-TOL-09316</v>
      </c>
      <c r="C583" s="103">
        <f>MouserListTable12[[#This Row],['# Initial]]</f>
        <v>1</v>
      </c>
      <c r="D583" s="103" t="str">
        <f>MouserListTable12[[#This Row],[Name]]</f>
        <v>Monocle Magnifier - Illuminated</v>
      </c>
      <c r="E583" s="179">
        <f>MouserListTable12[[#This Row],[Price (USD)]]</f>
        <v>9.9499999999999993</v>
      </c>
      <c r="F583" s="179">
        <f>MouserListTable12[[#This Row],[Total Price]]</f>
        <v>9.9499999999999993</v>
      </c>
    </row>
    <row r="584" spans="1:6" s="146" customFormat="1" hidden="1" x14ac:dyDescent="0.3">
      <c r="A584" s="103">
        <f>IF(MouserListTable1215[[#This Row],[Qty.]]&gt;0,IF($A583="List #",1,$A583+1),IF($A583="List #",0,$A583))</f>
        <v>175</v>
      </c>
      <c r="B584" s="103" t="str">
        <f>MouserListTable12[[#This Row],[SKU]]</f>
        <v>474-COM-09906</v>
      </c>
      <c r="C584" s="103">
        <f>MouserListTable12[[#This Row],['# Initial]]</f>
        <v>0</v>
      </c>
      <c r="D584" s="103" t="str">
        <f>MouserListTable12[[#This Row],[Name]]</f>
        <v>Laser Module - Green</v>
      </c>
      <c r="E584" s="103">
        <f>MouserListTable12[[#This Row],[Price (USD)]]</f>
        <v>14.95</v>
      </c>
      <c r="F584" s="103">
        <f>MouserListTable12[[#This Row],[Total Price]]</f>
        <v>0</v>
      </c>
    </row>
    <row r="585" spans="1:6" s="146" customFormat="1" hidden="1" x14ac:dyDescent="0.3">
      <c r="A585" s="103">
        <f>IF(MouserListTable1215[[#This Row],[Qty.]]&gt;0,IF($A584="List #",1,$A584+1),IF($A584="List #",0,$A584))</f>
        <v>175</v>
      </c>
      <c r="B585" s="103" t="str">
        <f>MouserListTable12[[#This Row],[SKU]]</f>
        <v>474-COM-08674</v>
      </c>
      <c r="C585" s="103">
        <f>MouserListTable12[[#This Row],['# Initial]]</f>
        <v>0</v>
      </c>
      <c r="D585" s="103" t="str">
        <f>MouserListTable12[[#This Row],[Name]]</f>
        <v>Laser Module Mount</v>
      </c>
      <c r="E585" s="103">
        <f>MouserListTable12[[#This Row],[Price (USD)]]</f>
        <v>0.1</v>
      </c>
      <c r="F585" s="103">
        <f>MouserListTable12[[#This Row],[Total Price]]</f>
        <v>0</v>
      </c>
    </row>
    <row r="586" spans="1:6" s="146" customFormat="1" hidden="1" x14ac:dyDescent="0.3">
      <c r="A586" s="103">
        <f>IF(MouserListTable1215[[#This Row],[Qty.]]&gt;0,IF($A585="List #",1,$A585+1),IF($A585="List #",0,$A585))</f>
        <v>175</v>
      </c>
      <c r="B586" s="103" t="str">
        <f>MouserListTable12[[#This Row],[SKU]]</f>
        <v>474-TOL-12078</v>
      </c>
      <c r="C586" s="103">
        <f>MouserListTable12[[#This Row],['# Initial]]</f>
        <v>0</v>
      </c>
      <c r="D586" s="103" t="str">
        <f>MouserListTable12[[#This Row],[Name]]</f>
        <v>Multimeter Probes - Needle Tipped</v>
      </c>
      <c r="E586" s="103">
        <f>MouserListTable12[[#This Row],[Price (USD)]]</f>
        <v>4.95</v>
      </c>
      <c r="F586" s="103">
        <f>MouserListTable12[[#This Row],[Total Price]]</f>
        <v>0</v>
      </c>
    </row>
    <row r="587" spans="1:6" s="146" customFormat="1" x14ac:dyDescent="0.3">
      <c r="A587" s="193">
        <f>IF(MouserListTable1215[[#This Row],[Qty.]]&gt;0,IF($A586="List #",1,$A586+1),IF($A586="List #",0,$A586))</f>
        <v>176</v>
      </c>
      <c r="B587" s="103" t="str">
        <f>MouserListTable12[[#This Row],[SKU]]</f>
        <v>474-TOL-11060</v>
      </c>
      <c r="C587" s="103">
        <f>MouserListTable12[[#This Row],['# Initial]]</f>
        <v>1</v>
      </c>
      <c r="D587" s="103" t="str">
        <f>MouserListTable12[[#This Row],[Name]]</f>
        <v>Multimeter Probes - Tweezers</v>
      </c>
      <c r="E587" s="179">
        <f>MouserListTable12[[#This Row],[Price (USD)]]</f>
        <v>4.95</v>
      </c>
      <c r="F587" s="179">
        <f>MouserListTable12[[#This Row],[Total Price]]</f>
        <v>4.95</v>
      </c>
    </row>
    <row r="588" spans="1:6" s="146" customFormat="1" hidden="1" x14ac:dyDescent="0.3">
      <c r="A588" s="103">
        <f>IF(MouserListTable1215[[#This Row],[Qty.]]&gt;0,IF($A587="List #",1,$A587+1),IF($A587="List #",0,$A587))</f>
        <v>176</v>
      </c>
      <c r="B588" s="103" t="str">
        <f>MouserListTable12[[#This Row],[SKU]]</f>
        <v>474-TOL-12573</v>
      </c>
      <c r="C588" s="103">
        <f>MouserListTable12[[#This Row],['# Initial]]</f>
        <v>0</v>
      </c>
      <c r="D588" s="103" t="str">
        <f>MouserListTable12[[#This Row],[Name]]</f>
        <v>Tweezers - Straight (cross-lock, ESD Safe)</v>
      </c>
      <c r="E588" s="103">
        <f>MouserListTable12[[#This Row],[Price (USD)]]</f>
        <v>3.95</v>
      </c>
      <c r="F588" s="103">
        <f>MouserListTable12[[#This Row],[Total Price]]</f>
        <v>0</v>
      </c>
    </row>
    <row r="589" spans="1:6" s="146" customFormat="1" hidden="1" x14ac:dyDescent="0.3">
      <c r="A589" s="103">
        <f>IF(MouserListTable1215[[#This Row],[Qty.]]&gt;0,IF($A588="List #",1,$A588+1),IF($A588="List #",0,$A588))</f>
        <v>176</v>
      </c>
      <c r="B589" s="103" t="str">
        <f>MouserListTable12[[#This Row],[SKU]]</f>
        <v>474-TOL-10602</v>
      </c>
      <c r="C589" s="103">
        <f>MouserListTable12[[#This Row],['# Initial]]</f>
        <v>0</v>
      </c>
      <c r="D589" s="103" t="str">
        <f>MouserListTable12[[#This Row],[Name]]</f>
        <v>Tweezers - Curved (ESD Safe)</v>
      </c>
      <c r="E589" s="103">
        <f>MouserListTable12[[#This Row],[Price (USD)]]</f>
        <v>3.95</v>
      </c>
      <c r="F589" s="103">
        <f>MouserListTable12[[#This Row],[Total Price]]</f>
        <v>0</v>
      </c>
    </row>
    <row r="590" spans="1:6" s="146" customFormat="1" hidden="1" x14ac:dyDescent="0.3">
      <c r="A590" s="103">
        <f>IF(MouserListTable1215[[#This Row],[Qty.]]&gt;0,IF($A589="List #",1,$A589+1),IF($A589="List #",0,$A589))</f>
        <v>176</v>
      </c>
      <c r="B590" s="103" t="str">
        <f>MouserListTable12[[#This Row],[SKU]]</f>
        <v>474-TOL-12572</v>
      </c>
      <c r="C590" s="103">
        <f>MouserListTable12[[#This Row],['# Initial]]</f>
        <v>0</v>
      </c>
      <c r="D590" s="103" t="str">
        <f>MouserListTable12[[#This Row],[Name]]</f>
        <v>Tweezers - Curved (cross-lock, ESD Safe)</v>
      </c>
      <c r="E590" s="103">
        <f>MouserListTable12[[#This Row],[Price (USD)]]</f>
        <v>3.95</v>
      </c>
      <c r="F590" s="103">
        <f>MouserListTable12[[#This Row],[Total Price]]</f>
        <v>0</v>
      </c>
    </row>
    <row r="591" spans="1:6" s="146" customFormat="1" hidden="1" x14ac:dyDescent="0.3">
      <c r="A591" s="103">
        <f>IF(MouserListTable1215[[#This Row],[Qty.]]&gt;0,IF($A590="List #",1,$A590+1),IF($A590="List #",0,$A590))</f>
        <v>176</v>
      </c>
      <c r="B591" s="103" t="str">
        <f>MouserListTable12[[#This Row],[SKU]]</f>
        <v>474-TOL-08793</v>
      </c>
      <c r="C591" s="103">
        <f>MouserListTable12[[#This Row],['# Initial]]</f>
        <v>0</v>
      </c>
      <c r="D591" s="103" t="str">
        <f>MouserListTable12[[#This Row],[Name]]</f>
        <v>Needle Nose Pliers</v>
      </c>
      <c r="E591" s="103">
        <f>MouserListTable12[[#This Row],[Price (USD)]]</f>
        <v>1.95</v>
      </c>
      <c r="F591" s="103">
        <f>MouserListTable12[[#This Row],[Total Price]]</f>
        <v>0</v>
      </c>
    </row>
    <row r="592" spans="1:6" s="146" customFormat="1" hidden="1" x14ac:dyDescent="0.3">
      <c r="A592" s="103">
        <f>IF(MouserListTable1215[[#This Row],[Qty.]]&gt;0,IF($A591="List #",1,$A591+1),IF($A591="List #",0,$A591))</f>
        <v>176</v>
      </c>
      <c r="B592" s="103" t="str">
        <f>MouserListTable12[[#This Row],[SKU]]</f>
        <v>485-1368</v>
      </c>
      <c r="C592" s="103">
        <f>MouserListTable12[[#This Row],['# Initial]]</f>
        <v>0</v>
      </c>
      <c r="D592" s="103" t="str">
        <f>MouserListTable12[[#This Row],[Name]]</f>
        <v>Hakko Precision Flat Pliers</v>
      </c>
      <c r="E592" s="103">
        <f>MouserListTable12[[#This Row],[Price (USD)]]</f>
        <v>11.95</v>
      </c>
      <c r="F592" s="103">
        <f>MouserListTable12[[#This Row],[Total Price]]</f>
        <v>0</v>
      </c>
    </row>
    <row r="593" spans="1:11" s="146" customFormat="1" hidden="1" x14ac:dyDescent="0.3">
      <c r="A593" s="103">
        <f>IF(MouserListTable1215[[#This Row],[Qty.]]&gt;0,IF($A592="List #",1,$A592+1),IF($A592="List #",0,$A592))</f>
        <v>176</v>
      </c>
      <c r="B593" s="103" t="str">
        <f>MouserListTable12[[#This Row],[SKU]]</f>
        <v>485-1598</v>
      </c>
      <c r="C593" s="103">
        <f>MouserListTable12[[#This Row],['# Initial]]</f>
        <v>0</v>
      </c>
      <c r="D593" s="103" t="str">
        <f>MouserListTable12[[#This Row],[Name]]</f>
        <v>Professional IC Extraction Tool</v>
      </c>
      <c r="E593" s="103">
        <f>MouserListTable12[[#This Row],[Price (USD)]]</f>
        <v>14.95</v>
      </c>
      <c r="F593" s="103">
        <f>MouserListTable12[[#This Row],[Total Price]]</f>
        <v>0</v>
      </c>
    </row>
    <row r="594" spans="1:11" s="146" customFormat="1" hidden="1" x14ac:dyDescent="0.3">
      <c r="A594" s="103">
        <f>IF(MouserListTable1215[[#This Row],[Qty.]]&gt;0,IF($A593="List #",1,$A593+1),IF($A593="List #",0,$A593))</f>
        <v>176</v>
      </c>
      <c r="B594" s="103" t="str">
        <f>MouserListTable12[[#This Row],[SKU]]</f>
        <v>474-TOL-12630</v>
      </c>
      <c r="C594" s="103">
        <f>MouserListTable12[[#This Row],['# Initial]]</f>
        <v>0</v>
      </c>
      <c r="D594" s="103" t="str">
        <f>MouserListTable12[[#This Row],[Name]]</f>
        <v>Wire Strippers - 30AWG (Hakko)</v>
      </c>
      <c r="E594" s="103">
        <f>MouserListTable12[[#This Row],[Price (USD)]]</f>
        <v>9.9499999999999993</v>
      </c>
      <c r="F594" s="103">
        <f>MouserListTable12[[#This Row],[Total Price]]</f>
        <v>0</v>
      </c>
    </row>
    <row r="595" spans="1:11" s="146" customFormat="1" hidden="1" x14ac:dyDescent="0.3">
      <c r="A595" s="103">
        <f>IF(MouserListTable1215[[#This Row],[Qty.]]&gt;0,IF($A594="List #",1,$A594+1),IF($A594="List #",0,$A594))</f>
        <v>176</v>
      </c>
      <c r="B595" s="103" t="str">
        <f>MouserListTable12[[#This Row],[SKU]]</f>
        <v>485-527</v>
      </c>
      <c r="C595" s="103">
        <f>MouserListTable12[[#This Row],['# Initial]]</f>
        <v>0</v>
      </c>
      <c r="D595" s="103" t="str">
        <f>MouserListTable12[[#This Row],[Name]]</f>
        <v>Hakko Professsional Quality 20-30 AWG Wire Strippers - CSP-30-1</v>
      </c>
      <c r="E595" s="103">
        <f>MouserListTable12[[#This Row],[Price (USD)]]</f>
        <v>14.95</v>
      </c>
      <c r="F595" s="103">
        <f>MouserListTable12[[#This Row],[Total Price]]</f>
        <v>0</v>
      </c>
    </row>
    <row r="596" spans="1:11" s="146" customFormat="1" hidden="1" x14ac:dyDescent="0.3">
      <c r="A596" s="103">
        <f>IF(MouserListTable1215[[#This Row],[Qty.]]&gt;0,IF($A595="List #",1,$A595+1),IF($A595="List #",0,$A595))</f>
        <v>176</v>
      </c>
      <c r="B596" s="103" t="str">
        <f>MouserListTable12[[#This Row],[SKU]]</f>
        <v>474-TOL-08794</v>
      </c>
      <c r="C596" s="103">
        <f>MouserListTable12[[#This Row],['# Initial]]</f>
        <v>0</v>
      </c>
      <c r="D596" s="103" t="str">
        <f>MouserListTable12[[#This Row],[Name]]</f>
        <v>Diagonal Cutters</v>
      </c>
      <c r="E596" s="103">
        <f>MouserListTable12[[#This Row],[Price (USD)]]</f>
        <v>1.95</v>
      </c>
      <c r="F596" s="103">
        <f>MouserListTable12[[#This Row],[Total Price]]</f>
        <v>0</v>
      </c>
    </row>
    <row r="597" spans="1:11" s="146" customFormat="1" hidden="1" x14ac:dyDescent="0.3">
      <c r="A597" s="103">
        <f>IF(MouserListTable1215[[#This Row],[Qty.]]&gt;0,IF($A596="List #",1,$A596+1),IF($A596="List #",0,$A596))</f>
        <v>176</v>
      </c>
      <c r="B597" s="103" t="str">
        <f>MouserListTable12[[#This Row],[SKU]]</f>
        <v>474-TOL-11952</v>
      </c>
      <c r="C597" s="103">
        <f>MouserListTable12[[#This Row],['# Initial]]</f>
        <v>0</v>
      </c>
      <c r="D597" s="103" t="str">
        <f>MouserListTable12[[#This Row],[Name]]</f>
        <v>Flush Cutters - Hakko</v>
      </c>
      <c r="E597" s="103">
        <f>MouserListTable12[[#This Row],[Price (USD)]]</f>
        <v>6.95</v>
      </c>
      <c r="F597" s="103">
        <f>MouserListTable12[[#This Row],[Total Price]]</f>
        <v>0</v>
      </c>
    </row>
    <row r="598" spans="1:11" s="146" customFormat="1" x14ac:dyDescent="0.3">
      <c r="A598" s="193">
        <f>IF(MouserListTable1215[[#This Row],[Qty.]]&gt;0,IF($A597="List #",1,$A597+1),IF($A597="List #",0,$A597))</f>
        <v>177</v>
      </c>
      <c r="B598" s="103" t="str">
        <f>MouserListTable12[[#This Row],[SKU]]</f>
        <v>474-TOL-09200</v>
      </c>
      <c r="C598" s="103">
        <f>MouserListTable12[[#This Row],['# Initial]]</f>
        <v>1</v>
      </c>
      <c r="D598" s="103" t="str">
        <f>MouserListTable12[[#This Row],[Name]]</f>
        <v>Hobby Knife</v>
      </c>
      <c r="E598" s="179">
        <f>MouserListTable12[[#This Row],[Price (USD)]]</f>
        <v>2.95</v>
      </c>
      <c r="F598" s="179">
        <f>MouserListTable12[[#This Row],[Total Price]]</f>
        <v>2.95</v>
      </c>
    </row>
    <row r="599" spans="1:11" s="146" customFormat="1" x14ac:dyDescent="0.3">
      <c r="A599" s="193">
        <f>IF(MouserListTable1215[[#This Row],[Qty.]]&gt;0,IF($A598="List #",1,$A598+1),IF($A598="List #",0,$A598))</f>
        <v>178</v>
      </c>
      <c r="B599" s="103" t="str">
        <f>MouserListTable12[[#This Row],[SKU]]</f>
        <v>474-TOL-10325</v>
      </c>
      <c r="C599" s="103">
        <f>MouserListTable12[[#This Row],['# Initial]]</f>
        <v>1</v>
      </c>
      <c r="D599" s="103" t="str">
        <f>MouserListTable12[[#This Row],[Name]]</f>
        <v>Hobby Knife Replacement Blades</v>
      </c>
      <c r="E599" s="179">
        <f>MouserListTable12[[#This Row],[Price (USD)]]</f>
        <v>1.95</v>
      </c>
      <c r="F599" s="179">
        <f>MouserListTable12[[#This Row],[Total Price]]</f>
        <v>1.95</v>
      </c>
    </row>
    <row r="600" spans="1:11" s="146" customFormat="1" x14ac:dyDescent="0.3">
      <c r="A600" s="193">
        <f>IF(MouserListTable1215[[#This Row],[Qty.]]&gt;0,IF($A599="List #",1,$A599+1),IF($A599="List #",0,$A599))</f>
        <v>179</v>
      </c>
      <c r="B600" s="103" t="str">
        <f>MouserListTable12[[#This Row],[SKU]]</f>
        <v>474-TOL-13114</v>
      </c>
      <c r="C600" s="103">
        <f>MouserListTable12[[#This Row],['# Initial]]</f>
        <v>1</v>
      </c>
      <c r="D600" s="103" t="str">
        <f>MouserListTable12[[#This Row],[Name]]</f>
        <v>Resistor Lead Bending Tool</v>
      </c>
      <c r="E600" s="179">
        <f>MouserListTable12[[#This Row],[Price (USD)]]</f>
        <v>4.8</v>
      </c>
      <c r="F600" s="179">
        <f>MouserListTable12[[#This Row],[Total Price]]</f>
        <v>4.8</v>
      </c>
    </row>
    <row r="601" spans="1:11" s="146" customFormat="1" hidden="1" x14ac:dyDescent="0.3">
      <c r="A601" s="103">
        <f>IF(MouserListTable1215[[#This Row],[Qty.]]&gt;0,IF($A600="List #",1,$A600+1),IF($A600="List #",0,$A600))</f>
        <v>179</v>
      </c>
      <c r="B601" s="103" t="str">
        <f>MouserListTable12[[#This Row],[SKU]]</f>
        <v>474-TOL-11528</v>
      </c>
      <c r="C601" s="103">
        <f>MouserListTable12[[#This Row],['# Initial]]</f>
        <v>0</v>
      </c>
      <c r="D601" s="103" t="str">
        <f>MouserListTable12[[#This Row],[Name]]</f>
        <v>Modular Plastic Storage Box - Medium (4 pack)</v>
      </c>
      <c r="E601" s="103">
        <f>MouserListTable12[[#This Row],[Price (USD)]]</f>
        <v>3.95</v>
      </c>
      <c r="F601" s="103">
        <f>MouserListTable12[[#This Row],[Total Price]]</f>
        <v>0</v>
      </c>
    </row>
    <row r="602" spans="1:11" s="146" customFormat="1" hidden="1" x14ac:dyDescent="0.3">
      <c r="A602" s="103">
        <f>IF(MouserListTable1215[[#This Row],[Qty.]]&gt;0,IF($A601="List #",1,$A601+1),IF($A601="List #",0,$A601))</f>
        <v>179</v>
      </c>
      <c r="B602" s="103" t="str">
        <f>MouserListTable12[[#This Row],[SKU]]</f>
        <v>474-TOL-11527</v>
      </c>
      <c r="C602" s="103">
        <f>MouserListTable12[[#This Row],['# Initial]]</f>
        <v>0</v>
      </c>
      <c r="D602" s="103" t="str">
        <f>MouserListTable12[[#This Row],[Name]]</f>
        <v>Modular Plastic Storage Box - Small (10 pack)</v>
      </c>
      <c r="E602" s="103">
        <f>MouserListTable12[[#This Row],[Price (USD)]]</f>
        <v>3.95</v>
      </c>
      <c r="F602" s="103">
        <f>MouserListTable12[[#This Row],[Total Price]]</f>
        <v>0</v>
      </c>
    </row>
    <row r="603" spans="1:11" s="146" customFormat="1" hidden="1" x14ac:dyDescent="0.3">
      <c r="A603" s="103">
        <f>IF(MouserListTable1215[[#This Row],[Qty.]]&gt;0,IF($A602="List #",1,$A602+1),IF($A602="List #",0,$A602))</f>
        <v>179</v>
      </c>
      <c r="B603" s="103" t="str">
        <f>MouserListTable12[[#This Row],[SKU]]</f>
        <v>485-2938</v>
      </c>
      <c r="C603" s="103">
        <f>MouserListTable12[[#This Row],['# Initial]]</f>
        <v>0</v>
      </c>
      <c r="D603" s="103" t="str">
        <f>MouserListTable12[[#This Row],[Name]]</f>
        <v>Latching 5-Compartment Storage Box</v>
      </c>
      <c r="E603" s="103">
        <f>MouserListTable12[[#This Row],[Price (USD)]]</f>
        <v>2.5</v>
      </c>
      <c r="F603" s="103">
        <f>MouserListTable12[[#This Row],[Total Price]]</f>
        <v>0</v>
      </c>
    </row>
    <row r="604" spans="1:11" s="144" customFormat="1" x14ac:dyDescent="0.3">
      <c r="A604" s="193">
        <f>IF(MouserListTable1215[[#This Row],[Qty.]]&gt;0,IF($A603="List #",1,$A603+1),IF($A603="List #",0,$A603))</f>
        <v>180</v>
      </c>
      <c r="B604" s="103" t="str">
        <f>MouserListTable12[[#This Row],[SKU]]</f>
        <v>485-433</v>
      </c>
      <c r="C604" s="103">
        <f>MouserListTable12[[#This Row],['# Initial]]</f>
        <v>1</v>
      </c>
      <c r="D604" s="103" t="str">
        <f>MouserListTable12[[#This Row],[Name]]</f>
        <v>Medium Modular Snap Boxes - SMD component storage - 2 pack - Pink</v>
      </c>
      <c r="E604" s="179">
        <f>MouserListTable12[[#This Row],[Price (USD)]]</f>
        <v>2.95</v>
      </c>
      <c r="F604" s="179">
        <f>MouserListTable12[[#This Row],[Total Price]]</f>
        <v>2.95</v>
      </c>
    </row>
    <row r="605" spans="1:11" s="144" customFormat="1" x14ac:dyDescent="0.3">
      <c r="A605" s="193">
        <f>IF(MouserListTable1215[[#This Row],[Qty.]]&gt;0,IF($A604="List #",1,$A604+1),IF($A604="List #",0,$A604))</f>
        <v>181</v>
      </c>
      <c r="B605" s="103" t="str">
        <f>MouserListTable12[[#This Row],[SKU]]</f>
        <v>485-432</v>
      </c>
      <c r="C605" s="103">
        <f>MouserListTable12[[#This Row],['# Initial]]</f>
        <v>1</v>
      </c>
      <c r="D605" s="103" t="str">
        <f>MouserListTable12[[#This Row],[Name]]</f>
        <v>Small Modular Snap Boxes - SMD component storage - 3 pack - Green</v>
      </c>
      <c r="E605" s="179">
        <f>MouserListTable12[[#This Row],[Price (USD)]]</f>
        <v>2.95</v>
      </c>
      <c r="F605" s="179">
        <f>MouserListTable12[[#This Row],[Total Price]]</f>
        <v>2.95</v>
      </c>
    </row>
    <row r="606" spans="1:11" s="144" customFormat="1" x14ac:dyDescent="0.3">
      <c r="A606" s="193">
        <f>IF(MouserListTable1215[[#This Row],[Qty.]]&gt;0,IF($A605="List #",1,$A605+1),IF($A605="List #",0,$A605))</f>
        <v>182</v>
      </c>
      <c r="B606" s="103" t="str">
        <f>MouserListTable12[[#This Row],[SKU]]</f>
        <v>485-427</v>
      </c>
      <c r="C606" s="103">
        <f>MouserListTable12[[#This Row],['# Initial]]</f>
        <v>1</v>
      </c>
      <c r="D606" s="103" t="str">
        <f>MouserListTable12[[#This Row],[Name]]</f>
        <v>Tiny Modular Snap Boxes - SMD component storage - 10 pack - Blue</v>
      </c>
      <c r="E606" s="179">
        <f>MouserListTable12[[#This Row],[Price (USD)]]</f>
        <v>4</v>
      </c>
      <c r="F606" s="179">
        <f>MouserListTable12[[#This Row],[Total Price]]</f>
        <v>4</v>
      </c>
    </row>
    <row r="607" spans="1:11" x14ac:dyDescent="0.3">
      <c r="A607" s="193">
        <f>IF(MouserListTable1215[[#This Row],[Qty.]]&gt;0,IF($A606="List #",1,$A606+1),IF($A606="List #",0,$A606))</f>
        <v>183</v>
      </c>
      <c r="B607" s="103" t="str">
        <f>MouserListTable12[[#This Row],[SKU]]</f>
        <v>485-431</v>
      </c>
      <c r="C607" s="103">
        <f>MouserListTable12[[#This Row],['# Initial]]</f>
        <v>1</v>
      </c>
      <c r="D607" s="103" t="str">
        <f>MouserListTable12[[#This Row],[Name]]</f>
        <v>Tiny Modular Snap Boxes - SMD component storage - 10 pack - White</v>
      </c>
      <c r="E607" s="179">
        <f>MouserListTable12[[#This Row],[Price (USD)]]</f>
        <v>4</v>
      </c>
      <c r="F607" s="179">
        <f>MouserListTable12[[#This Row],[Total Price]]</f>
        <v>4</v>
      </c>
      <c r="H607"/>
      <c r="J607"/>
      <c r="K607"/>
    </row>
    <row r="608" spans="1:11" x14ac:dyDescent="0.3">
      <c r="A608" s="12">
        <f>SUBTOTAL(103,MouserListTable1215[List '#])</f>
        <v>183</v>
      </c>
      <c r="B608" s="12"/>
      <c r="C608" s="12">
        <f>SUBTOTAL(109,MouserListTable1215[Qty.])</f>
        <v>965</v>
      </c>
      <c r="D608" s="12"/>
      <c r="E608" s="14"/>
      <c r="F608" s="14">
        <f>SUBTOTAL(109,MouserListTable1215[Total Price (USD)])</f>
        <v>3826.4099999999935</v>
      </c>
      <c r="G608" s="12"/>
      <c r="H608" s="12"/>
      <c r="I608" s="12"/>
      <c r="J608"/>
      <c r="K608"/>
    </row>
    <row r="609" spans="4:12" x14ac:dyDescent="0.3">
      <c r="D609" s="12"/>
      <c r="E609" s="12"/>
      <c r="F609" s="12"/>
      <c r="G609" s="12"/>
      <c r="H609" s="12"/>
      <c r="I609" s="12"/>
      <c r="J609" s="12"/>
      <c r="K609" s="12"/>
      <c r="L609" s="12"/>
    </row>
    <row r="610" spans="4:12" x14ac:dyDescent="0.3">
      <c r="D610" s="12"/>
      <c r="E610" s="12"/>
      <c r="F610" s="12"/>
      <c r="G610" s="12"/>
      <c r="H610" s="12"/>
      <c r="I610" s="12"/>
      <c r="J610" s="12"/>
      <c r="K610" s="12"/>
      <c r="L610" s="12"/>
    </row>
  </sheetData>
  <mergeCells count="1">
    <mergeCell ref="A11:F11"/>
  </mergeCells>
  <conditionalFormatting sqref="A14:F607">
    <cfRule type="expression" dxfId="0" priority="5175">
      <formula>AND(($C14=0),NOT(ISBLANK($C14)))</formula>
    </cfRule>
  </conditionalFormatting>
  <dataValidations count="1">
    <dataValidation allowBlank="1" showInputMessage="1" showErrorMessage="1" prompt="Title of this worksheet is in this cell" sqref="A11" xr:uid="{CC5369B9-D1E5-44C5-AE10-E8DE2951062D}"/>
  </dataValidations>
  <pageMargins left="0.7" right="0.7" top="0.75" bottom="0.75" header="0.3" footer="0.3"/>
  <pageSetup orientation="portrait" horizontalDpi="4294967294"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5147" id="{22739006-7089-4D96-829B-70947DD7B479}">
            <xm:f>#REF!=FilterSpecs!$F$13</xm:f>
            <x14:dxf>
              <font>
                <b/>
                <i val="0"/>
                <color theme="0"/>
              </font>
              <fill>
                <patternFill>
                  <bgColor theme="9" tint="-0.499984740745262"/>
                </patternFill>
              </fill>
            </x14:dxf>
          </x14:cfRule>
          <x14:cfRule type="expression" priority="5148" id="{5CB9F437-F397-4152-8348-8F204627195D}">
            <xm:f>#REF!=FilterSpecs!$F$11</xm:f>
            <x14:dxf>
              <font>
                <b/>
                <i val="0"/>
                <color theme="0"/>
              </font>
              <fill>
                <patternFill>
                  <bgColor rgb="FF00B050"/>
                </patternFill>
              </fill>
            </x14:dxf>
          </x14:cfRule>
          <x14:cfRule type="expression" priority="5149" id="{8530F3ED-F081-4749-B895-F5E8C443CD94}">
            <xm:f>#REF!=FilterSpecs!$F$10</xm:f>
            <x14:dxf>
              <font>
                <b/>
                <i val="0"/>
                <color theme="0"/>
              </font>
              <fill>
                <patternFill>
                  <bgColor rgb="FF002060"/>
                </patternFill>
              </fill>
            </x14:dxf>
          </x14:cfRule>
          <x14:cfRule type="expression" priority="5150" id="{9D4A6C07-B0DC-4080-907C-B808D20DCF45}">
            <xm:f>#REF!=FilterSpecs!$F$9</xm:f>
            <x14:dxf>
              <font>
                <b/>
                <i val="0"/>
                <color theme="0"/>
              </font>
              <fill>
                <patternFill>
                  <bgColor rgb="FFFF0000"/>
                </patternFill>
              </fill>
            </x14:dxf>
          </x14:cfRule>
          <x14:cfRule type="expression" priority="5151" id="{98094B42-C5E8-4800-82AE-3363A709731F}">
            <xm:f>#REF!=FilterSpecs!$F$8</xm:f>
            <x14:dxf>
              <font>
                <b/>
                <i val="0"/>
                <color theme="0"/>
              </font>
              <fill>
                <patternFill>
                  <bgColor rgb="FFFFC000"/>
                </patternFill>
              </fill>
            </x14:dxf>
          </x14:cfRule>
          <x14:cfRule type="expression" priority="5152" id="{CE97812D-C1C6-46CB-8156-E92A0D9B976B}">
            <xm:f>#REF!=FilterSpecs!$F$6</xm:f>
            <x14:dxf>
              <font>
                <b val="0"/>
                <i val="0"/>
              </font>
              <fill>
                <patternFill patternType="none">
                  <bgColor auto="1"/>
                </patternFill>
              </fill>
            </x14:dxf>
          </x14:cfRule>
          <x14:cfRule type="expression" priority="5153" id="{27260CD0-EC55-43B5-93D7-A1C71E083DE4}">
            <xm:f>#REF!=FilterSpecs!$F$7</xm:f>
            <x14:dxf>
              <font>
                <b/>
                <i val="0"/>
                <color theme="0"/>
              </font>
              <fill>
                <patternFill>
                  <bgColor rgb="FF00B0F0"/>
                </patternFill>
              </fill>
            </x14:dxf>
          </x14:cfRule>
          <xm:sqref>A14:F608</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F169C-EE3C-485B-BA49-88079A9FB060}">
  <sheetPr codeName="Sheet24">
    <tabColor rgb="FF92D050"/>
  </sheetPr>
  <dimension ref="A11:X638"/>
  <sheetViews>
    <sheetView tabSelected="1" topLeftCell="D109" zoomScale="85" zoomScaleNormal="85" workbookViewId="0">
      <selection activeCell="I120" sqref="I120"/>
    </sheetView>
  </sheetViews>
  <sheetFormatPr defaultRowHeight="14.4" x14ac:dyDescent="0.3"/>
  <cols>
    <col min="1" max="1" width="37.77734375" style="51" customWidth="1"/>
    <col min="2" max="2" width="46.109375" style="51" bestFit="1" customWidth="1"/>
    <col min="3" max="3" width="17.109375" style="51" customWidth="1"/>
    <col min="4" max="4" width="14" style="51" customWidth="1"/>
    <col min="5" max="5" width="7.77734375" style="51" customWidth="1"/>
    <col min="6" max="6" width="8.44140625" customWidth="1"/>
    <col min="7" max="7" width="0.109375" hidden="1" customWidth="1"/>
    <col min="8" max="8" width="3.33203125" style="51" hidden="1" customWidth="1"/>
    <col min="9" max="9" width="63.109375" customWidth="1"/>
    <col min="10" max="10" width="0.109375" style="51" hidden="1" customWidth="1"/>
    <col min="11" max="11" width="9.5546875" style="51" customWidth="1"/>
    <col min="12" max="12" width="2.5546875" customWidth="1"/>
    <col min="13" max="13" width="7.21875" hidden="1" customWidth="1"/>
    <col min="14" max="14" width="8.44140625" customWidth="1"/>
    <col min="15" max="15" width="11.5546875" customWidth="1"/>
    <col min="16" max="16" width="11.21875" customWidth="1"/>
    <col min="17" max="17" width="19" customWidth="1"/>
    <col min="18" max="18" width="8.21875" customWidth="1"/>
    <col min="19" max="19" width="8.6640625" customWidth="1"/>
    <col min="20" max="20" width="7.21875" customWidth="1"/>
    <col min="21" max="21" width="12.109375" customWidth="1"/>
    <col min="22" max="22" width="7.77734375" customWidth="1"/>
  </cols>
  <sheetData>
    <row r="11" spans="1:24" ht="72" customHeight="1" thickBot="1" x14ac:dyDescent="0.35">
      <c r="A11" s="59" t="s">
        <v>2486</v>
      </c>
    </row>
    <row r="12" spans="1:24" ht="6.6" customHeight="1" thickTop="1" x14ac:dyDescent="0.3">
      <c r="A12" s="108"/>
      <c r="B12" s="108"/>
      <c r="C12" s="108"/>
      <c r="D12" s="108"/>
      <c r="E12" s="108"/>
      <c r="F12" s="108"/>
      <c r="G12" s="108"/>
      <c r="H12" s="108"/>
      <c r="I12" s="108"/>
      <c r="J12" s="108"/>
      <c r="K12" s="108"/>
      <c r="L12" s="108"/>
      <c r="M12" s="108"/>
      <c r="N12" s="108"/>
      <c r="O12" s="108"/>
      <c r="P12" s="108"/>
    </row>
    <row r="13" spans="1:24" x14ac:dyDescent="0.3">
      <c r="A13" s="51" t="s">
        <v>893</v>
      </c>
      <c r="B13" s="97" t="s">
        <v>163</v>
      </c>
      <c r="C13" s="97" t="s">
        <v>7</v>
      </c>
      <c r="D13" s="12" t="s">
        <v>25</v>
      </c>
      <c r="E13" s="12" t="s">
        <v>2566</v>
      </c>
      <c r="F13" s="12" t="s">
        <v>2567</v>
      </c>
      <c r="G13" s="12" t="s">
        <v>27</v>
      </c>
      <c r="H13" s="12" t="s">
        <v>28</v>
      </c>
      <c r="I13" s="12" t="s">
        <v>29</v>
      </c>
      <c r="J13" s="12" t="s">
        <v>30</v>
      </c>
      <c r="K13" s="12" t="s">
        <v>31</v>
      </c>
      <c r="L13" s="12" t="s">
        <v>1918</v>
      </c>
      <c r="M13" s="12" t="s">
        <v>1621</v>
      </c>
      <c r="N13" s="12" t="s">
        <v>1412</v>
      </c>
      <c r="O13" s="12" t="s">
        <v>2587</v>
      </c>
      <c r="P13" s="12" t="s">
        <v>2548</v>
      </c>
      <c r="Q13" s="12" t="s">
        <v>2563</v>
      </c>
      <c r="R13" s="12" t="s">
        <v>2559</v>
      </c>
      <c r="S13" s="12" t="s">
        <v>2569</v>
      </c>
      <c r="T13" s="12" t="s">
        <v>2565</v>
      </c>
      <c r="U13" s="12" t="s">
        <v>2564</v>
      </c>
      <c r="V13" s="12" t="s">
        <v>2568</v>
      </c>
      <c r="W13" s="12" t="s">
        <v>2582</v>
      </c>
      <c r="X13" s="12" t="s">
        <v>2583</v>
      </c>
    </row>
    <row r="14" spans="1:24" s="149" customFormat="1" x14ac:dyDescent="0.3">
      <c r="A14" s="103" t="s">
        <v>894</v>
      </c>
      <c r="B14" s="103" t="s">
        <v>888</v>
      </c>
      <c r="C14" s="103" t="s">
        <v>8</v>
      </c>
      <c r="D14" s="106" t="str">
        <f>IF(MouserListTable1218[[#This Row],[Vendor]]=FilterSpecs!$A$8,MouserListTable1218[[#This Row],[Mouser SKU]], MouserListTable1218[[#This Row],[Supplier SKU]])</f>
        <v>WIG-13660</v>
      </c>
      <c r="E14" s="121">
        <f>MouserListTable1218[[#This Row],[Tot '#]]-MouserListTable1218[[#This Row],['# Initial]]</f>
        <v>1</v>
      </c>
      <c r="F14" s="121">
        <f>MouserListTable1218[[#This Row],['#/Unit]]*FilterSpecs!$B$3+MouserListTable1218[[#This Row],[Extra Initial]]</f>
        <v>0</v>
      </c>
      <c r="G14" s="103" t="s">
        <v>137</v>
      </c>
      <c r="H14" s="103" t="s">
        <v>138</v>
      </c>
      <c r="I14" s="103" t="s">
        <v>139</v>
      </c>
      <c r="J14" s="103">
        <v>1</v>
      </c>
      <c r="K14" s="157">
        <v>49.95</v>
      </c>
      <c r="L14" s="103" t="s">
        <v>1910</v>
      </c>
      <c r="M14" s="106" t="s">
        <v>1489</v>
      </c>
      <c r="N14" s="157">
        <f>MouserListTable1218[[#This Row],['# Initial]]*MouserListTable1218[[#This Row],[Price (USD)]]</f>
        <v>0</v>
      </c>
      <c r="O14" s="106" t="s">
        <v>136</v>
      </c>
      <c r="P14" s="103">
        <f t="shared" ref="P14:P77" si="0">IF($P13="List #",1,$P13+1)</f>
        <v>1</v>
      </c>
      <c r="Q14" s="103" t="s">
        <v>8</v>
      </c>
      <c r="R1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474-WIG-13660</v>
      </c>
      <c r="S14" s="121">
        <v>0</v>
      </c>
      <c r="T14" s="121">
        <v>1</v>
      </c>
      <c r="U14" s="121">
        <v>0</v>
      </c>
      <c r="V14" s="121">
        <f>MouserListTable1218[[#This Row],['#/Unit]]*FilterSpecs!$C$3+MouserListTable1218[[#This Row],[Extra]]</f>
        <v>1</v>
      </c>
      <c r="W14" s="121">
        <f>IF(MouserListTable1218[[#This Row],[Tag]]=FilterSpecs!$F$7,MouserListTable1218[[#This Row],[Price (USD)]],0)</f>
        <v>0</v>
      </c>
      <c r="X14" s="121">
        <f>MouserListTable1218[[#This Row],[Tot '#]]*MouserListTable1218[[#This Row],[Price (USD)]]</f>
        <v>49.95</v>
      </c>
    </row>
    <row r="15" spans="1:24" s="146" customFormat="1" x14ac:dyDescent="0.3">
      <c r="A15" s="103" t="s">
        <v>894</v>
      </c>
      <c r="B15" s="103" t="s">
        <v>888</v>
      </c>
      <c r="C15" s="103" t="s">
        <v>8</v>
      </c>
      <c r="D15" s="106" t="str">
        <f>IF(MouserListTable1218[[#This Row],[Vendor]]=FilterSpecs!$A$8,MouserListTable1218[[#This Row],[Mouser SKU]], MouserListTable1218[[#This Row],[Supplier SKU]])</f>
        <v>COM-14023</v>
      </c>
      <c r="E15" s="121">
        <f>MouserListTable1218[[#This Row],[Tot '#]]-MouserListTable1218[[#This Row],['# Initial]]</f>
        <v>1</v>
      </c>
      <c r="F15" s="121">
        <f>MouserListTable1218[[#This Row],['#/Unit]]*FilterSpecs!$B$3+MouserListTable1218[[#This Row],[Extra Initial]]</f>
        <v>0</v>
      </c>
      <c r="G15" s="103" t="s">
        <v>149</v>
      </c>
      <c r="H15" s="103" t="s">
        <v>150</v>
      </c>
      <c r="I15" s="103" t="s">
        <v>151</v>
      </c>
      <c r="J15" s="103"/>
      <c r="K15" s="157">
        <v>4.95</v>
      </c>
      <c r="L15" s="103" t="s">
        <v>1910</v>
      </c>
      <c r="M15" s="106"/>
      <c r="N15" s="157">
        <f>MouserListTable1218[[#This Row],['# Initial]]*MouserListTable1218[[#This Row],[Price (USD)]]</f>
        <v>0</v>
      </c>
      <c r="O15" s="106" t="s">
        <v>148</v>
      </c>
      <c r="P15" s="103">
        <f t="shared" si="0"/>
        <v>2</v>
      </c>
      <c r="Q15" s="103" t="s">
        <v>8</v>
      </c>
      <c r="R1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474-COM-14023</v>
      </c>
      <c r="S15" s="121">
        <v>0</v>
      </c>
      <c r="T15" s="121">
        <v>1</v>
      </c>
      <c r="U15" s="121">
        <v>0</v>
      </c>
      <c r="V15" s="121">
        <f>MouserListTable1218[[#This Row],['#/Unit]]*FilterSpecs!$C$3+MouserListTable1218[[#This Row],[Extra]]</f>
        <v>1</v>
      </c>
      <c r="W15" s="121">
        <f>IF(MouserListTable1218[[#This Row],[Tag]]=FilterSpecs!$F$7,MouserListTable1218[[#This Row],[Price (USD)]],0)</f>
        <v>0</v>
      </c>
      <c r="X15" s="121">
        <f>MouserListTable1218[[#This Row],[Tot '#]]*MouserListTable1218[[#This Row],[Price (USD)]]</f>
        <v>4.95</v>
      </c>
    </row>
    <row r="16" spans="1:24" s="146" customFormat="1" x14ac:dyDescent="0.3">
      <c r="A16" s="103" t="s">
        <v>894</v>
      </c>
      <c r="B16" s="103" t="s">
        <v>888</v>
      </c>
      <c r="C16" s="103" t="s">
        <v>8</v>
      </c>
      <c r="D16" s="106" t="str">
        <f>IF(MouserListTable1218[[#This Row],[Vendor]]=FilterSpecs!$A$8,MouserListTable1218[[#This Row],[Mouser SKU]], MouserListTable1218[[#This Row],[Supplier SKU]])</f>
        <v>COM-09151</v>
      </c>
      <c r="E16" s="121">
        <f>MouserListTable1218[[#This Row],[Tot '#]]-MouserListTable1218[[#This Row],['# Initial]]</f>
        <v>2</v>
      </c>
      <c r="F16" s="121">
        <f>MouserListTable1218[[#This Row],['#/Unit]]*FilterSpecs!$B$3+MouserListTable1218[[#This Row],[Extra Initial]]</f>
        <v>0</v>
      </c>
      <c r="G16" s="103" t="s">
        <v>153</v>
      </c>
      <c r="H16" s="103" t="s">
        <v>154</v>
      </c>
      <c r="I16" s="103" t="s">
        <v>155</v>
      </c>
      <c r="J16" s="103">
        <v>1</v>
      </c>
      <c r="K16" s="157">
        <v>1.95</v>
      </c>
      <c r="L16" s="103" t="s">
        <v>1910</v>
      </c>
      <c r="M16" s="106"/>
      <c r="N16" s="157">
        <f>MouserListTable1218[[#This Row],['# Initial]]*MouserListTable1218[[#This Row],[Price (USD)]]</f>
        <v>0</v>
      </c>
      <c r="O16" s="106" t="s">
        <v>152</v>
      </c>
      <c r="P16" s="103">
        <f t="shared" si="0"/>
        <v>3</v>
      </c>
      <c r="Q16" s="103" t="s">
        <v>8</v>
      </c>
      <c r="R1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474-COM-09151</v>
      </c>
      <c r="S16" s="121">
        <v>0</v>
      </c>
      <c r="T16" s="121">
        <v>2</v>
      </c>
      <c r="U16" s="121">
        <v>0</v>
      </c>
      <c r="V16" s="121">
        <f>MouserListTable1218[[#This Row],['#/Unit]]*FilterSpecs!$C$3+MouserListTable1218[[#This Row],[Extra]]</f>
        <v>2</v>
      </c>
      <c r="W16" s="121">
        <f>IF(MouserListTable1218[[#This Row],[Tag]]=FilterSpecs!$F$7,MouserListTable1218[[#This Row],[Price (USD)]],0)</f>
        <v>0</v>
      </c>
      <c r="X16" s="121">
        <f>MouserListTable1218[[#This Row],[Tot '#]]*MouserListTable1218[[#This Row],[Price (USD)]]</f>
        <v>3.9</v>
      </c>
    </row>
    <row r="17" spans="1:24" s="146" customFormat="1" x14ac:dyDescent="0.3">
      <c r="A17" s="103" t="s">
        <v>894</v>
      </c>
      <c r="B17" s="103" t="s">
        <v>888</v>
      </c>
      <c r="C17" s="103" t="s">
        <v>8</v>
      </c>
      <c r="D17" s="106" t="str">
        <f>IF(MouserListTable1218[[#This Row],[Vendor]]=FilterSpecs!$A$8,MouserListTable1218[[#This Row],[Mouser SKU]], MouserListTable1218[[#This Row],[Supplier SKU]])</f>
        <v>COM-11145</v>
      </c>
      <c r="E17" s="121">
        <f>MouserListTable1218[[#This Row],[Tot '#]]-MouserListTable1218[[#This Row],['# Initial]]</f>
        <v>1</v>
      </c>
      <c r="F17" s="121">
        <f>MouserListTable1218[[#This Row],['#/Unit]]*FilterSpecs!$B$3+MouserListTable1218[[#This Row],[Extra Initial]]</f>
        <v>0</v>
      </c>
      <c r="G17" s="103" t="s">
        <v>157</v>
      </c>
      <c r="H17" s="103" t="s">
        <v>158</v>
      </c>
      <c r="I17" s="103" t="s">
        <v>159</v>
      </c>
      <c r="J17" s="103"/>
      <c r="K17" s="157">
        <v>0.75</v>
      </c>
      <c r="L17" s="103" t="s">
        <v>1910</v>
      </c>
      <c r="M17" s="106"/>
      <c r="N17" s="157">
        <f>MouserListTable1218[[#This Row],['# Initial]]*MouserListTable1218[[#This Row],[Price (USD)]]</f>
        <v>0</v>
      </c>
      <c r="O17" s="106" t="s">
        <v>156</v>
      </c>
      <c r="P17" s="103">
        <f t="shared" si="0"/>
        <v>4</v>
      </c>
      <c r="Q17" s="103" t="s">
        <v>8</v>
      </c>
      <c r="R1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474-COM-11145</v>
      </c>
      <c r="S17" s="121">
        <v>0</v>
      </c>
      <c r="T17" s="121">
        <v>1</v>
      </c>
      <c r="U17" s="121">
        <v>0</v>
      </c>
      <c r="V17" s="121">
        <f>MouserListTable1218[[#This Row],['#/Unit]]*FilterSpecs!$C$3+MouserListTable1218[[#This Row],[Extra]]</f>
        <v>1</v>
      </c>
      <c r="W17" s="121">
        <f>IF(MouserListTable1218[[#This Row],[Tag]]=FilterSpecs!$F$7,MouserListTable1218[[#This Row],[Price (USD)]],0)</f>
        <v>0</v>
      </c>
      <c r="X17" s="121">
        <f>MouserListTable1218[[#This Row],[Tot '#]]*MouserListTable1218[[#This Row],[Price (USD)]]</f>
        <v>0.75</v>
      </c>
    </row>
    <row r="18" spans="1:24" s="146" customFormat="1" x14ac:dyDescent="0.3">
      <c r="A18" s="103" t="s">
        <v>894</v>
      </c>
      <c r="B18" s="103" t="s">
        <v>888</v>
      </c>
      <c r="C18" s="103" t="s">
        <v>8</v>
      </c>
      <c r="D18" s="106" t="str">
        <f>IF(MouserListTable1218[[#This Row],[Vendor]]=FilterSpecs!$A$8,MouserListTable1218[[#This Row],[Mouser SKU]], MouserListTable1218[[#This Row],[Supplier SKU]])</f>
        <v>ROB-08449</v>
      </c>
      <c r="E18" s="121">
        <f>MouserListTable1218[[#This Row],[Tot '#]]-MouserListTable1218[[#This Row],['# Initial]]</f>
        <v>2</v>
      </c>
      <c r="F18" s="121">
        <f>MouserListTable1218[[#This Row],['#/Unit]]*FilterSpecs!$B$3+MouserListTable1218[[#This Row],[Extra Initial]]</f>
        <v>0</v>
      </c>
      <c r="G18" s="103" t="s">
        <v>668</v>
      </c>
      <c r="H18" s="103" t="s">
        <v>669</v>
      </c>
      <c r="I18" s="103" t="s">
        <v>670</v>
      </c>
      <c r="J18" s="103">
        <v>1</v>
      </c>
      <c r="K18" s="157">
        <v>4.95</v>
      </c>
      <c r="L18" s="103" t="s">
        <v>1910</v>
      </c>
      <c r="M18" s="106"/>
      <c r="N18" s="157">
        <f>MouserListTable1218[[#This Row],['# Initial]]*MouserListTable1218[[#This Row],[Price (USD)]]</f>
        <v>0</v>
      </c>
      <c r="O18" s="106" t="s">
        <v>667</v>
      </c>
      <c r="P18" s="103">
        <f t="shared" si="0"/>
        <v>5</v>
      </c>
      <c r="Q18" s="103" t="s">
        <v>8</v>
      </c>
      <c r="R1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474-ROB-08449</v>
      </c>
      <c r="S18" s="121">
        <v>0</v>
      </c>
      <c r="T18" s="121">
        <v>2</v>
      </c>
      <c r="U18" s="121">
        <v>0</v>
      </c>
      <c r="V18" s="121">
        <f>MouserListTable1218[[#This Row],['#/Unit]]*FilterSpecs!$C$3+MouserListTable1218[[#This Row],[Extra]]</f>
        <v>2</v>
      </c>
      <c r="W18" s="121">
        <f>IF(MouserListTable1218[[#This Row],[Tag]]=FilterSpecs!$F$7,MouserListTable1218[[#This Row],[Price (USD)]],0)</f>
        <v>0</v>
      </c>
      <c r="X18" s="121">
        <f>MouserListTable1218[[#This Row],[Tot '#]]*MouserListTable1218[[#This Row],[Price (USD)]]</f>
        <v>9.9</v>
      </c>
    </row>
    <row r="19" spans="1:24" s="146" customFormat="1" x14ac:dyDescent="0.3">
      <c r="A19" s="103" t="s">
        <v>894</v>
      </c>
      <c r="B19" s="103" t="s">
        <v>888</v>
      </c>
      <c r="C19" s="103" t="s">
        <v>8</v>
      </c>
      <c r="D19" s="106" t="str">
        <f>IF(MouserListTable1218[[#This Row],[Vendor]]=FilterSpecs!$A$8,MouserListTable1218[[#This Row],[Mouser SKU]], MouserListTable1218[[#This Row],[Supplier SKU]])</f>
        <v>DEV-11711</v>
      </c>
      <c r="E19" s="121">
        <f>MouserListTable1218[[#This Row],[Tot '#]]-MouserListTable1218[[#This Row],['# Initial]]</f>
        <v>1</v>
      </c>
      <c r="F19" s="121">
        <f>MouserListTable1218[[#This Row],['#/Unit]]*FilterSpecs!$B$3+MouserListTable1218[[#This Row],[Extra Initial]]</f>
        <v>0</v>
      </c>
      <c r="G19" s="103" t="s">
        <v>141</v>
      </c>
      <c r="H19" s="103" t="s">
        <v>142</v>
      </c>
      <c r="I19" s="103" t="s">
        <v>143</v>
      </c>
      <c r="J19" s="103">
        <v>1</v>
      </c>
      <c r="K19" s="157">
        <v>59.95</v>
      </c>
      <c r="L19" s="103" t="s">
        <v>1910</v>
      </c>
      <c r="M19" s="106"/>
      <c r="N19" s="157">
        <f>MouserListTable1218[[#This Row],['# Initial]]*MouserListTable1218[[#This Row],[Price (USD)]]</f>
        <v>0</v>
      </c>
      <c r="O19" s="106" t="s">
        <v>140</v>
      </c>
      <c r="P19" s="103">
        <f t="shared" si="0"/>
        <v>6</v>
      </c>
      <c r="Q19" s="103" t="s">
        <v>8</v>
      </c>
      <c r="R1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474-DEV-11711</v>
      </c>
      <c r="S19" s="121">
        <v>0</v>
      </c>
      <c r="T19" s="121">
        <v>1</v>
      </c>
      <c r="U19" s="121">
        <v>0</v>
      </c>
      <c r="V19" s="121">
        <f>MouserListTable1218[[#This Row],['#/Unit]]*FilterSpecs!$C$3+MouserListTable1218[[#This Row],[Extra]]</f>
        <v>1</v>
      </c>
      <c r="W19" s="121">
        <f>IF(MouserListTable1218[[#This Row],[Tag]]=FilterSpecs!$F$7,MouserListTable1218[[#This Row],[Price (USD)]],0)</f>
        <v>0</v>
      </c>
      <c r="X19" s="121">
        <f>MouserListTable1218[[#This Row],[Tot '#]]*MouserListTable1218[[#This Row],[Price (USD)]]</f>
        <v>59.95</v>
      </c>
    </row>
    <row r="20" spans="1:24" s="146" customFormat="1" x14ac:dyDescent="0.3">
      <c r="A20" s="103" t="s">
        <v>894</v>
      </c>
      <c r="B20" s="103" t="s">
        <v>888</v>
      </c>
      <c r="C20" s="103" t="s">
        <v>8</v>
      </c>
      <c r="D20" s="106" t="str">
        <f>IF(MouserListTable1218[[#This Row],[Vendor]]=FilterSpecs!$A$8,MouserListTable1218[[#This Row],[Mouser SKU]], MouserListTable1218[[#This Row],[Supplier SKU]])</f>
        <v>BOB-09868</v>
      </c>
      <c r="E20" s="121">
        <f>MouserListTable1218[[#This Row],[Tot '#]]-MouserListTable1218[[#This Row],['# Initial]]</f>
        <v>1</v>
      </c>
      <c r="F20" s="121">
        <f>MouserListTable1218[[#This Row],['#/Unit]]*FilterSpecs!$B$3+MouserListTable1218[[#This Row],[Extra Initial]]</f>
        <v>0</v>
      </c>
      <c r="G20" s="103" t="s">
        <v>1499</v>
      </c>
      <c r="H20" s="103" t="s">
        <v>1500</v>
      </c>
      <c r="I20" s="103" t="s">
        <v>1501</v>
      </c>
      <c r="J20" s="103">
        <v>1</v>
      </c>
      <c r="K20" s="157">
        <v>9.9499999999999993</v>
      </c>
      <c r="L20" s="103" t="s">
        <v>1910</v>
      </c>
      <c r="M20" s="106"/>
      <c r="N20" s="157">
        <f>MouserListTable1218[[#This Row],['# Initial]]*MouserListTable1218[[#This Row],[Price (USD)]]</f>
        <v>0</v>
      </c>
      <c r="O20" s="106" t="s">
        <v>1498</v>
      </c>
      <c r="P20" s="103">
        <f t="shared" si="0"/>
        <v>7</v>
      </c>
      <c r="Q20" s="103" t="s">
        <v>8</v>
      </c>
      <c r="R2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474-BOB-09868</v>
      </c>
      <c r="S20" s="121">
        <v>0</v>
      </c>
      <c r="T20" s="121">
        <v>1</v>
      </c>
      <c r="U20" s="121">
        <v>0</v>
      </c>
      <c r="V20" s="121">
        <f>MouserListTable1218[[#This Row],['#/Unit]]*FilterSpecs!$C$3+MouserListTable1218[[#This Row],[Extra]]</f>
        <v>1</v>
      </c>
      <c r="W20" s="121">
        <f>IF(MouserListTable1218[[#This Row],[Tag]]=FilterSpecs!$F$7,MouserListTable1218[[#This Row],[Price (USD)]],0)</f>
        <v>0</v>
      </c>
      <c r="X20" s="121">
        <f>MouserListTable1218[[#This Row],[Tot '#]]*MouserListTable1218[[#This Row],[Price (USD)]]</f>
        <v>9.9499999999999993</v>
      </c>
    </row>
    <row r="21" spans="1:24" s="146" customFormat="1" x14ac:dyDescent="0.3">
      <c r="A21" s="103" t="s">
        <v>894</v>
      </c>
      <c r="B21" s="103" t="s">
        <v>888</v>
      </c>
      <c r="C21" s="103" t="s">
        <v>8</v>
      </c>
      <c r="D21" s="106" t="str">
        <f>IF(MouserListTable1218[[#This Row],[Vendor]]=FilterSpecs!$A$8,MouserListTable1218[[#This Row],[Mouser SKU]], MouserListTable1218[[#This Row],[Supplier SKU]])</f>
        <v>COM-08635</v>
      </c>
      <c r="E21" s="121">
        <f>MouserListTable1218[[#This Row],[Tot '#]]-MouserListTable1218[[#This Row],['# Initial]]</f>
        <v>1</v>
      </c>
      <c r="F21" s="121">
        <f>MouserListTable1218[[#This Row],['#/Unit]]*FilterSpecs!$B$3+MouserListTable1218[[#This Row],[Extra Initial]]</f>
        <v>0</v>
      </c>
      <c r="G21" s="103" t="s">
        <v>1520</v>
      </c>
      <c r="H21" s="103" t="s">
        <v>1521</v>
      </c>
      <c r="I21" s="103" t="s">
        <v>1522</v>
      </c>
      <c r="J21" s="103">
        <v>1</v>
      </c>
      <c r="K21" s="157">
        <v>0.95</v>
      </c>
      <c r="L21" s="103" t="s">
        <v>1910</v>
      </c>
      <c r="M21" s="106"/>
      <c r="N21" s="157">
        <f>MouserListTable1218[[#This Row],['# Initial]]*MouserListTable1218[[#This Row],[Price (USD)]]</f>
        <v>0</v>
      </c>
      <c r="O21" s="106" t="s">
        <v>1519</v>
      </c>
      <c r="P21" s="103">
        <f t="shared" si="0"/>
        <v>8</v>
      </c>
      <c r="Q21" s="103" t="s">
        <v>8</v>
      </c>
      <c r="R2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474-COM-08635</v>
      </c>
      <c r="S21" s="121">
        <v>0</v>
      </c>
      <c r="T21" s="121">
        <v>1</v>
      </c>
      <c r="U21" s="121">
        <v>0</v>
      </c>
      <c r="V21" s="121">
        <f>MouserListTable1218[[#This Row],['#/Unit]]*FilterSpecs!$C$3+MouserListTable1218[[#This Row],[Extra]]</f>
        <v>1</v>
      </c>
      <c r="W21" s="121">
        <f>IF(MouserListTable1218[[#This Row],[Tag]]=FilterSpecs!$F$7,MouserListTable1218[[#This Row],[Price (USD)]],0)</f>
        <v>0</v>
      </c>
      <c r="X21" s="121">
        <f>MouserListTable1218[[#This Row],[Tot '#]]*MouserListTable1218[[#This Row],[Price (USD)]]</f>
        <v>0.95</v>
      </c>
    </row>
    <row r="22" spans="1:24" s="146" customFormat="1" x14ac:dyDescent="0.3">
      <c r="A22" s="103" t="s">
        <v>894</v>
      </c>
      <c r="B22" s="103" t="s">
        <v>888</v>
      </c>
      <c r="C22" s="103" t="s">
        <v>8</v>
      </c>
      <c r="D22" s="106" t="str">
        <f>IF(MouserListTable1218[[#This Row],[Vendor]]=FilterSpecs!$A$8,MouserListTable1218[[#This Row],[Mouser SKU]], MouserListTable1218[[#This Row],[Supplier SKU]])</f>
        <v>BOB-12758</v>
      </c>
      <c r="E22" s="121">
        <f>MouserListTable1218[[#This Row],[Tot '#]]-MouserListTable1218[[#This Row],['# Initial]]</f>
        <v>1</v>
      </c>
      <c r="F22" s="121">
        <f>MouserListTable1218[[#This Row],['#/Unit]]*FilterSpecs!$B$3+MouserListTable1218[[#This Row],[Extra Initial]]</f>
        <v>0</v>
      </c>
      <c r="G22" s="103" t="s">
        <v>1852</v>
      </c>
      <c r="H22" s="103" t="s">
        <v>1853</v>
      </c>
      <c r="I22" s="103" t="s">
        <v>1854</v>
      </c>
      <c r="J22" s="103">
        <v>1</v>
      </c>
      <c r="K22" s="157">
        <v>5.95</v>
      </c>
      <c r="L22" s="103" t="s">
        <v>1910</v>
      </c>
      <c r="M22" s="106"/>
      <c r="N22" s="157">
        <f>MouserListTable1218[[#This Row],['# Initial]]*MouserListTable1218[[#This Row],[Price (USD)]]</f>
        <v>0</v>
      </c>
      <c r="O22" s="106" t="s">
        <v>1851</v>
      </c>
      <c r="P22" s="103">
        <f t="shared" si="0"/>
        <v>9</v>
      </c>
      <c r="Q22" s="103" t="s">
        <v>8</v>
      </c>
      <c r="R2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474-BOB-12758</v>
      </c>
      <c r="S22" s="121">
        <v>0</v>
      </c>
      <c r="T22" s="121">
        <v>1</v>
      </c>
      <c r="U22" s="121">
        <v>0</v>
      </c>
      <c r="V22" s="121">
        <f>MouserListTable1218[[#This Row],['#/Unit]]*FilterSpecs!$C$3+MouserListTable1218[[#This Row],[Extra]]</f>
        <v>1</v>
      </c>
      <c r="W22" s="121">
        <f>IF(MouserListTable1218[[#This Row],[Tag]]=FilterSpecs!$F$7,MouserListTable1218[[#This Row],[Price (USD)]],0)</f>
        <v>0</v>
      </c>
      <c r="X22" s="121">
        <f>MouserListTable1218[[#This Row],[Tot '#]]*MouserListTable1218[[#This Row],[Price (USD)]]</f>
        <v>5.95</v>
      </c>
    </row>
    <row r="23" spans="1:24" s="146" customFormat="1" x14ac:dyDescent="0.3">
      <c r="A23" s="126" t="s">
        <v>894</v>
      </c>
      <c r="B23" s="126" t="s">
        <v>888</v>
      </c>
      <c r="C23" s="126" t="s">
        <v>8</v>
      </c>
      <c r="D23" s="106" t="str">
        <f>IF(MouserListTable1218[[#This Row],[Vendor]]=FilterSpecs!$A$8,MouserListTable1218[[#This Row],[Mouser SKU]], MouserListTable1218[[#This Row],[Supplier SKU]])</f>
        <v>SEN-12642</v>
      </c>
      <c r="E23" s="121">
        <f>MouserListTable1218[[#This Row],[Tot '#]]-MouserListTable1218[[#This Row],['# Initial]]</f>
        <v>0</v>
      </c>
      <c r="F23" s="121">
        <f>MouserListTable1218[[#This Row],['#/Unit]]*FilterSpecs!$B$3+MouserListTable1218[[#This Row],[Extra Initial]]</f>
        <v>0</v>
      </c>
      <c r="G23" s="103" t="s">
        <v>145</v>
      </c>
      <c r="H23" s="103" t="s">
        <v>146</v>
      </c>
      <c r="I23" s="103" t="s">
        <v>147</v>
      </c>
      <c r="J23" s="103">
        <v>1</v>
      </c>
      <c r="K23" s="157">
        <v>10.95</v>
      </c>
      <c r="L23" s="103" t="s">
        <v>1910</v>
      </c>
      <c r="N23" s="157">
        <f>MouserListTable1218[[#This Row],['# Initial]]*MouserListTable1218[[#This Row],[Price (USD)]]</f>
        <v>0</v>
      </c>
      <c r="O23" s="106" t="s">
        <v>144</v>
      </c>
      <c r="P23" s="103">
        <f t="shared" si="0"/>
        <v>10</v>
      </c>
      <c r="Q23" s="103" t="s">
        <v>8</v>
      </c>
      <c r="R2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474-SEN-12642</v>
      </c>
      <c r="S23" s="121">
        <v>0</v>
      </c>
      <c r="T23" s="121">
        <v>0</v>
      </c>
      <c r="U23" s="121">
        <v>0</v>
      </c>
      <c r="V23" s="121">
        <f>MouserListTable1218[[#This Row],['#/Unit]]*FilterSpecs!$C$3+MouserListTable1218[[#This Row],[Extra]]</f>
        <v>0</v>
      </c>
      <c r="W23" s="121">
        <f>IF(MouserListTable1218[[#This Row],[Tag]]=FilterSpecs!$F$7,MouserListTable1218[[#This Row],[Price (USD)]],0)</f>
        <v>0</v>
      </c>
      <c r="X23" s="121">
        <f>MouserListTable1218[[#This Row],[Tot '#]]*MouserListTable1218[[#This Row],[Price (USD)]]</f>
        <v>0</v>
      </c>
    </row>
    <row r="24" spans="1:24" s="146" customFormat="1" x14ac:dyDescent="0.3">
      <c r="A24" s="103" t="s">
        <v>894</v>
      </c>
      <c r="B24" s="103" t="s">
        <v>888</v>
      </c>
      <c r="C24" s="103" t="s">
        <v>1898</v>
      </c>
      <c r="D24" s="106" t="str">
        <f>IF(MouserListTable1218[[#This Row],[Vendor]]=FilterSpecs!$A$8,MouserListTable1218[[#This Row],[Mouser SKU]], MouserListTable1218[[#This Row],[Supplier SKU]])</f>
        <v>94</v>
      </c>
      <c r="E24" s="121">
        <f>MouserListTable1218[[#This Row],[Tot '#]]-MouserListTable1218[[#This Row],['# Initial]]</f>
        <v>0</v>
      </c>
      <c r="F24" s="121">
        <f>MouserListTable1218[[#This Row],['#/Unit]]*FilterSpecs!$B$3+MouserListTable1218[[#This Row],[Extra Initial]]</f>
        <v>0</v>
      </c>
      <c r="G24" s="103"/>
      <c r="H24" s="103"/>
      <c r="I24" s="126" t="s">
        <v>2252</v>
      </c>
      <c r="K24" s="158">
        <v>22</v>
      </c>
      <c r="L24" s="126" t="s">
        <v>1910</v>
      </c>
      <c r="N24" s="157">
        <f>MouserListTable1218[[#This Row],['# Initial]]*MouserListTable1218[[#This Row],[Price (USD)]]</f>
        <v>0</v>
      </c>
      <c r="O24" s="106" t="s">
        <v>2251</v>
      </c>
      <c r="P24" s="103">
        <f t="shared" si="0"/>
        <v>11</v>
      </c>
      <c r="Q24" s="103" t="s">
        <v>1898</v>
      </c>
      <c r="R2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485-94</v>
      </c>
      <c r="S24" s="121">
        <v>0</v>
      </c>
      <c r="T24" s="121">
        <v>0</v>
      </c>
      <c r="U24" s="121">
        <v>0</v>
      </c>
      <c r="V24" s="121">
        <f>MouserListTable1218[[#This Row],['#/Unit]]*FilterSpecs!$C$3+MouserListTable1218[[#This Row],[Extra]]</f>
        <v>0</v>
      </c>
      <c r="W24" s="121">
        <f>IF(MouserListTable1218[[#This Row],[Tag]]=FilterSpecs!$F$7,MouserListTable1218[[#This Row],[Price (USD)]],0)</f>
        <v>0</v>
      </c>
      <c r="X24" s="121">
        <f>MouserListTable1218[[#This Row],[Tot '#]]*MouserListTable1218[[#This Row],[Price (USD)]]</f>
        <v>0</v>
      </c>
    </row>
    <row r="25" spans="1:24" s="146" customFormat="1" x14ac:dyDescent="0.3">
      <c r="A25" s="103" t="s">
        <v>894</v>
      </c>
      <c r="B25" s="103" t="s">
        <v>888</v>
      </c>
      <c r="C25" s="103" t="s">
        <v>1898</v>
      </c>
      <c r="D25" s="106" t="str">
        <f>IF(MouserListTable1218[[#This Row],[Vendor]]=FilterSpecs!$A$8,MouserListTable1218[[#This Row],[Mouser SKU]], MouserListTable1218[[#This Row],[Supplier SKU]])</f>
        <v>3369</v>
      </c>
      <c r="E25" s="121">
        <f>MouserListTable1218[[#This Row],[Tot '#]]-MouserListTable1218[[#This Row],['# Initial]]</f>
        <v>0</v>
      </c>
      <c r="F25" s="121">
        <f>MouserListTable1218[[#This Row],['#/Unit]]*FilterSpecs!$B$3+MouserListTable1218[[#This Row],[Extra Initial]]</f>
        <v>0</v>
      </c>
      <c r="G25" s="103"/>
      <c r="H25" s="103"/>
      <c r="I25" s="126" t="s">
        <v>2254</v>
      </c>
      <c r="K25" s="158">
        <v>12.5</v>
      </c>
      <c r="L25" s="126" t="s">
        <v>1910</v>
      </c>
      <c r="N25" s="157">
        <f>MouserListTable1218[[#This Row],['# Initial]]*MouserListTable1218[[#This Row],[Price (USD)]]</f>
        <v>0</v>
      </c>
      <c r="O25" s="106" t="s">
        <v>2253</v>
      </c>
      <c r="P25" s="103">
        <f t="shared" si="0"/>
        <v>12</v>
      </c>
      <c r="Q25" s="103" t="s">
        <v>1898</v>
      </c>
      <c r="R2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485-3369</v>
      </c>
      <c r="S25" s="121">
        <v>0</v>
      </c>
      <c r="T25" s="121">
        <v>0</v>
      </c>
      <c r="U25" s="121">
        <v>0</v>
      </c>
      <c r="V25" s="121">
        <f>MouserListTable1218[[#This Row],['#/Unit]]*FilterSpecs!$C$3+MouserListTable1218[[#This Row],[Extra]]</f>
        <v>0</v>
      </c>
      <c r="W25" s="121">
        <f>IF(MouserListTable1218[[#This Row],[Tag]]=FilterSpecs!$F$7,MouserListTable1218[[#This Row],[Price (USD)]],0)</f>
        <v>0</v>
      </c>
      <c r="X25" s="121">
        <f>MouserListTable1218[[#This Row],[Tot '#]]*MouserListTable1218[[#This Row],[Price (USD)]]</f>
        <v>0</v>
      </c>
    </row>
    <row r="26" spans="1:24" s="146" customFormat="1" x14ac:dyDescent="0.3">
      <c r="A26" s="103" t="s">
        <v>894</v>
      </c>
      <c r="B26" s="103" t="s">
        <v>888</v>
      </c>
      <c r="C26" s="103" t="s">
        <v>1898</v>
      </c>
      <c r="D26" s="106" t="str">
        <f>IF(MouserListTable1218[[#This Row],[Vendor]]=FilterSpecs!$A$8,MouserListTable1218[[#This Row],[Mouser SKU]], MouserListTable1218[[#This Row],[Supplier SKU]])</f>
        <v>3367</v>
      </c>
      <c r="E26" s="121">
        <f>MouserListTable1218[[#This Row],[Tot '#]]-MouserListTable1218[[#This Row],['# Initial]]</f>
        <v>0</v>
      </c>
      <c r="F26" s="121">
        <f>MouserListTable1218[[#This Row],['#/Unit]]*FilterSpecs!$B$3+MouserListTable1218[[#This Row],[Extra Initial]]</f>
        <v>0</v>
      </c>
      <c r="G26" s="103"/>
      <c r="H26" s="103"/>
      <c r="I26" s="126" t="s">
        <v>2256</v>
      </c>
      <c r="K26" s="158">
        <v>5.95</v>
      </c>
      <c r="L26" s="126" t="s">
        <v>1910</v>
      </c>
      <c r="N26" s="157">
        <f>MouserListTable1218[[#This Row],['# Initial]]*MouserListTable1218[[#This Row],[Price (USD)]]</f>
        <v>0</v>
      </c>
      <c r="O26" s="106" t="s">
        <v>2255</v>
      </c>
      <c r="P26" s="103">
        <f t="shared" si="0"/>
        <v>13</v>
      </c>
      <c r="Q26" s="103" t="s">
        <v>1898</v>
      </c>
      <c r="R2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485-3367</v>
      </c>
      <c r="S26" s="121">
        <v>0</v>
      </c>
      <c r="T26" s="121">
        <v>0</v>
      </c>
      <c r="U26" s="121">
        <v>0</v>
      </c>
      <c r="V26" s="121">
        <f>MouserListTable1218[[#This Row],['#/Unit]]*FilterSpecs!$C$3+MouserListTable1218[[#This Row],[Extra]]</f>
        <v>0</v>
      </c>
      <c r="W26" s="121">
        <f>IF(MouserListTable1218[[#This Row],[Tag]]=FilterSpecs!$F$7,MouserListTable1218[[#This Row],[Price (USD)]],0)</f>
        <v>0</v>
      </c>
      <c r="X26" s="121">
        <f>MouserListTable1218[[#This Row],[Tot '#]]*MouserListTable1218[[#This Row],[Price (USD)]]</f>
        <v>0</v>
      </c>
    </row>
    <row r="27" spans="1:24" s="146" customFormat="1" x14ac:dyDescent="0.3">
      <c r="A27" s="103" t="s">
        <v>894</v>
      </c>
      <c r="B27" s="103" t="s">
        <v>888</v>
      </c>
      <c r="C27" s="103" t="s">
        <v>1898</v>
      </c>
      <c r="D27" s="106" t="str">
        <f>IF(MouserListTable1218[[#This Row],[Vendor]]=FilterSpecs!$A$8,MouserListTable1218[[#This Row],[Mouser SKU]], MouserListTable1218[[#This Row],[Supplier SKU]])</f>
        <v>3351</v>
      </c>
      <c r="E27" s="121">
        <f>MouserListTable1218[[#This Row],[Tot '#]]-MouserListTable1218[[#This Row],['# Initial]]</f>
        <v>0</v>
      </c>
      <c r="F27" s="121">
        <f>MouserListTable1218[[#This Row],['#/Unit]]*FilterSpecs!$B$3+MouserListTable1218[[#This Row],[Extra Initial]]</f>
        <v>0</v>
      </c>
      <c r="G27" s="103"/>
      <c r="H27" s="103"/>
      <c r="I27" s="126" t="s">
        <v>2258</v>
      </c>
      <c r="K27" s="158">
        <v>3.95</v>
      </c>
      <c r="L27" s="126" t="s">
        <v>1910</v>
      </c>
      <c r="N27" s="157">
        <f>MouserListTable1218[[#This Row],['# Initial]]*MouserListTable1218[[#This Row],[Price (USD)]]</f>
        <v>0</v>
      </c>
      <c r="O27" s="106" t="s">
        <v>2257</v>
      </c>
      <c r="P27" s="103">
        <f t="shared" si="0"/>
        <v>14</v>
      </c>
      <c r="Q27" s="103" t="s">
        <v>1898</v>
      </c>
      <c r="R2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485-3351</v>
      </c>
      <c r="S27" s="121">
        <v>0</v>
      </c>
      <c r="T27" s="121">
        <v>0</v>
      </c>
      <c r="U27" s="121">
        <v>0</v>
      </c>
      <c r="V27" s="121">
        <f>MouserListTable1218[[#This Row],['#/Unit]]*FilterSpecs!$C$3+MouserListTable1218[[#This Row],[Extra]]</f>
        <v>0</v>
      </c>
      <c r="W27" s="121">
        <f>IF(MouserListTable1218[[#This Row],[Tag]]=FilterSpecs!$F$7,MouserListTable1218[[#This Row],[Price (USD)]],0)</f>
        <v>0</v>
      </c>
      <c r="X27" s="121">
        <f>MouserListTable1218[[#This Row],[Tot '#]]*MouserListTable1218[[#This Row],[Price (USD)]]</f>
        <v>0</v>
      </c>
    </row>
    <row r="28" spans="1:24" s="146" customFormat="1" x14ac:dyDescent="0.3">
      <c r="A28" s="103" t="s">
        <v>894</v>
      </c>
      <c r="B28" s="103" t="s">
        <v>888</v>
      </c>
      <c r="C28" s="103" t="s">
        <v>1898</v>
      </c>
      <c r="D28" s="106" t="str">
        <f>IF(MouserListTable1218[[#This Row],[Vendor]]=FilterSpecs!$A$8,MouserListTable1218[[#This Row],[Mouser SKU]], MouserListTable1218[[#This Row],[Supplier SKU]])</f>
        <v>1314</v>
      </c>
      <c r="E28" s="121">
        <f>MouserListTable1218[[#This Row],[Tot '#]]-MouserListTable1218[[#This Row],['# Initial]]</f>
        <v>0</v>
      </c>
      <c r="F28" s="121">
        <f>MouserListTable1218[[#This Row],['#/Unit]]*FilterSpecs!$B$3+MouserListTable1218[[#This Row],[Extra Initial]]</f>
        <v>0</v>
      </c>
      <c r="G28" s="103"/>
      <c r="H28" s="103"/>
      <c r="I28" s="126" t="s">
        <v>2260</v>
      </c>
      <c r="K28" s="158">
        <v>1.95</v>
      </c>
      <c r="L28" s="126" t="s">
        <v>1910</v>
      </c>
      <c r="N28" s="157">
        <f>MouserListTable1218[[#This Row],['# Initial]]*MouserListTable1218[[#This Row],[Price (USD)]]</f>
        <v>0</v>
      </c>
      <c r="O28" s="106" t="s">
        <v>2259</v>
      </c>
      <c r="P28" s="103">
        <f t="shared" si="0"/>
        <v>15</v>
      </c>
      <c r="Q28" s="103" t="s">
        <v>1898</v>
      </c>
      <c r="R2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485-1314</v>
      </c>
      <c r="S28" s="121">
        <v>0</v>
      </c>
      <c r="T28" s="121">
        <v>0</v>
      </c>
      <c r="U28" s="121">
        <v>0</v>
      </c>
      <c r="V28" s="121">
        <f>MouserListTable1218[[#This Row],['#/Unit]]*FilterSpecs!$C$3+MouserListTable1218[[#This Row],[Extra]]</f>
        <v>0</v>
      </c>
      <c r="W28" s="121">
        <f>IF(MouserListTable1218[[#This Row],[Tag]]=FilterSpecs!$F$7,MouserListTable1218[[#This Row],[Price (USD)]],0)</f>
        <v>0</v>
      </c>
      <c r="X28" s="121">
        <f>MouserListTable1218[[#This Row],[Tot '#]]*MouserListTable1218[[#This Row],[Price (USD)]]</f>
        <v>0</v>
      </c>
    </row>
    <row r="29" spans="1:24" s="146" customFormat="1" x14ac:dyDescent="0.3">
      <c r="A29" s="103" t="s">
        <v>894</v>
      </c>
      <c r="B29" s="103" t="s">
        <v>888</v>
      </c>
      <c r="C29" s="103" t="s">
        <v>1898</v>
      </c>
      <c r="D29" s="106" t="str">
        <f>IF(MouserListTable1218[[#This Row],[Vendor]]=FilterSpecs!$A$8,MouserListTable1218[[#This Row],[Mouser SKU]], MouserListTable1218[[#This Row],[Supplier SKU]])</f>
        <v>1313</v>
      </c>
      <c r="E29" s="121">
        <f>MouserListTable1218[[#This Row],[Tot '#]]-MouserListTable1218[[#This Row],['# Initial]]</f>
        <v>0</v>
      </c>
      <c r="F29" s="121">
        <f>MouserListTable1218[[#This Row],['#/Unit]]*FilterSpecs!$B$3+MouserListTable1218[[#This Row],[Extra Initial]]</f>
        <v>0</v>
      </c>
      <c r="G29" s="103"/>
      <c r="H29" s="103"/>
      <c r="I29" s="126" t="s">
        <v>2262</v>
      </c>
      <c r="K29" s="158">
        <v>1.95</v>
      </c>
      <c r="L29" s="126" t="s">
        <v>1913</v>
      </c>
      <c r="N29" s="157">
        <f>MouserListTable1218[[#This Row],['# Initial]]*MouserListTable1218[[#This Row],[Price (USD)]]</f>
        <v>0</v>
      </c>
      <c r="O29" s="106" t="s">
        <v>2261</v>
      </c>
      <c r="P29" s="103">
        <f t="shared" si="0"/>
        <v>16</v>
      </c>
      <c r="Q29" s="103" t="s">
        <v>1898</v>
      </c>
      <c r="R2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485-1313</v>
      </c>
      <c r="S29" s="121">
        <v>0</v>
      </c>
      <c r="T29" s="121">
        <v>0</v>
      </c>
      <c r="U29" s="121">
        <v>0</v>
      </c>
      <c r="V29" s="121">
        <f>MouserListTable1218[[#This Row],['#/Unit]]*FilterSpecs!$C$3+MouserListTable1218[[#This Row],[Extra]]</f>
        <v>0</v>
      </c>
      <c r="W29" s="121">
        <f>IF(MouserListTable1218[[#This Row],[Tag]]=FilterSpecs!$F$7,MouserListTable1218[[#This Row],[Price (USD)]],0)</f>
        <v>0</v>
      </c>
      <c r="X29" s="121">
        <f>MouserListTable1218[[#This Row],[Tot '#]]*MouserListTable1218[[#This Row],[Price (USD)]]</f>
        <v>0</v>
      </c>
    </row>
    <row r="30" spans="1:24" s="146" customFormat="1" x14ac:dyDescent="0.3">
      <c r="A30" s="103" t="s">
        <v>894</v>
      </c>
      <c r="B30" s="103" t="s">
        <v>888</v>
      </c>
      <c r="C30" s="103" t="s">
        <v>1898</v>
      </c>
      <c r="D30" s="106" t="str">
        <f>IF(MouserListTable1218[[#This Row],[Vendor]]=FilterSpecs!$A$8,MouserListTable1218[[#This Row],[Mouser SKU]], MouserListTable1218[[#This Row],[Supplier SKU]])</f>
        <v>1669</v>
      </c>
      <c r="E30" s="121">
        <f>MouserListTable1218[[#This Row],[Tot '#]]-MouserListTable1218[[#This Row],['# Initial]]</f>
        <v>0</v>
      </c>
      <c r="F30" s="121">
        <f>MouserListTable1218[[#This Row],['#/Unit]]*FilterSpecs!$B$3+MouserListTable1218[[#This Row],[Extra Initial]]</f>
        <v>0</v>
      </c>
      <c r="G30" s="103"/>
      <c r="H30" s="103"/>
      <c r="I30" s="126" t="s">
        <v>2264</v>
      </c>
      <c r="K30" s="158">
        <v>7.5</v>
      </c>
      <c r="L30" s="126" t="s">
        <v>1913</v>
      </c>
      <c r="N30" s="157">
        <f>MouserListTable1218[[#This Row],['# Initial]]*MouserListTable1218[[#This Row],[Price (USD)]]</f>
        <v>0</v>
      </c>
      <c r="O30" s="106" t="s">
        <v>2263</v>
      </c>
      <c r="P30" s="103">
        <f t="shared" si="0"/>
        <v>17</v>
      </c>
      <c r="Q30" s="103" t="s">
        <v>1898</v>
      </c>
      <c r="R3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485-1669</v>
      </c>
      <c r="S30" s="121">
        <v>0</v>
      </c>
      <c r="T30" s="121">
        <v>0</v>
      </c>
      <c r="U30" s="121">
        <v>0</v>
      </c>
      <c r="V30" s="121">
        <f>MouserListTable1218[[#This Row],['#/Unit]]*FilterSpecs!$C$3+MouserListTable1218[[#This Row],[Extra]]</f>
        <v>0</v>
      </c>
      <c r="W30" s="121">
        <f>IF(MouserListTable1218[[#This Row],[Tag]]=FilterSpecs!$F$7,MouserListTable1218[[#This Row],[Price (USD)]],0)</f>
        <v>0</v>
      </c>
      <c r="X30" s="121">
        <f>MouserListTable1218[[#This Row],[Tot '#]]*MouserListTable1218[[#This Row],[Price (USD)]]</f>
        <v>0</v>
      </c>
    </row>
    <row r="31" spans="1:24" s="146" customFormat="1" x14ac:dyDescent="0.3">
      <c r="A31" s="103" t="s">
        <v>894</v>
      </c>
      <c r="B31" s="103" t="s">
        <v>888</v>
      </c>
      <c r="C31" s="103" t="s">
        <v>1898</v>
      </c>
      <c r="D31" s="106" t="str">
        <f>IF(MouserListTable1218[[#This Row],[Vendor]]=FilterSpecs!$A$8,MouserListTable1218[[#This Row],[Mouser SKU]], MouserListTable1218[[#This Row],[Supplier SKU]])</f>
        <v>1363</v>
      </c>
      <c r="E31" s="121">
        <f>MouserListTable1218[[#This Row],[Tot '#]]-MouserListTable1218[[#This Row],['# Initial]]</f>
        <v>0</v>
      </c>
      <c r="F31" s="121">
        <f>MouserListTable1218[[#This Row],['#/Unit]]*FilterSpecs!$B$3+MouserListTable1218[[#This Row],[Extra Initial]]</f>
        <v>0</v>
      </c>
      <c r="G31" s="103"/>
      <c r="H31" s="103"/>
      <c r="I31" s="126" t="s">
        <v>2266</v>
      </c>
      <c r="K31" s="158">
        <v>9.9499999999999993</v>
      </c>
      <c r="L31" s="126" t="s">
        <v>1910</v>
      </c>
      <c r="N31" s="157">
        <f>MouserListTable1218[[#This Row],['# Initial]]*MouserListTable1218[[#This Row],[Price (USD)]]</f>
        <v>0</v>
      </c>
      <c r="O31" s="106" t="s">
        <v>2265</v>
      </c>
      <c r="P31" s="103">
        <f t="shared" si="0"/>
        <v>18</v>
      </c>
      <c r="Q31" s="103" t="s">
        <v>1898</v>
      </c>
      <c r="R3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485-1363</v>
      </c>
      <c r="S31" s="121">
        <v>0</v>
      </c>
      <c r="T31" s="121">
        <v>0</v>
      </c>
      <c r="U31" s="121">
        <v>0</v>
      </c>
      <c r="V31" s="121">
        <f>MouserListTable1218[[#This Row],['#/Unit]]*FilterSpecs!$C$3+MouserListTable1218[[#This Row],[Extra]]</f>
        <v>0</v>
      </c>
      <c r="W31" s="121">
        <f>IF(MouserListTable1218[[#This Row],[Tag]]=FilterSpecs!$F$7,MouserListTable1218[[#This Row],[Price (USD)]],0)</f>
        <v>0</v>
      </c>
      <c r="X31" s="121">
        <f>MouserListTable1218[[#This Row],[Tot '#]]*MouserListTable1218[[#This Row],[Price (USD)]]</f>
        <v>0</v>
      </c>
    </row>
    <row r="32" spans="1:24" s="146" customFormat="1" x14ac:dyDescent="0.3">
      <c r="A32" s="103" t="s">
        <v>894</v>
      </c>
      <c r="B32" s="103" t="s">
        <v>12</v>
      </c>
      <c r="C32" s="103" t="s">
        <v>8</v>
      </c>
      <c r="D32" s="106" t="str">
        <f>IF(MouserListTable1218[[#This Row],[Vendor]]=FilterSpecs!$A$8,MouserListTable1218[[#This Row],[Mouser SKU]], MouserListTable1218[[#This Row],[Supplier SKU]])</f>
        <v>WRL-11373</v>
      </c>
      <c r="E32" s="121">
        <f>MouserListTable1218[[#This Row],[Tot '#]]-MouserListTable1218[[#This Row],['# Initial]]</f>
        <v>0</v>
      </c>
      <c r="F32" s="121">
        <f>MouserListTable1218[[#This Row],['#/Unit]]*FilterSpecs!$B$3+MouserListTable1218[[#This Row],[Extra Initial]]</f>
        <v>5</v>
      </c>
      <c r="G32" s="103" t="s">
        <v>57</v>
      </c>
      <c r="H32" s="103" t="s">
        <v>58</v>
      </c>
      <c r="I32" s="103" t="s">
        <v>59</v>
      </c>
      <c r="J32" s="103">
        <v>1</v>
      </c>
      <c r="K32" s="157">
        <v>9.9499999999999993</v>
      </c>
      <c r="L32" s="103" t="s">
        <v>1911</v>
      </c>
      <c r="M32" s="106"/>
      <c r="N32" s="157">
        <f>MouserListTable1218[[#This Row],['# Initial]]*MouserListTable1218[[#This Row],[Price (USD)]]</f>
        <v>49.75</v>
      </c>
      <c r="O32" s="106" t="s">
        <v>56</v>
      </c>
      <c r="P32" s="103">
        <f t="shared" si="0"/>
        <v>19</v>
      </c>
      <c r="Q32" s="103" t="s">
        <v>8</v>
      </c>
      <c r="R3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474-WRL-11373</v>
      </c>
      <c r="S32" s="121">
        <v>1</v>
      </c>
      <c r="T32" s="121">
        <v>0</v>
      </c>
      <c r="U32" s="121">
        <v>0</v>
      </c>
      <c r="V32" s="121">
        <f>MouserListTable1218[[#This Row],['#/Unit]]*FilterSpecs!$C$3+MouserListTable1218[[#This Row],[Extra]]</f>
        <v>5</v>
      </c>
      <c r="W32" s="121">
        <f>IF(MouserListTable1218[[#This Row],[Tag]]=FilterSpecs!$F$7,MouserListTable1218[[#This Row],[Price (USD)]],0)</f>
        <v>9.9499999999999993</v>
      </c>
      <c r="X32" s="121">
        <f>MouserListTable1218[[#This Row],[Tot '#]]*MouserListTable1218[[#This Row],[Price (USD)]]</f>
        <v>49.75</v>
      </c>
    </row>
    <row r="33" spans="1:24" s="146" customFormat="1" x14ac:dyDescent="0.3">
      <c r="A33" s="103" t="s">
        <v>894</v>
      </c>
      <c r="B33" s="103" t="s">
        <v>12</v>
      </c>
      <c r="C33" s="103" t="s">
        <v>8</v>
      </c>
      <c r="D33" s="106" t="str">
        <f>IF(MouserListTable1218[[#This Row],[Vendor]]=FilterSpecs!$A$8,MouserListTable1218[[#This Row],[Mouser SKU]], MouserListTable1218[[#This Row],[Supplier SKU]])</f>
        <v>WRL-11697</v>
      </c>
      <c r="E33" s="121">
        <f>MouserListTable1218[[#This Row],[Tot '#]]-MouserListTable1218[[#This Row],['# Initial]]</f>
        <v>0</v>
      </c>
      <c r="F33" s="121">
        <f>MouserListTable1218[[#This Row],['#/Unit]]*FilterSpecs!$B$3+MouserListTable1218[[#This Row],[Extra Initial]]</f>
        <v>5</v>
      </c>
      <c r="G33" s="103" t="s">
        <v>61</v>
      </c>
      <c r="H33" s="103" t="s">
        <v>62</v>
      </c>
      <c r="I33" s="103" t="s">
        <v>63</v>
      </c>
      <c r="J33" s="103">
        <v>1</v>
      </c>
      <c r="K33" s="157">
        <v>24.95</v>
      </c>
      <c r="L33" s="103" t="s">
        <v>1911</v>
      </c>
      <c r="M33" s="106"/>
      <c r="N33" s="157">
        <f>MouserListTable1218[[#This Row],['# Initial]]*MouserListTable1218[[#This Row],[Price (USD)]]</f>
        <v>124.75</v>
      </c>
      <c r="O33" s="106" t="s">
        <v>60</v>
      </c>
      <c r="P33" s="103">
        <f t="shared" si="0"/>
        <v>20</v>
      </c>
      <c r="Q33" s="103" t="s">
        <v>8</v>
      </c>
      <c r="R3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474-WRL-11697</v>
      </c>
      <c r="S33" s="121">
        <v>1</v>
      </c>
      <c r="T33" s="121">
        <v>0</v>
      </c>
      <c r="U33" s="121">
        <v>0</v>
      </c>
      <c r="V33" s="121">
        <f>MouserListTable1218[[#This Row],['#/Unit]]*FilterSpecs!$C$3+MouserListTable1218[[#This Row],[Extra]]</f>
        <v>5</v>
      </c>
      <c r="W33" s="121">
        <f>IF(MouserListTable1218[[#This Row],[Tag]]=FilterSpecs!$F$7,MouserListTable1218[[#This Row],[Price (USD)]],0)</f>
        <v>24.95</v>
      </c>
      <c r="X33" s="121">
        <f>MouserListTable1218[[#This Row],[Tot '#]]*MouserListTable1218[[#This Row],[Price (USD)]]</f>
        <v>124.75</v>
      </c>
    </row>
    <row r="34" spans="1:24" s="146" customFormat="1" x14ac:dyDescent="0.3">
      <c r="A34" s="103" t="s">
        <v>894</v>
      </c>
      <c r="B34" s="103" t="s">
        <v>12</v>
      </c>
      <c r="C34" s="103" t="s">
        <v>8</v>
      </c>
      <c r="D34" s="106" t="str">
        <f>IF(MouserListTable1218[[#This Row],[Vendor]]=FilterSpecs!$A$8,MouserListTable1218[[#This Row],[Mouser SKU]], MouserListTable1218[[#This Row],[Supplier SKU]])</f>
        <v>WRL-09434</v>
      </c>
      <c r="E34" s="121">
        <f>MouserListTable1218[[#This Row],[Tot '#]]-MouserListTable1218[[#This Row],['# Initial]]</f>
        <v>0</v>
      </c>
      <c r="F34" s="121">
        <f>MouserListTable1218[[#This Row],['#/Unit]]*FilterSpecs!$B$3+MouserListTable1218[[#This Row],[Extra Initial]]</f>
        <v>0</v>
      </c>
      <c r="G34" s="103" t="s">
        <v>65</v>
      </c>
      <c r="H34" s="103" t="s">
        <v>66</v>
      </c>
      <c r="I34" s="103" t="s">
        <v>67</v>
      </c>
      <c r="J34" s="103"/>
      <c r="K34" s="157">
        <v>10.95</v>
      </c>
      <c r="L34" s="103" t="s">
        <v>1911</v>
      </c>
      <c r="M34" s="106"/>
      <c r="N34" s="157">
        <f>MouserListTable1218[[#This Row],['# Initial]]*MouserListTable1218[[#This Row],[Price (USD)]]</f>
        <v>0</v>
      </c>
      <c r="O34" s="106" t="s">
        <v>64</v>
      </c>
      <c r="P34" s="103">
        <f t="shared" si="0"/>
        <v>21</v>
      </c>
      <c r="Q34" s="103" t="s">
        <v>8</v>
      </c>
      <c r="R3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474-WRL-09434</v>
      </c>
      <c r="S34" s="121">
        <v>0</v>
      </c>
      <c r="T34" s="121">
        <v>0</v>
      </c>
      <c r="U34" s="121">
        <v>0</v>
      </c>
      <c r="V34" s="121">
        <f>MouserListTable1218[[#This Row],['#/Unit]]*FilterSpecs!$C$3+MouserListTable1218[[#This Row],[Extra]]</f>
        <v>0</v>
      </c>
      <c r="W34" s="121">
        <f>IF(MouserListTable1218[[#This Row],[Tag]]=FilterSpecs!$F$7,MouserListTable1218[[#This Row],[Price (USD)]],0)</f>
        <v>10.95</v>
      </c>
      <c r="X34" s="121">
        <f>MouserListTable1218[[#This Row],[Tot '#]]*MouserListTable1218[[#This Row],[Price (USD)]]</f>
        <v>0</v>
      </c>
    </row>
    <row r="35" spans="1:24" s="146" customFormat="1" x14ac:dyDescent="0.3">
      <c r="A35" s="103" t="s">
        <v>894</v>
      </c>
      <c r="B35" s="103" t="s">
        <v>12</v>
      </c>
      <c r="C35" s="103" t="s">
        <v>8</v>
      </c>
      <c r="D35" s="106" t="str">
        <f>IF(MouserListTable1218[[#This Row],[Vendor]]=FilterSpecs!$A$8,MouserListTable1218[[#This Row],[Mouser SKU]], MouserListTable1218[[#This Row],[Supplier SKU]])</f>
        <v>WRL-11601</v>
      </c>
      <c r="E35" s="121">
        <f>MouserListTable1218[[#This Row],[Tot '#]]-MouserListTable1218[[#This Row],['# Initial]]</f>
        <v>0</v>
      </c>
      <c r="F35" s="121">
        <f>MouserListTable1218[[#This Row],['#/Unit]]*FilterSpecs!$B$3+MouserListTable1218[[#This Row],[Extra Initial]]</f>
        <v>10</v>
      </c>
      <c r="G35" s="103" t="s">
        <v>69</v>
      </c>
      <c r="H35" s="103" t="s">
        <v>70</v>
      </c>
      <c r="I35" s="103" t="s">
        <v>71</v>
      </c>
      <c r="J35" s="103">
        <v>1</v>
      </c>
      <c r="K35" s="157">
        <v>24.95</v>
      </c>
      <c r="L35" s="103" t="s">
        <v>1911</v>
      </c>
      <c r="M35" s="106"/>
      <c r="N35" s="157">
        <f>MouserListTable1218[[#This Row],['# Initial]]*MouserListTable1218[[#This Row],[Price (USD)]]</f>
        <v>249.5</v>
      </c>
      <c r="O35" s="106" t="s">
        <v>68</v>
      </c>
      <c r="P35" s="103">
        <f t="shared" si="0"/>
        <v>22</v>
      </c>
      <c r="Q35" s="103" t="s">
        <v>8</v>
      </c>
      <c r="R3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474-WRL-11601</v>
      </c>
      <c r="S35" s="121">
        <v>2</v>
      </c>
      <c r="T35" s="121">
        <v>0</v>
      </c>
      <c r="U35" s="121">
        <v>0</v>
      </c>
      <c r="V35" s="121">
        <f>MouserListTable1218[[#This Row],['#/Unit]]*FilterSpecs!$C$3+MouserListTable1218[[#This Row],[Extra]]</f>
        <v>10</v>
      </c>
      <c r="W35" s="121">
        <f>IF(MouserListTable1218[[#This Row],[Tag]]=FilterSpecs!$F$7,MouserListTable1218[[#This Row],[Price (USD)]],0)</f>
        <v>24.95</v>
      </c>
      <c r="X35" s="121">
        <f>MouserListTable1218[[#This Row],[Tot '#]]*MouserListTable1218[[#This Row],[Price (USD)]]</f>
        <v>249.5</v>
      </c>
    </row>
    <row r="36" spans="1:24" s="146" customFormat="1" x14ac:dyDescent="0.3">
      <c r="A36" s="103" t="s">
        <v>894</v>
      </c>
      <c r="B36" s="103" t="s">
        <v>1896</v>
      </c>
      <c r="C36" s="103" t="s">
        <v>8</v>
      </c>
      <c r="D36" s="106" t="str">
        <f>IF(MouserListTable1218[[#This Row],[Vendor]]=FilterSpecs!$A$8,MouserListTable1218[[#This Row],[Mouser SKU]], MouserListTable1218[[#This Row],[Supplier SKU]])</f>
        <v>WIG-12772</v>
      </c>
      <c r="E36" s="121">
        <f>MouserListTable1218[[#This Row],[Tot '#]]-MouserListTable1218[[#This Row],['# Initial]]</f>
        <v>1</v>
      </c>
      <c r="F36" s="121">
        <f>MouserListTable1218[[#This Row],['#/Unit]]*FilterSpecs!$B$3+MouserListTable1218[[#This Row],[Extra Initial]]</f>
        <v>0</v>
      </c>
      <c r="G36" s="103" t="s">
        <v>231</v>
      </c>
      <c r="H36" s="103" t="s">
        <v>232</v>
      </c>
      <c r="I36" s="103" t="s">
        <v>198</v>
      </c>
      <c r="J36" s="103">
        <v>1</v>
      </c>
      <c r="K36" s="157">
        <v>54.95</v>
      </c>
      <c r="L36" s="103" t="s">
        <v>1910</v>
      </c>
      <c r="M36" s="106"/>
      <c r="N36" s="157">
        <f>MouserListTable1218[[#This Row],['# Initial]]*MouserListTable1218[[#This Row],[Price (USD)]]</f>
        <v>0</v>
      </c>
      <c r="O36" s="106" t="s">
        <v>230</v>
      </c>
      <c r="P36" s="103">
        <f t="shared" si="0"/>
        <v>23</v>
      </c>
      <c r="Q36" s="103" t="s">
        <v>8</v>
      </c>
      <c r="R3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474-WIG-12772</v>
      </c>
      <c r="S36" s="121">
        <v>0</v>
      </c>
      <c r="T36" s="121">
        <v>1</v>
      </c>
      <c r="U36" s="121">
        <v>0</v>
      </c>
      <c r="V36" s="121">
        <f>MouserListTable1218[[#This Row],['#/Unit]]*FilterSpecs!$C$3+MouserListTable1218[[#This Row],[Extra]]</f>
        <v>1</v>
      </c>
      <c r="W36" s="121">
        <f>IF(MouserListTable1218[[#This Row],[Tag]]=FilterSpecs!$F$7,MouserListTable1218[[#This Row],[Price (USD)]],0)</f>
        <v>0</v>
      </c>
      <c r="X36" s="121">
        <f>MouserListTable1218[[#This Row],[Tot '#]]*MouserListTable1218[[#This Row],[Price (USD)]]</f>
        <v>54.95</v>
      </c>
    </row>
    <row r="37" spans="1:24" s="146" customFormat="1" x14ac:dyDescent="0.3">
      <c r="A37" s="103" t="s">
        <v>894</v>
      </c>
      <c r="B37" s="103" t="s">
        <v>1896</v>
      </c>
      <c r="C37" s="103" t="s">
        <v>8</v>
      </c>
      <c r="D37" s="106" t="str">
        <f>IF(MouserListTable1218[[#This Row],[Vendor]]=FilterSpecs!$A$8,MouserListTable1218[[#This Row],[Mouser SKU]], MouserListTable1218[[#This Row],[Supplier SKU]])</f>
        <v>DEV-13712</v>
      </c>
      <c r="E37" s="121">
        <f>MouserListTable1218[[#This Row],[Tot '#]]-MouserListTable1218[[#This Row],['# Initial]]</f>
        <v>1</v>
      </c>
      <c r="F37" s="121">
        <f>MouserListTable1218[[#This Row],['#/Unit]]*FilterSpecs!$B$3+MouserListTable1218[[#This Row],[Extra Initial]]</f>
        <v>0</v>
      </c>
      <c r="G37" s="103" t="s">
        <v>1832</v>
      </c>
      <c r="H37" s="103" t="s">
        <v>1833</v>
      </c>
      <c r="I37" s="103" t="s">
        <v>1834</v>
      </c>
      <c r="J37" s="103">
        <v>1</v>
      </c>
      <c r="K37" s="157">
        <v>14.95</v>
      </c>
      <c r="L37" s="103" t="s">
        <v>1910</v>
      </c>
      <c r="M37" s="106"/>
      <c r="N37" s="157">
        <f>MouserListTable1218[[#This Row],['# Initial]]*MouserListTable1218[[#This Row],[Price (USD)]]</f>
        <v>0</v>
      </c>
      <c r="O37" s="106" t="s">
        <v>1831</v>
      </c>
      <c r="P37" s="103">
        <f t="shared" si="0"/>
        <v>24</v>
      </c>
      <c r="Q37" s="103" t="s">
        <v>8</v>
      </c>
      <c r="R3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474-DEV-13712</v>
      </c>
      <c r="S37" s="121">
        <v>0</v>
      </c>
      <c r="T37" s="121">
        <v>1</v>
      </c>
      <c r="U37" s="121">
        <v>0</v>
      </c>
      <c r="V37" s="121">
        <f>MouserListTable1218[[#This Row],['#/Unit]]*FilterSpecs!$C$3+MouserListTable1218[[#This Row],[Extra]]</f>
        <v>1</v>
      </c>
      <c r="W37" s="121">
        <f>IF(MouserListTable1218[[#This Row],[Tag]]=FilterSpecs!$F$7,MouserListTable1218[[#This Row],[Price (USD)]],0)</f>
        <v>0</v>
      </c>
      <c r="X37" s="121">
        <f>MouserListTable1218[[#This Row],[Tot '#]]*MouserListTable1218[[#This Row],[Price (USD)]]</f>
        <v>14.95</v>
      </c>
    </row>
    <row r="38" spans="1:24" s="144" customFormat="1" x14ac:dyDescent="0.3">
      <c r="A38" s="103" t="s">
        <v>894</v>
      </c>
      <c r="B38" s="103" t="s">
        <v>1896</v>
      </c>
      <c r="C38" s="103" t="s">
        <v>8</v>
      </c>
      <c r="D38" s="106" t="str">
        <f>IF(MouserListTable1218[[#This Row],[Vendor]]=FilterSpecs!$A$8,MouserListTable1218[[#This Row],[Mouser SKU]], MouserListTable1218[[#This Row],[Supplier SKU]])</f>
        <v>DEV-12761</v>
      </c>
      <c r="E38" s="121">
        <f>MouserListTable1218[[#This Row],[Tot '#]]-MouserListTable1218[[#This Row],['# Initial]]</f>
        <v>1</v>
      </c>
      <c r="F38" s="121">
        <f>MouserListTable1218[[#This Row],['#/Unit]]*FilterSpecs!$B$3+MouserListTable1218[[#This Row],[Extra Initial]]</f>
        <v>0</v>
      </c>
      <c r="G38" s="103" t="s">
        <v>2508</v>
      </c>
      <c r="H38" s="103" t="s">
        <v>2509</v>
      </c>
      <c r="I38" s="103" t="s">
        <v>2510</v>
      </c>
      <c r="J38" s="103">
        <v>1</v>
      </c>
      <c r="K38" s="157">
        <v>14.95</v>
      </c>
      <c r="L38" s="103" t="s">
        <v>1911</v>
      </c>
      <c r="M38" s="103"/>
      <c r="N38" s="157">
        <f>MouserListTable1218[[#This Row],['# Initial]]*MouserListTable1218[[#This Row],[Price (USD)]]</f>
        <v>0</v>
      </c>
      <c r="O38" s="106" t="s">
        <v>2507</v>
      </c>
      <c r="P38" s="103">
        <f t="shared" si="0"/>
        <v>25</v>
      </c>
      <c r="Q38" s="103" t="s">
        <v>8</v>
      </c>
      <c r="R3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474-DEV-12761</v>
      </c>
      <c r="S38" s="121">
        <v>0</v>
      </c>
      <c r="T38" s="121">
        <v>1</v>
      </c>
      <c r="U38" s="121">
        <v>0</v>
      </c>
      <c r="V38" s="121">
        <f>MouserListTable1218[[#This Row],['#/Unit]]*FilterSpecs!$C$3+MouserListTable1218[[#This Row],[Extra]]</f>
        <v>1</v>
      </c>
      <c r="W38" s="121">
        <f>IF(MouserListTable1218[[#This Row],[Tag]]=FilterSpecs!$F$7,MouserListTable1218[[#This Row],[Price (USD)]],0)</f>
        <v>14.95</v>
      </c>
      <c r="X38" s="121">
        <f>MouserListTable1218[[#This Row],[Tot '#]]*MouserListTable1218[[#This Row],[Price (USD)]]</f>
        <v>14.95</v>
      </c>
    </row>
    <row r="39" spans="1:24" s="146" customFormat="1" x14ac:dyDescent="0.3">
      <c r="A39" s="103" t="s">
        <v>894</v>
      </c>
      <c r="B39" s="103" t="s">
        <v>1896</v>
      </c>
      <c r="C39" s="103" t="s">
        <v>8</v>
      </c>
      <c r="D39" s="106" t="str">
        <f>IF(MouserListTable1218[[#This Row],[Vendor]]=FilterSpecs!$A$8,MouserListTable1218[[#This Row],[Mouser SKU]], MouserListTable1218[[#This Row],[Supplier SKU]])</f>
        <v>TOL-09419</v>
      </c>
      <c r="E39" s="121">
        <f>MouserListTable1218[[#This Row],[Tot '#]]-MouserListTable1218[[#This Row],['# Initial]]</f>
        <v>0</v>
      </c>
      <c r="F39" s="121">
        <f>MouserListTable1218[[#This Row],['#/Unit]]*FilterSpecs!$B$3+MouserListTable1218[[#This Row],[Extra Initial]]</f>
        <v>1</v>
      </c>
      <c r="G39" s="103" t="s">
        <v>234</v>
      </c>
      <c r="H39" s="103" t="s">
        <v>235</v>
      </c>
      <c r="I39" s="103" t="s">
        <v>205</v>
      </c>
      <c r="J39" s="103">
        <v>1</v>
      </c>
      <c r="K39" s="157">
        <v>9.9499999999999993</v>
      </c>
      <c r="L39" s="103" t="s">
        <v>1914</v>
      </c>
      <c r="M39" s="106"/>
      <c r="N39" s="157">
        <f>MouserListTable1218[[#This Row],['# Initial]]*MouserListTable1218[[#This Row],[Price (USD)]]</f>
        <v>9.9499999999999993</v>
      </c>
      <c r="O39" s="106" t="s">
        <v>233</v>
      </c>
      <c r="P39" s="103">
        <f t="shared" si="0"/>
        <v>26</v>
      </c>
      <c r="Q39" s="103" t="s">
        <v>8</v>
      </c>
      <c r="R3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474-TOL-09419</v>
      </c>
      <c r="S39" s="121">
        <v>0</v>
      </c>
      <c r="T39" s="121">
        <v>1</v>
      </c>
      <c r="U39" s="121">
        <v>1</v>
      </c>
      <c r="V39" s="121">
        <f>MouserListTable1218[[#This Row],['#/Unit]]*FilterSpecs!$C$3+MouserListTable1218[[#This Row],[Extra]]</f>
        <v>1</v>
      </c>
      <c r="W39" s="121">
        <f>IF(MouserListTable1218[[#This Row],[Tag]]=FilterSpecs!$F$7,MouserListTable1218[[#This Row],[Price (USD)]],0)</f>
        <v>0</v>
      </c>
      <c r="X39" s="121">
        <f>MouserListTable1218[[#This Row],[Tot '#]]*MouserListTable1218[[#This Row],[Price (USD)]]</f>
        <v>9.9499999999999993</v>
      </c>
    </row>
    <row r="40" spans="1:24" s="146" customFormat="1" x14ac:dyDescent="0.3">
      <c r="A40" s="126" t="s">
        <v>894</v>
      </c>
      <c r="B40" s="126" t="s">
        <v>1896</v>
      </c>
      <c r="C40" s="126" t="s">
        <v>8</v>
      </c>
      <c r="D40" s="106" t="str">
        <f>IF(MouserListTable1218[[#This Row],[Vendor]]=FilterSpecs!$A$8,MouserListTable1218[[#This Row],[Mouser SKU]], MouserListTable1218[[#This Row],[Supplier SKU]])</f>
        <v>BOB-12941</v>
      </c>
      <c r="E40" s="121">
        <f>MouserListTable1218[[#This Row],[Tot '#]]-MouserListTable1218[[#This Row],['# Initial]]</f>
        <v>0</v>
      </c>
      <c r="F40" s="121">
        <f>MouserListTable1218[[#This Row],['#/Unit]]*FilterSpecs!$B$3+MouserListTable1218[[#This Row],[Extra Initial]]</f>
        <v>0</v>
      </c>
      <c r="G40" s="103" t="s">
        <v>287</v>
      </c>
      <c r="H40" s="103" t="s">
        <v>288</v>
      </c>
      <c r="I40" s="103" t="s">
        <v>203</v>
      </c>
      <c r="J40" s="103">
        <v>1</v>
      </c>
      <c r="K40" s="157">
        <v>9.9499999999999993</v>
      </c>
      <c r="L40" s="103" t="s">
        <v>1911</v>
      </c>
      <c r="N40" s="157">
        <f>MouserListTable1218[[#This Row],['# Initial]]*MouserListTable1218[[#This Row],[Price (USD)]]</f>
        <v>0</v>
      </c>
      <c r="O40" s="106" t="s">
        <v>286</v>
      </c>
      <c r="P40" s="103">
        <f t="shared" si="0"/>
        <v>27</v>
      </c>
      <c r="Q40" s="103" t="s">
        <v>8</v>
      </c>
      <c r="R4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474-BOB-12941</v>
      </c>
      <c r="S40" s="121">
        <v>0</v>
      </c>
      <c r="T40" s="121">
        <v>0</v>
      </c>
      <c r="U40" s="121">
        <v>0</v>
      </c>
      <c r="V40" s="121">
        <f>MouserListTable1218[[#This Row],['#/Unit]]*FilterSpecs!$C$3+MouserListTable1218[[#This Row],[Extra]]</f>
        <v>0</v>
      </c>
      <c r="W40" s="121">
        <f>IF(MouserListTable1218[[#This Row],[Tag]]=FilterSpecs!$F$7,MouserListTable1218[[#This Row],[Price (USD)]],0)</f>
        <v>9.9499999999999993</v>
      </c>
      <c r="X40" s="121">
        <f>MouserListTable1218[[#This Row],[Tot '#]]*MouserListTable1218[[#This Row],[Price (USD)]]</f>
        <v>0</v>
      </c>
    </row>
    <row r="41" spans="1:24" s="146" customFormat="1" x14ac:dyDescent="0.3">
      <c r="A41" s="103" t="s">
        <v>894</v>
      </c>
      <c r="B41" s="103" t="s">
        <v>1896</v>
      </c>
      <c r="C41" s="103" t="s">
        <v>8</v>
      </c>
      <c r="D41" s="106" t="str">
        <f>IF(MouserListTable1218[[#This Row],[Vendor]]=FilterSpecs!$A$8,MouserListTable1218[[#This Row],[Mouser SKU]], MouserListTable1218[[#This Row],[Supplier SKU]])</f>
        <v>DEV-13743</v>
      </c>
      <c r="E41" s="121">
        <f>MouserListTable1218[[#This Row],[Tot '#]]-MouserListTable1218[[#This Row],['# Initial]]</f>
        <v>0</v>
      </c>
      <c r="F41" s="121">
        <f>MouserListTable1218[[#This Row],['#/Unit]]*FilterSpecs!$B$3+MouserListTable1218[[#This Row],[Extra Initial]]</f>
        <v>5</v>
      </c>
      <c r="G41" s="103" t="s">
        <v>415</v>
      </c>
      <c r="H41" s="103" t="s">
        <v>416</v>
      </c>
      <c r="I41" s="103" t="s">
        <v>223</v>
      </c>
      <c r="J41" s="103">
        <v>1</v>
      </c>
      <c r="K41" s="157">
        <v>4.95</v>
      </c>
      <c r="L41" s="103" t="s">
        <v>1911</v>
      </c>
      <c r="M41" s="106"/>
      <c r="N41" s="157">
        <f>MouserListTable1218[[#This Row],['# Initial]]*MouserListTable1218[[#This Row],[Price (USD)]]</f>
        <v>24.75</v>
      </c>
      <c r="O41" s="106" t="s">
        <v>414</v>
      </c>
      <c r="P41" s="103">
        <f t="shared" si="0"/>
        <v>28</v>
      </c>
      <c r="Q41" s="103" t="s">
        <v>8</v>
      </c>
      <c r="R4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474-DEV-13743</v>
      </c>
      <c r="S41" s="121">
        <v>1</v>
      </c>
      <c r="T41" s="121">
        <v>0</v>
      </c>
      <c r="U41" s="121">
        <v>0</v>
      </c>
      <c r="V41" s="121">
        <f>MouserListTable1218[[#This Row],['#/Unit]]*FilterSpecs!$C$3+MouserListTable1218[[#This Row],[Extra]]</f>
        <v>5</v>
      </c>
      <c r="W41" s="121">
        <f>IF(MouserListTable1218[[#This Row],[Tag]]=FilterSpecs!$F$7,MouserListTable1218[[#This Row],[Price (USD)]],0)</f>
        <v>4.95</v>
      </c>
      <c r="X41" s="121">
        <f>MouserListTable1218[[#This Row],[Tot '#]]*MouserListTable1218[[#This Row],[Price (USD)]]</f>
        <v>24.75</v>
      </c>
    </row>
    <row r="42" spans="1:24" s="146" customFormat="1" x14ac:dyDescent="0.3">
      <c r="A42" s="103" t="s">
        <v>894</v>
      </c>
      <c r="B42" s="103" t="s">
        <v>1896</v>
      </c>
      <c r="C42" s="103" t="s">
        <v>8</v>
      </c>
      <c r="D42" s="106" t="str">
        <f>IF(MouserListTable1218[[#This Row],[Vendor]]=FilterSpecs!$A$8,MouserListTable1218[[#This Row],[Mouser SKU]], MouserListTable1218[[#This Row],[Supplier SKU]])</f>
        <v>COM-13833</v>
      </c>
      <c r="E42" s="121">
        <f>MouserListTable1218[[#This Row],[Tot '#]]-MouserListTable1218[[#This Row],['# Initial]]</f>
        <v>1</v>
      </c>
      <c r="F42" s="121">
        <f>MouserListTable1218[[#This Row],['#/Unit]]*FilterSpecs!$B$3+MouserListTable1218[[#This Row],[Extra Initial]]</f>
        <v>5</v>
      </c>
      <c r="G42" s="103" t="s">
        <v>636</v>
      </c>
      <c r="H42" s="103" t="s">
        <v>637</v>
      </c>
      <c r="I42" s="103" t="s">
        <v>638</v>
      </c>
      <c r="J42" s="103">
        <v>1</v>
      </c>
      <c r="K42" s="157">
        <v>19.95</v>
      </c>
      <c r="L42" s="103" t="s">
        <v>1911</v>
      </c>
      <c r="M42" s="106"/>
      <c r="N42" s="157">
        <f>MouserListTable1218[[#This Row],['# Initial]]*MouserListTable1218[[#This Row],[Price (USD)]]</f>
        <v>99.75</v>
      </c>
      <c r="O42" s="106" t="s">
        <v>635</v>
      </c>
      <c r="P42" s="103">
        <f t="shared" si="0"/>
        <v>29</v>
      </c>
      <c r="Q42" s="103" t="s">
        <v>8</v>
      </c>
      <c r="R4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474-COM-13833</v>
      </c>
      <c r="S42" s="121">
        <v>1</v>
      </c>
      <c r="T42" s="121">
        <v>1</v>
      </c>
      <c r="U42" s="121">
        <v>0</v>
      </c>
      <c r="V42" s="121">
        <f>MouserListTable1218[[#This Row],['#/Unit]]*FilterSpecs!$C$3+MouserListTable1218[[#This Row],[Extra]]</f>
        <v>6</v>
      </c>
      <c r="W42" s="121">
        <f>IF(MouserListTable1218[[#This Row],[Tag]]=FilterSpecs!$F$7,MouserListTable1218[[#This Row],[Price (USD)]],0)</f>
        <v>19.95</v>
      </c>
      <c r="X42" s="121">
        <f>MouserListTable1218[[#This Row],[Tot '#]]*MouserListTable1218[[#This Row],[Price (USD)]]</f>
        <v>119.69999999999999</v>
      </c>
    </row>
    <row r="43" spans="1:24" s="146" customFormat="1" x14ac:dyDescent="0.3">
      <c r="A43" s="103" t="s">
        <v>894</v>
      </c>
      <c r="B43" s="103" t="s">
        <v>1896</v>
      </c>
      <c r="C43" s="103" t="s">
        <v>1898</v>
      </c>
      <c r="D43" s="106" t="str">
        <f>IF(MouserListTable1218[[#This Row],[Vendor]]=FilterSpecs!$A$8,MouserListTable1218[[#This Row],[Mouser SKU]], MouserListTable1218[[#This Row],[Supplier SKU]])</f>
        <v>102</v>
      </c>
      <c r="E43" s="121">
        <f>MouserListTable1218[[#This Row],[Tot '#]]-MouserListTable1218[[#This Row],['# Initial]]</f>
        <v>2</v>
      </c>
      <c r="F43" s="121">
        <f>MouserListTable1218[[#This Row],['#/Unit]]*FilterSpecs!$B$3+MouserListTable1218[[#This Row],[Extra Initial]]</f>
        <v>0</v>
      </c>
      <c r="G43" s="103"/>
      <c r="H43" s="103"/>
      <c r="I43" s="103" t="s">
        <v>2268</v>
      </c>
      <c r="J43" s="103"/>
      <c r="K43" s="157">
        <v>7.95</v>
      </c>
      <c r="L43" s="103" t="s">
        <v>1910</v>
      </c>
      <c r="M43" s="106"/>
      <c r="N43" s="157">
        <f>MouserListTable1218[[#This Row],['# Initial]]*MouserListTable1218[[#This Row],[Price (USD)]]</f>
        <v>0</v>
      </c>
      <c r="O43" s="106" t="s">
        <v>2267</v>
      </c>
      <c r="P43" s="103">
        <f t="shared" si="0"/>
        <v>30</v>
      </c>
      <c r="Q43" s="103" t="s">
        <v>1898</v>
      </c>
      <c r="R4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485-102</v>
      </c>
      <c r="S43" s="121">
        <v>0</v>
      </c>
      <c r="T43" s="121">
        <v>2</v>
      </c>
      <c r="U43" s="121">
        <v>0</v>
      </c>
      <c r="V43" s="121">
        <f>MouserListTable1218[[#This Row],['#/Unit]]*FilterSpecs!$C$3+MouserListTable1218[[#This Row],[Extra]]</f>
        <v>2</v>
      </c>
      <c r="W43" s="121">
        <f>IF(MouserListTable1218[[#This Row],[Tag]]=FilterSpecs!$F$7,MouserListTable1218[[#This Row],[Price (USD)]],0)</f>
        <v>0</v>
      </c>
      <c r="X43" s="121">
        <f>MouserListTable1218[[#This Row],[Tot '#]]*MouserListTable1218[[#This Row],[Price (USD)]]</f>
        <v>15.9</v>
      </c>
    </row>
    <row r="44" spans="1:24" s="146" customFormat="1" x14ac:dyDescent="0.3">
      <c r="A44" s="103" t="s">
        <v>894</v>
      </c>
      <c r="B44" s="103" t="s">
        <v>1896</v>
      </c>
      <c r="C44" s="103" t="s">
        <v>1898</v>
      </c>
      <c r="D44" s="106" t="str">
        <f>IF(MouserListTable1218[[#This Row],[Vendor]]=FilterSpecs!$A$8,MouserListTable1218[[#This Row],[Mouser SKU]], MouserListTable1218[[#This Row],[Supplier SKU]])</f>
        <v>1969</v>
      </c>
      <c r="E44" s="121">
        <f>MouserListTable1218[[#This Row],[Tot '#]]-MouserListTable1218[[#This Row],['# Initial]]</f>
        <v>0</v>
      </c>
      <c r="F44" s="121">
        <f>MouserListTable1218[[#This Row],['#/Unit]]*FilterSpecs!$B$3+MouserListTable1218[[#This Row],[Extra Initial]]</f>
        <v>1</v>
      </c>
      <c r="G44" s="103"/>
      <c r="H44" s="103"/>
      <c r="I44" s="103" t="s">
        <v>2078</v>
      </c>
      <c r="J44" s="103"/>
      <c r="K44" s="157">
        <v>2.95</v>
      </c>
      <c r="L44" s="103" t="s">
        <v>1910</v>
      </c>
      <c r="M44" s="106"/>
      <c r="N44" s="157">
        <f>MouserListTable1218[[#This Row],['# Initial]]*MouserListTable1218[[#This Row],[Price (USD)]]</f>
        <v>2.95</v>
      </c>
      <c r="O44" s="106" t="s">
        <v>2079</v>
      </c>
      <c r="P44" s="103">
        <f t="shared" si="0"/>
        <v>31</v>
      </c>
      <c r="Q44" s="103" t="s">
        <v>1898</v>
      </c>
      <c r="R4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485-1969</v>
      </c>
      <c r="S44" s="121">
        <v>0</v>
      </c>
      <c r="T44" s="121">
        <v>1</v>
      </c>
      <c r="U44" s="121">
        <v>1</v>
      </c>
      <c r="V44" s="121">
        <f>MouserListTable1218[[#This Row],['#/Unit]]*FilterSpecs!$C$3+MouserListTable1218[[#This Row],[Extra]]</f>
        <v>1</v>
      </c>
      <c r="W44" s="121">
        <f>IF(MouserListTable1218[[#This Row],[Tag]]=FilterSpecs!$F$7,MouserListTable1218[[#This Row],[Price (USD)]],0)</f>
        <v>0</v>
      </c>
      <c r="X44" s="121">
        <f>MouserListTable1218[[#This Row],[Tot '#]]*MouserListTable1218[[#This Row],[Price (USD)]]</f>
        <v>2.95</v>
      </c>
    </row>
    <row r="45" spans="1:24" s="146" customFormat="1" x14ac:dyDescent="0.3">
      <c r="A45" s="126" t="s">
        <v>894</v>
      </c>
      <c r="B45" s="126" t="s">
        <v>1896</v>
      </c>
      <c r="C45" s="126" t="s">
        <v>1898</v>
      </c>
      <c r="D45" s="106" t="str">
        <f>IF(MouserListTable1218[[#This Row],[Vendor]]=FilterSpecs!$A$8,MouserListTable1218[[#This Row],[Mouser SKU]], MouserListTable1218[[#This Row],[Supplier SKU]])</f>
        <v>2693</v>
      </c>
      <c r="E45" s="121">
        <f>MouserListTable1218[[#This Row],[Tot '#]]-MouserListTable1218[[#This Row],['# Initial]]</f>
        <v>0</v>
      </c>
      <c r="F45" s="121">
        <f>MouserListTable1218[[#This Row],['#/Unit]]*FilterSpecs!$B$3+MouserListTable1218[[#This Row],[Extra Initial]]</f>
        <v>0</v>
      </c>
      <c r="G45" s="103"/>
      <c r="H45" s="103"/>
      <c r="I45" s="103" t="s">
        <v>2270</v>
      </c>
      <c r="J45" s="103"/>
      <c r="K45" s="157">
        <v>19.95</v>
      </c>
      <c r="L45" s="103" t="s">
        <v>1913</v>
      </c>
      <c r="N45" s="157">
        <f>MouserListTable1218[[#This Row],['# Initial]]*MouserListTable1218[[#This Row],[Price (USD)]]</f>
        <v>0</v>
      </c>
      <c r="O45" s="106" t="s">
        <v>2269</v>
      </c>
      <c r="P45" s="103">
        <f t="shared" si="0"/>
        <v>32</v>
      </c>
      <c r="Q45" s="103" t="s">
        <v>1898</v>
      </c>
      <c r="R4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485-2693</v>
      </c>
      <c r="S45" s="121">
        <v>0</v>
      </c>
      <c r="T45" s="121">
        <v>0</v>
      </c>
      <c r="U45" s="121">
        <v>0</v>
      </c>
      <c r="V45" s="121">
        <f>MouserListTable1218[[#This Row],['#/Unit]]*FilterSpecs!$C$3+MouserListTable1218[[#This Row],[Extra]]</f>
        <v>0</v>
      </c>
      <c r="W45" s="121">
        <f>IF(MouserListTable1218[[#This Row],[Tag]]=FilterSpecs!$F$7,MouserListTable1218[[#This Row],[Price (USD)]],0)</f>
        <v>0</v>
      </c>
      <c r="X45" s="121">
        <f>MouserListTable1218[[#This Row],[Tot '#]]*MouserListTable1218[[#This Row],[Price (USD)]]</f>
        <v>0</v>
      </c>
    </row>
    <row r="46" spans="1:24" s="146" customFormat="1" x14ac:dyDescent="0.3">
      <c r="A46" s="103" t="s">
        <v>894</v>
      </c>
      <c r="B46" s="103" t="s">
        <v>1896</v>
      </c>
      <c r="C46" s="103" t="s">
        <v>1898</v>
      </c>
      <c r="D46" s="106" t="str">
        <f>IF(MouserListTable1218[[#This Row],[Vendor]]=FilterSpecs!$A$8,MouserListTable1218[[#This Row],[Mouser SKU]], MouserListTable1218[[#This Row],[Supplier SKU]])</f>
        <v>1294</v>
      </c>
      <c r="E46" s="121">
        <f>MouserListTable1218[[#This Row],[Tot '#]]-MouserListTable1218[[#This Row],['# Initial]]</f>
        <v>0</v>
      </c>
      <c r="F46" s="121">
        <f>MouserListTable1218[[#This Row],['#/Unit]]*FilterSpecs!$B$3+MouserListTable1218[[#This Row],[Extra Initial]]</f>
        <v>0</v>
      </c>
      <c r="G46" s="103"/>
      <c r="H46" s="103"/>
      <c r="I46" s="126" t="s">
        <v>2272</v>
      </c>
      <c r="K46" s="158">
        <v>9.9499999999999993</v>
      </c>
      <c r="L46" s="126" t="s">
        <v>1910</v>
      </c>
      <c r="N46" s="157">
        <f>MouserListTable1218[[#This Row],['# Initial]]*MouserListTable1218[[#This Row],[Price (USD)]]</f>
        <v>0</v>
      </c>
      <c r="O46" s="106" t="s">
        <v>2271</v>
      </c>
      <c r="P46" s="103">
        <f t="shared" si="0"/>
        <v>33</v>
      </c>
      <c r="Q46" s="103" t="s">
        <v>1898</v>
      </c>
      <c r="R4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485-1294</v>
      </c>
      <c r="S46" s="121">
        <v>0</v>
      </c>
      <c r="T46" s="121">
        <v>0</v>
      </c>
      <c r="U46" s="121">
        <v>0</v>
      </c>
      <c r="V46" s="121">
        <f>MouserListTable1218[[#This Row],['#/Unit]]*FilterSpecs!$C$3+MouserListTable1218[[#This Row],[Extra]]</f>
        <v>0</v>
      </c>
      <c r="W46" s="121">
        <f>IF(MouserListTable1218[[#This Row],[Tag]]=FilterSpecs!$F$7,MouserListTable1218[[#This Row],[Price (USD)]],0)</f>
        <v>0</v>
      </c>
      <c r="X46" s="121">
        <f>MouserListTable1218[[#This Row],[Tot '#]]*MouserListTable1218[[#This Row],[Price (USD)]]</f>
        <v>0</v>
      </c>
    </row>
    <row r="47" spans="1:24" s="146" customFormat="1" x14ac:dyDescent="0.3">
      <c r="A47" s="103" t="s">
        <v>894</v>
      </c>
      <c r="B47" s="103" t="s">
        <v>1896</v>
      </c>
      <c r="C47" s="103" t="s">
        <v>8</v>
      </c>
      <c r="D47" s="106" t="str">
        <f>IF(MouserListTable1218[[#This Row],[Vendor]]=FilterSpecs!$A$8,MouserListTable1218[[#This Row],[Mouser SKU]], MouserListTable1218[[#This Row],[Supplier SKU]])</f>
        <v>DEV-11643</v>
      </c>
      <c r="E47" s="121">
        <f>MouserListTable1218[[#This Row],[Tot '#]]-MouserListTable1218[[#This Row],['# Initial]]</f>
        <v>0</v>
      </c>
      <c r="F47" s="121">
        <f>MouserListTable1218[[#This Row],['#/Unit]]*FilterSpecs!$B$3+MouserListTable1218[[#This Row],[Extra Initial]]</f>
        <v>0</v>
      </c>
      <c r="G47" s="103" t="s">
        <v>333</v>
      </c>
      <c r="H47" s="103" t="s">
        <v>334</v>
      </c>
      <c r="I47" s="103" t="s">
        <v>335</v>
      </c>
      <c r="J47" s="146">
        <v>1</v>
      </c>
      <c r="K47" s="157">
        <v>54.95</v>
      </c>
      <c r="L47" s="103" t="s">
        <v>2490</v>
      </c>
      <c r="M47" s="106"/>
      <c r="N47" s="157">
        <f>MouserListTable1218[[#This Row],['# Initial]]*MouserListTable1218[[#This Row],[Price (USD)]]</f>
        <v>0</v>
      </c>
      <c r="O47" s="106" t="s">
        <v>332</v>
      </c>
      <c r="P47" s="103">
        <f t="shared" si="0"/>
        <v>34</v>
      </c>
      <c r="Q47" s="103" t="s">
        <v>8</v>
      </c>
      <c r="R4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474-DEV-11643</v>
      </c>
      <c r="S47" s="121">
        <v>0</v>
      </c>
      <c r="T47" s="121">
        <v>0</v>
      </c>
      <c r="U47" s="121">
        <v>0</v>
      </c>
      <c r="V47" s="121">
        <f>MouserListTable1218[[#This Row],['#/Unit]]*FilterSpecs!$C$3+MouserListTable1218[[#This Row],[Extra]]</f>
        <v>0</v>
      </c>
      <c r="W47" s="121">
        <f>IF(MouserListTable1218[[#This Row],[Tag]]=FilterSpecs!$F$7,MouserListTable1218[[#This Row],[Price (USD)]],0)</f>
        <v>0</v>
      </c>
      <c r="X47" s="121">
        <f>MouserListTable1218[[#This Row],[Tot '#]]*MouserListTable1218[[#This Row],[Price (USD)]]</f>
        <v>0</v>
      </c>
    </row>
    <row r="48" spans="1:24" s="146" customFormat="1" x14ac:dyDescent="0.3">
      <c r="A48" s="103" t="s">
        <v>894</v>
      </c>
      <c r="B48" s="103" t="s">
        <v>1896</v>
      </c>
      <c r="C48" s="103" t="s">
        <v>8</v>
      </c>
      <c r="D48" s="106" t="str">
        <f>IF(MouserListTable1218[[#This Row],[Vendor]]=FilterSpecs!$A$8,MouserListTable1218[[#This Row],[Mouser SKU]], MouserListTable1218[[#This Row],[Supplier SKU]])</f>
        <v>COM-13004</v>
      </c>
      <c r="E48" s="121">
        <f>MouserListTable1218[[#This Row],[Tot '#]]-MouserListTable1218[[#This Row],['# Initial]]</f>
        <v>0</v>
      </c>
      <c r="F48" s="121">
        <f>MouserListTable1218[[#This Row],['#/Unit]]*FilterSpecs!$B$3+MouserListTable1218[[#This Row],[Extra Initial]]</f>
        <v>5</v>
      </c>
      <c r="G48" s="103" t="s">
        <v>348</v>
      </c>
      <c r="H48" s="103" t="s">
        <v>349</v>
      </c>
      <c r="I48" s="103" t="s">
        <v>350</v>
      </c>
      <c r="K48" s="157">
        <v>4.95</v>
      </c>
      <c r="L48" s="103" t="s">
        <v>1911</v>
      </c>
      <c r="M48" s="106"/>
      <c r="N48" s="157">
        <f>MouserListTable1218[[#This Row],['# Initial]]*MouserListTable1218[[#This Row],[Price (USD)]]</f>
        <v>24.75</v>
      </c>
      <c r="O48" s="106" t="s">
        <v>347</v>
      </c>
      <c r="P48" s="103">
        <f t="shared" si="0"/>
        <v>35</v>
      </c>
      <c r="Q48" s="103" t="s">
        <v>8</v>
      </c>
      <c r="R4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474-COM-13004</v>
      </c>
      <c r="S48" s="121">
        <v>1</v>
      </c>
      <c r="T48" s="121">
        <v>0</v>
      </c>
      <c r="U48" s="121">
        <v>0</v>
      </c>
      <c r="V48" s="121">
        <f>MouserListTable1218[[#This Row],['#/Unit]]*FilterSpecs!$C$3+MouserListTable1218[[#This Row],[Extra]]</f>
        <v>5</v>
      </c>
      <c r="W48" s="121">
        <f>IF(MouserListTable1218[[#This Row],[Tag]]=FilterSpecs!$F$7,MouserListTable1218[[#This Row],[Price (USD)]],0)</f>
        <v>4.95</v>
      </c>
      <c r="X48" s="121">
        <f>MouserListTable1218[[#This Row],[Tot '#]]*MouserListTable1218[[#This Row],[Price (USD)]]</f>
        <v>24.75</v>
      </c>
    </row>
    <row r="49" spans="1:24" s="146" customFormat="1" x14ac:dyDescent="0.3">
      <c r="A49" s="103" t="s">
        <v>894</v>
      </c>
      <c r="B49" s="103" t="s">
        <v>1896</v>
      </c>
      <c r="C49" s="103" t="s">
        <v>8</v>
      </c>
      <c r="D49" s="106" t="str">
        <f>IF(MouserListTable1218[[#This Row],[Vendor]]=FilterSpecs!$A$8,MouserListTable1218[[#This Row],[Mouser SKU]], MouserListTable1218[[#This Row],[Supplier SKU]])</f>
        <v>BOB-10160</v>
      </c>
      <c r="E49" s="121">
        <f>MouserListTable1218[[#This Row],[Tot '#]]-MouserListTable1218[[#This Row],['# Initial]]</f>
        <v>1</v>
      </c>
      <c r="F49" s="121">
        <f>MouserListTable1218[[#This Row],['#/Unit]]*FilterSpecs!$B$3+MouserListTable1218[[#This Row],[Extra Initial]]</f>
        <v>0</v>
      </c>
      <c r="G49" s="103" t="s">
        <v>926</v>
      </c>
      <c r="H49" s="103" t="s">
        <v>927</v>
      </c>
      <c r="I49" s="103" t="s">
        <v>928</v>
      </c>
      <c r="J49" s="146">
        <v>1</v>
      </c>
      <c r="K49" s="157">
        <v>19.95</v>
      </c>
      <c r="L49" s="103" t="s">
        <v>1914</v>
      </c>
      <c r="M49" s="106"/>
      <c r="N49" s="157">
        <f>MouserListTable1218[[#This Row],['# Initial]]*MouserListTable1218[[#This Row],[Price (USD)]]</f>
        <v>0</v>
      </c>
      <c r="O49" s="106" t="s">
        <v>925</v>
      </c>
      <c r="P49" s="103">
        <f t="shared" si="0"/>
        <v>36</v>
      </c>
      <c r="Q49" s="103" t="s">
        <v>8</v>
      </c>
      <c r="R4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474-BOB-10160</v>
      </c>
      <c r="S49" s="121">
        <v>0</v>
      </c>
      <c r="T49" s="121">
        <v>1</v>
      </c>
      <c r="U49" s="121">
        <v>0</v>
      </c>
      <c r="V49" s="121">
        <f>MouserListTable1218[[#This Row],['#/Unit]]*FilterSpecs!$C$3+MouserListTable1218[[#This Row],[Extra]]</f>
        <v>1</v>
      </c>
      <c r="W49" s="121">
        <f>IF(MouserListTable1218[[#This Row],[Tag]]=FilterSpecs!$F$7,MouserListTable1218[[#This Row],[Price (USD)]],0)</f>
        <v>0</v>
      </c>
      <c r="X49" s="121">
        <f>MouserListTable1218[[#This Row],[Tot '#]]*MouserListTable1218[[#This Row],[Price (USD)]]</f>
        <v>19.95</v>
      </c>
    </row>
    <row r="50" spans="1:24" s="146" customFormat="1" x14ac:dyDescent="0.3">
      <c r="A50" s="103" t="s">
        <v>894</v>
      </c>
      <c r="B50" s="103" t="s">
        <v>2030</v>
      </c>
      <c r="C50" s="103" t="s">
        <v>8</v>
      </c>
      <c r="D50" s="106" t="str">
        <f>IF(MouserListTable1218[[#This Row],[Vendor]]=FilterSpecs!$A$8,MouserListTable1218[[#This Row],[Mouser SKU]], MouserListTable1218[[#This Row],[Supplier SKU]])</f>
        <v>COM-12014</v>
      </c>
      <c r="E50" s="121">
        <f>MouserListTable1218[[#This Row],[Tot '#]]-MouserListTable1218[[#This Row],['# Initial]]</f>
        <v>1</v>
      </c>
      <c r="F50" s="121">
        <f>MouserListTable1218[[#This Row],['#/Unit]]*FilterSpecs!$B$3+MouserListTable1218[[#This Row],[Extra Initial]]</f>
        <v>0</v>
      </c>
      <c r="G50" s="103" t="s">
        <v>1141</v>
      </c>
      <c r="H50" s="103" t="s">
        <v>1142</v>
      </c>
      <c r="I50" s="103" t="s">
        <v>1143</v>
      </c>
      <c r="J50" s="103">
        <v>1</v>
      </c>
      <c r="K50" s="157">
        <v>3.95</v>
      </c>
      <c r="L50" s="103" t="s">
        <v>1910</v>
      </c>
      <c r="M50" s="106"/>
      <c r="N50" s="157">
        <f>MouserListTable1218[[#This Row],['# Initial]]*MouserListTable1218[[#This Row],[Price (USD)]]</f>
        <v>0</v>
      </c>
      <c r="O50" s="106" t="s">
        <v>1140</v>
      </c>
      <c r="P50" s="103">
        <f t="shared" si="0"/>
        <v>37</v>
      </c>
      <c r="Q50" s="103" t="s">
        <v>8</v>
      </c>
      <c r="R5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474-COM-12014</v>
      </c>
      <c r="S50" s="121">
        <v>0</v>
      </c>
      <c r="T50" s="121">
        <v>1</v>
      </c>
      <c r="U50" s="121">
        <v>0</v>
      </c>
      <c r="V50" s="121">
        <f>MouserListTable1218[[#This Row],['#/Unit]]*FilterSpecs!$C$3+MouserListTable1218[[#This Row],[Extra]]</f>
        <v>1</v>
      </c>
      <c r="W50" s="121">
        <f>IF(MouserListTable1218[[#This Row],[Tag]]=FilterSpecs!$F$7,MouserListTable1218[[#This Row],[Price (USD)]],0)</f>
        <v>0</v>
      </c>
      <c r="X50" s="121">
        <f>MouserListTable1218[[#This Row],[Tot '#]]*MouserListTable1218[[#This Row],[Price (USD)]]</f>
        <v>3.95</v>
      </c>
    </row>
    <row r="51" spans="1:24" s="146" customFormat="1" x14ac:dyDescent="0.3">
      <c r="A51" s="103" t="s">
        <v>894</v>
      </c>
      <c r="B51" s="103" t="s">
        <v>2030</v>
      </c>
      <c r="C51" s="103" t="s">
        <v>8</v>
      </c>
      <c r="D51" s="106" t="str">
        <f>IF(MouserListTable1218[[#This Row],[Vendor]]=FilterSpecs!$A$8,MouserListTable1218[[#This Row],[Mouser SKU]], MouserListTable1218[[#This Row],[Supplier SKU]])</f>
        <v>COM-11408</v>
      </c>
      <c r="E51" s="121">
        <f>MouserListTable1218[[#This Row],[Tot '#]]-MouserListTable1218[[#This Row],['# Initial]]</f>
        <v>1</v>
      </c>
      <c r="F51" s="121">
        <f>MouserListTable1218[[#This Row],['#/Unit]]*FilterSpecs!$B$3+MouserListTable1218[[#This Row],[Extra Initial]]</f>
        <v>0</v>
      </c>
      <c r="G51" s="103" t="s">
        <v>1730</v>
      </c>
      <c r="H51" s="103" t="s">
        <v>1731</v>
      </c>
      <c r="I51" s="103" t="s">
        <v>1732</v>
      </c>
      <c r="J51" s="103">
        <v>1</v>
      </c>
      <c r="K51" s="157">
        <v>2.95</v>
      </c>
      <c r="L51" s="103" t="s">
        <v>1910</v>
      </c>
      <c r="M51" s="106"/>
      <c r="N51" s="157">
        <f>MouserListTable1218[[#This Row],['# Initial]]*MouserListTable1218[[#This Row],[Price (USD)]]</f>
        <v>0</v>
      </c>
      <c r="O51" s="106" t="s">
        <v>1729</v>
      </c>
      <c r="P51" s="103">
        <f t="shared" si="0"/>
        <v>38</v>
      </c>
      <c r="Q51" s="103" t="s">
        <v>8</v>
      </c>
      <c r="R5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474-COM-11408</v>
      </c>
      <c r="S51" s="121">
        <v>0</v>
      </c>
      <c r="T51" s="121">
        <v>1</v>
      </c>
      <c r="U51" s="121">
        <v>0</v>
      </c>
      <c r="V51" s="121">
        <f>MouserListTable1218[[#This Row],['#/Unit]]*FilterSpecs!$C$3+MouserListTable1218[[#This Row],[Extra]]</f>
        <v>1</v>
      </c>
      <c r="W51" s="121">
        <f>IF(MouserListTable1218[[#This Row],[Tag]]=FilterSpecs!$F$7,MouserListTable1218[[#This Row],[Price (USD)]],0)</f>
        <v>0</v>
      </c>
      <c r="X51" s="121">
        <f>MouserListTable1218[[#This Row],[Tot '#]]*MouserListTable1218[[#This Row],[Price (USD)]]</f>
        <v>2.95</v>
      </c>
    </row>
    <row r="52" spans="1:24" s="146" customFormat="1" x14ac:dyDescent="0.3">
      <c r="A52" s="103" t="s">
        <v>894</v>
      </c>
      <c r="B52" s="103" t="s">
        <v>2030</v>
      </c>
      <c r="C52" s="103" t="s">
        <v>8</v>
      </c>
      <c r="D52" s="106" t="str">
        <f>IF(MouserListTable1218[[#This Row],[Vendor]]=FilterSpecs!$A$8,MouserListTable1218[[#This Row],[Mouser SKU]], MouserListTable1218[[#This Row],[Supplier SKU]])</f>
        <v>COM-13999</v>
      </c>
      <c r="E52" s="121">
        <f>MouserListTable1218[[#This Row],[Tot '#]]-MouserListTable1218[[#This Row],['# Initial]]</f>
        <v>1</v>
      </c>
      <c r="F52" s="121">
        <f>MouserListTable1218[[#This Row],['#/Unit]]*FilterSpecs!$B$3+MouserListTable1218[[#This Row],[Extra Initial]]</f>
        <v>0</v>
      </c>
      <c r="G52" s="103" t="s">
        <v>1674</v>
      </c>
      <c r="H52" s="103" t="s">
        <v>1675</v>
      </c>
      <c r="I52" s="103" t="s">
        <v>1676</v>
      </c>
      <c r="J52" s="103"/>
      <c r="K52" s="157">
        <v>3.95</v>
      </c>
      <c r="L52" s="103" t="s">
        <v>1913</v>
      </c>
      <c r="M52" s="106"/>
      <c r="N52" s="157">
        <f>MouserListTable1218[[#This Row],['# Initial]]*MouserListTable1218[[#This Row],[Price (USD)]]</f>
        <v>0</v>
      </c>
      <c r="O52" s="106" t="s">
        <v>1673</v>
      </c>
      <c r="P52" s="103">
        <f t="shared" si="0"/>
        <v>39</v>
      </c>
      <c r="Q52" s="103" t="s">
        <v>8</v>
      </c>
      <c r="R5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474-COM-13999</v>
      </c>
      <c r="S52" s="121">
        <v>0</v>
      </c>
      <c r="T52" s="121">
        <v>1</v>
      </c>
      <c r="U52" s="121">
        <v>0</v>
      </c>
      <c r="V52" s="121">
        <f>MouserListTable1218[[#This Row],['#/Unit]]*FilterSpecs!$C$3+MouserListTable1218[[#This Row],[Extra]]</f>
        <v>1</v>
      </c>
      <c r="W52" s="121">
        <f>IF(MouserListTable1218[[#This Row],[Tag]]=FilterSpecs!$F$7,MouserListTable1218[[#This Row],[Price (USD)]],0)</f>
        <v>0</v>
      </c>
      <c r="X52" s="121">
        <f>MouserListTable1218[[#This Row],[Tot '#]]*MouserListTable1218[[#This Row],[Price (USD)]]</f>
        <v>3.95</v>
      </c>
    </row>
    <row r="53" spans="1:24" s="146" customFormat="1" x14ac:dyDescent="0.3">
      <c r="A53" s="103" t="s">
        <v>894</v>
      </c>
      <c r="B53" s="103" t="s">
        <v>2030</v>
      </c>
      <c r="C53" s="103" t="s">
        <v>8</v>
      </c>
      <c r="D53" s="106" t="str">
        <f>IF(MouserListTable1218[[#This Row],[Vendor]]=FilterSpecs!$A$8,MouserListTable1218[[#This Row],[Mouser SKU]], MouserListTable1218[[#This Row],[Supplier SKU]])</f>
        <v>COM-09938</v>
      </c>
      <c r="E53" s="121">
        <f>MouserListTable1218[[#This Row],[Tot '#]]-MouserListTable1218[[#This Row],['# Initial]]</f>
        <v>0</v>
      </c>
      <c r="F53" s="121">
        <f>MouserListTable1218[[#This Row],['#/Unit]]*FilterSpecs!$B$3+MouserListTable1218[[#This Row],[Extra Initial]]</f>
        <v>10</v>
      </c>
      <c r="G53" s="103" t="s">
        <v>1446</v>
      </c>
      <c r="H53" s="103" t="s">
        <v>1447</v>
      </c>
      <c r="I53" s="103" t="s">
        <v>1448</v>
      </c>
      <c r="J53" s="103">
        <v>1</v>
      </c>
      <c r="K53" s="157">
        <v>1.95</v>
      </c>
      <c r="L53" s="103" t="s">
        <v>1911</v>
      </c>
      <c r="M53" s="106"/>
      <c r="N53" s="157">
        <f>MouserListTable1218[[#This Row],['# Initial]]*MouserListTable1218[[#This Row],[Price (USD)]]</f>
        <v>19.5</v>
      </c>
      <c r="O53" s="106" t="s">
        <v>1445</v>
      </c>
      <c r="P53" s="103">
        <f t="shared" si="0"/>
        <v>40</v>
      </c>
      <c r="Q53" s="103" t="s">
        <v>8</v>
      </c>
      <c r="R5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474-COM-09938</v>
      </c>
      <c r="S53" s="121">
        <v>2</v>
      </c>
      <c r="T53" s="121">
        <v>0</v>
      </c>
      <c r="U53" s="121">
        <v>0</v>
      </c>
      <c r="V53" s="121">
        <f>MouserListTable1218[[#This Row],['#/Unit]]*FilterSpecs!$C$3+MouserListTable1218[[#This Row],[Extra]]</f>
        <v>10</v>
      </c>
      <c r="W53" s="121">
        <f>IF(MouserListTable1218[[#This Row],[Tag]]=FilterSpecs!$F$7,MouserListTable1218[[#This Row],[Price (USD)]],0)</f>
        <v>1.95</v>
      </c>
      <c r="X53" s="121">
        <f>MouserListTable1218[[#This Row],[Tot '#]]*MouserListTable1218[[#This Row],[Price (USD)]]</f>
        <v>19.5</v>
      </c>
    </row>
    <row r="54" spans="1:24" s="146" customFormat="1" x14ac:dyDescent="0.3">
      <c r="A54" s="103" t="s">
        <v>894</v>
      </c>
      <c r="B54" s="103" t="s">
        <v>2030</v>
      </c>
      <c r="C54" s="103" t="s">
        <v>8</v>
      </c>
      <c r="D54" s="106" t="str">
        <f>IF(MouserListTable1218[[#This Row],[Vendor]]=FilterSpecs!$A$8,MouserListTable1218[[#This Row],[Mouser SKU]], MouserListTable1218[[#This Row],[Supplier SKU]])</f>
        <v>BOB-13282</v>
      </c>
      <c r="E54" s="121">
        <f>MouserListTable1218[[#This Row],[Tot '#]]-MouserListTable1218[[#This Row],['# Initial]]</f>
        <v>2</v>
      </c>
      <c r="F54" s="121">
        <f>MouserListTable1218[[#This Row],['#/Unit]]*FilterSpecs!$B$3+MouserListTable1218[[#This Row],[Extra Initial]]</f>
        <v>0</v>
      </c>
      <c r="G54" s="103" t="s">
        <v>1137</v>
      </c>
      <c r="H54" s="103" t="s">
        <v>1138</v>
      </c>
      <c r="I54" s="103" t="s">
        <v>1139</v>
      </c>
      <c r="J54" s="103">
        <v>1</v>
      </c>
      <c r="K54" s="157">
        <v>2.95</v>
      </c>
      <c r="L54" s="103" t="s">
        <v>1910</v>
      </c>
      <c r="M54" s="106"/>
      <c r="N54" s="157">
        <f>MouserListTable1218[[#This Row],['# Initial]]*MouserListTable1218[[#This Row],[Price (USD)]]</f>
        <v>0</v>
      </c>
      <c r="O54" s="106" t="s">
        <v>1136</v>
      </c>
      <c r="P54" s="103">
        <f t="shared" si="0"/>
        <v>41</v>
      </c>
      <c r="Q54" s="103" t="s">
        <v>8</v>
      </c>
      <c r="R5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474-BOB-13282</v>
      </c>
      <c r="S54" s="121">
        <v>0</v>
      </c>
      <c r="T54" s="121">
        <v>2</v>
      </c>
      <c r="U54" s="121">
        <v>0</v>
      </c>
      <c r="V54" s="121">
        <f>MouserListTable1218[[#This Row],['#/Unit]]*FilterSpecs!$C$3+MouserListTable1218[[#This Row],[Extra]]</f>
        <v>2</v>
      </c>
      <c r="W54" s="121">
        <f>IF(MouserListTable1218[[#This Row],[Tag]]=FilterSpecs!$F$7,MouserListTable1218[[#This Row],[Price (USD)]],0)</f>
        <v>0</v>
      </c>
      <c r="X54" s="121">
        <f>MouserListTable1218[[#This Row],[Tot '#]]*MouserListTable1218[[#This Row],[Price (USD)]]</f>
        <v>5.9</v>
      </c>
    </row>
    <row r="55" spans="1:24" s="146" customFormat="1" x14ac:dyDescent="0.3">
      <c r="A55" s="103" t="s">
        <v>894</v>
      </c>
      <c r="B55" s="103" t="s">
        <v>2030</v>
      </c>
      <c r="C55" s="103" t="s">
        <v>8</v>
      </c>
      <c r="D55" s="106" t="str">
        <f>IF(MouserListTable1218[[#This Row],[Vendor]]=FilterSpecs!$A$8,MouserListTable1218[[#This Row],[Mouser SKU]], MouserListTable1218[[#This Row],[Supplier SKU]])</f>
        <v>BOB-13884</v>
      </c>
      <c r="E55" s="121">
        <f>MouserListTable1218[[#This Row],[Tot '#]]-MouserListTable1218[[#This Row],['# Initial]]</f>
        <v>0</v>
      </c>
      <c r="F55" s="121">
        <f>MouserListTable1218[[#This Row],['#/Unit]]*FilterSpecs!$B$3+MouserListTable1218[[#This Row],[Extra Initial]]</f>
        <v>5</v>
      </c>
      <c r="G55" s="103" t="s">
        <v>1133</v>
      </c>
      <c r="H55" s="103" t="s">
        <v>1134</v>
      </c>
      <c r="I55" s="103" t="s">
        <v>1135</v>
      </c>
      <c r="J55" s="103">
        <v>1</v>
      </c>
      <c r="K55" s="157">
        <v>7.95</v>
      </c>
      <c r="L55" s="103" t="s">
        <v>1911</v>
      </c>
      <c r="M55" s="106"/>
      <c r="N55" s="157">
        <f>MouserListTable1218[[#This Row],['# Initial]]*MouserListTable1218[[#This Row],[Price (USD)]]</f>
        <v>39.75</v>
      </c>
      <c r="O55" s="106" t="s">
        <v>1132</v>
      </c>
      <c r="P55" s="103">
        <f t="shared" si="0"/>
        <v>42</v>
      </c>
      <c r="Q55" s="103" t="s">
        <v>8</v>
      </c>
      <c r="R5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474-BOB-13884</v>
      </c>
      <c r="S55" s="121">
        <v>1</v>
      </c>
      <c r="T55" s="121">
        <v>0</v>
      </c>
      <c r="U55" s="121">
        <v>0</v>
      </c>
      <c r="V55" s="121">
        <f>MouserListTable1218[[#This Row],['#/Unit]]*FilterSpecs!$C$3+MouserListTable1218[[#This Row],[Extra]]</f>
        <v>5</v>
      </c>
      <c r="W55" s="121">
        <f>IF(MouserListTable1218[[#This Row],[Tag]]=FilterSpecs!$F$7,MouserListTable1218[[#This Row],[Price (USD)]],0)</f>
        <v>7.95</v>
      </c>
      <c r="X55" s="121">
        <f>MouserListTable1218[[#This Row],[Tot '#]]*MouserListTable1218[[#This Row],[Price (USD)]]</f>
        <v>39.75</v>
      </c>
    </row>
    <row r="56" spans="1:24" s="146" customFormat="1" x14ac:dyDescent="0.3">
      <c r="A56" s="103" t="s">
        <v>894</v>
      </c>
      <c r="B56" s="103" t="s">
        <v>2030</v>
      </c>
      <c r="C56" s="103" t="s">
        <v>8</v>
      </c>
      <c r="D56" s="106" t="str">
        <f>IF(MouserListTable1218[[#This Row],[Vendor]]=FilterSpecs!$A$8,MouserListTable1218[[#This Row],[Mouser SKU]], MouserListTable1218[[#This Row],[Supplier SKU]])</f>
        <v>COM-12661</v>
      </c>
      <c r="E56" s="121">
        <f>MouserListTable1218[[#This Row],[Tot '#]]-MouserListTable1218[[#This Row],['# Initial]]</f>
        <v>1</v>
      </c>
      <c r="F56" s="121">
        <f>MouserListTable1218[[#This Row],['#/Unit]]*FilterSpecs!$B$3+MouserListTable1218[[#This Row],[Extra Initial]]</f>
        <v>0</v>
      </c>
      <c r="G56" s="103" t="s">
        <v>121</v>
      </c>
      <c r="H56" s="103" t="s">
        <v>122</v>
      </c>
      <c r="I56" s="103" t="s">
        <v>123</v>
      </c>
      <c r="J56" s="103">
        <v>1</v>
      </c>
      <c r="K56" s="157">
        <v>5.95</v>
      </c>
      <c r="L56" s="103" t="s">
        <v>1910</v>
      </c>
      <c r="M56" s="106"/>
      <c r="N56" s="157">
        <f>MouserListTable1218[[#This Row],['# Initial]]*MouserListTable1218[[#This Row],[Price (USD)]]</f>
        <v>0</v>
      </c>
      <c r="O56" s="106" t="s">
        <v>120</v>
      </c>
      <c r="P56" s="103">
        <f t="shared" si="0"/>
        <v>43</v>
      </c>
      <c r="Q56" s="103" t="s">
        <v>8</v>
      </c>
      <c r="R5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474-COM-12661</v>
      </c>
      <c r="S56" s="121">
        <v>0</v>
      </c>
      <c r="T56" s="121">
        <v>1</v>
      </c>
      <c r="U56" s="121">
        <v>0</v>
      </c>
      <c r="V56" s="121">
        <f>MouserListTable1218[[#This Row],['#/Unit]]*FilterSpecs!$C$3+MouserListTable1218[[#This Row],[Extra]]</f>
        <v>1</v>
      </c>
      <c r="W56" s="121">
        <f>IF(MouserListTable1218[[#This Row],[Tag]]=FilterSpecs!$F$7,MouserListTable1218[[#This Row],[Price (USD)]],0)</f>
        <v>0</v>
      </c>
      <c r="X56" s="121">
        <f>MouserListTable1218[[#This Row],[Tot '#]]*MouserListTable1218[[#This Row],[Price (USD)]]</f>
        <v>5.95</v>
      </c>
    </row>
    <row r="57" spans="1:24" s="146" customFormat="1" x14ac:dyDescent="0.3">
      <c r="A57" s="103" t="s">
        <v>894</v>
      </c>
      <c r="B57" s="103" t="s">
        <v>2030</v>
      </c>
      <c r="C57" s="103" t="s">
        <v>8</v>
      </c>
      <c r="D57" s="106" t="str">
        <f>IF(MouserListTable1218[[#This Row],[Vendor]]=FilterSpecs!$A$8,MouserListTable1218[[#This Row],[Mouser SKU]], MouserListTable1218[[#This Row],[Supplier SKU]])</f>
        <v>COM-09637</v>
      </c>
      <c r="E57" s="121">
        <f>MouserListTable1218[[#This Row],[Tot '#]]-MouserListTable1218[[#This Row],['# Initial]]</f>
        <v>3</v>
      </c>
      <c r="F57" s="121">
        <f>MouserListTable1218[[#This Row],['#/Unit]]*FilterSpecs!$B$3+MouserListTable1218[[#This Row],[Extra Initial]]</f>
        <v>0</v>
      </c>
      <c r="G57" s="103" t="s">
        <v>125</v>
      </c>
      <c r="H57" s="103" t="s">
        <v>126</v>
      </c>
      <c r="I57" s="103" t="s">
        <v>127</v>
      </c>
      <c r="J57" s="103">
        <v>1</v>
      </c>
      <c r="K57" s="157">
        <v>4.95</v>
      </c>
      <c r="L57" s="103" t="s">
        <v>1910</v>
      </c>
      <c r="M57" s="106"/>
      <c r="N57" s="157">
        <f>MouserListTable1218[[#This Row],['# Initial]]*MouserListTable1218[[#This Row],[Price (USD)]]</f>
        <v>0</v>
      </c>
      <c r="O57" s="106" t="s">
        <v>124</v>
      </c>
      <c r="P57" s="103">
        <f t="shared" si="0"/>
        <v>44</v>
      </c>
      <c r="Q57" s="103" t="s">
        <v>8</v>
      </c>
      <c r="R5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474-COM-09637</v>
      </c>
      <c r="S57" s="121">
        <v>0</v>
      </c>
      <c r="T57" s="121">
        <v>3</v>
      </c>
      <c r="U57" s="121">
        <v>0</v>
      </c>
      <c r="V57" s="121">
        <f>MouserListTable1218[[#This Row],['#/Unit]]*FilterSpecs!$C$3+MouserListTable1218[[#This Row],[Extra]]</f>
        <v>3</v>
      </c>
      <c r="W57" s="121">
        <f>IF(MouserListTable1218[[#This Row],[Tag]]=FilterSpecs!$F$7,MouserListTable1218[[#This Row],[Price (USD)]],0)</f>
        <v>0</v>
      </c>
      <c r="X57" s="121">
        <f>MouserListTable1218[[#This Row],[Tot '#]]*MouserListTable1218[[#This Row],[Price (USD)]]</f>
        <v>14.850000000000001</v>
      </c>
    </row>
    <row r="58" spans="1:24" s="146" customFormat="1" x14ac:dyDescent="0.3">
      <c r="A58" s="103" t="s">
        <v>894</v>
      </c>
      <c r="B58" s="103" t="s">
        <v>2030</v>
      </c>
      <c r="C58" s="103" t="s">
        <v>1898</v>
      </c>
      <c r="D58" s="106" t="str">
        <f>IF(MouserListTable1218[[#This Row],[Vendor]]=FilterSpecs!$A$8,MouserListTable1218[[#This Row],[Mouser SKU]], MouserListTable1218[[#This Row],[Supplier SKU]])</f>
        <v>1621</v>
      </c>
      <c r="E58" s="121">
        <f>MouserListTable1218[[#This Row],[Tot '#]]-MouserListTable1218[[#This Row],['# Initial]]</f>
        <v>0</v>
      </c>
      <c r="F58" s="121">
        <f>MouserListTable1218[[#This Row],['#/Unit]]*FilterSpecs!$B$3+MouserListTable1218[[#This Row],[Extra Initial]]</f>
        <v>0</v>
      </c>
      <c r="G58" s="103"/>
      <c r="H58" s="103"/>
      <c r="I58" s="126" t="s">
        <v>2345</v>
      </c>
      <c r="K58" s="158">
        <v>2.95</v>
      </c>
      <c r="L58" s="126" t="s">
        <v>1910</v>
      </c>
      <c r="N58" s="157">
        <f>MouserListTable1218[[#This Row],['# Initial]]*MouserListTable1218[[#This Row],[Price (USD)]]</f>
        <v>0</v>
      </c>
      <c r="O58" s="106" t="s">
        <v>2344</v>
      </c>
      <c r="P58" s="103">
        <f t="shared" si="0"/>
        <v>45</v>
      </c>
      <c r="Q58" s="103" t="s">
        <v>1898</v>
      </c>
      <c r="R5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485-1621</v>
      </c>
      <c r="S58" s="121">
        <v>0</v>
      </c>
      <c r="T58" s="121">
        <v>0</v>
      </c>
      <c r="U58" s="121">
        <v>0</v>
      </c>
      <c r="V58" s="121">
        <f>MouserListTable1218[[#This Row],['#/Unit]]*FilterSpecs!$C$3+MouserListTable1218[[#This Row],[Extra]]</f>
        <v>0</v>
      </c>
      <c r="W58" s="121">
        <f>IF(MouserListTable1218[[#This Row],[Tag]]=FilterSpecs!$F$7,MouserListTable1218[[#This Row],[Price (USD)]],0)</f>
        <v>0</v>
      </c>
      <c r="X58" s="121">
        <f>MouserListTable1218[[#This Row],[Tot '#]]*MouserListTable1218[[#This Row],[Price (USD)]]</f>
        <v>0</v>
      </c>
    </row>
    <row r="59" spans="1:24" s="146" customFormat="1" x14ac:dyDescent="0.3">
      <c r="A59" s="103" t="s">
        <v>894</v>
      </c>
      <c r="B59" s="103" t="s">
        <v>2030</v>
      </c>
      <c r="C59" s="103" t="s">
        <v>1898</v>
      </c>
      <c r="D59" s="106" t="str">
        <f>IF(MouserListTable1218[[#This Row],[Vendor]]=FilterSpecs!$A$8,MouserListTable1218[[#This Row],[Mouser SKU]], MouserListTable1218[[#This Row],[Supplier SKU]])</f>
        <v>1622</v>
      </c>
      <c r="E59" s="121">
        <f>MouserListTable1218[[#This Row],[Tot '#]]-MouserListTable1218[[#This Row],['# Initial]]</f>
        <v>0</v>
      </c>
      <c r="F59" s="121">
        <f>MouserListTable1218[[#This Row],['#/Unit]]*FilterSpecs!$B$3+MouserListTable1218[[#This Row],[Extra Initial]]</f>
        <v>0</v>
      </c>
      <c r="G59" s="103"/>
      <c r="H59" s="103"/>
      <c r="I59" s="126" t="s">
        <v>2347</v>
      </c>
      <c r="K59" s="158">
        <v>2.5</v>
      </c>
      <c r="L59" s="126" t="s">
        <v>1910</v>
      </c>
      <c r="N59" s="157">
        <f>MouserListTable1218[[#This Row],['# Initial]]*MouserListTable1218[[#This Row],[Price (USD)]]</f>
        <v>0</v>
      </c>
      <c r="O59" s="106" t="s">
        <v>2346</v>
      </c>
      <c r="P59" s="103">
        <f t="shared" si="0"/>
        <v>46</v>
      </c>
      <c r="Q59" s="103" t="s">
        <v>1898</v>
      </c>
      <c r="R5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485-1622</v>
      </c>
      <c r="S59" s="121">
        <v>0</v>
      </c>
      <c r="T59" s="121">
        <v>0</v>
      </c>
      <c r="U59" s="121">
        <v>0</v>
      </c>
      <c r="V59" s="121">
        <f>MouserListTable1218[[#This Row],['#/Unit]]*FilterSpecs!$C$3+MouserListTable1218[[#This Row],[Extra]]</f>
        <v>0</v>
      </c>
      <c r="W59" s="121">
        <f>IF(MouserListTable1218[[#This Row],[Tag]]=FilterSpecs!$F$7,MouserListTable1218[[#This Row],[Price (USD)]],0)</f>
        <v>0</v>
      </c>
      <c r="X59" s="121">
        <f>MouserListTable1218[[#This Row],[Tot '#]]*MouserListTable1218[[#This Row],[Price (USD)]]</f>
        <v>0</v>
      </c>
    </row>
    <row r="60" spans="1:24" s="146" customFormat="1" x14ac:dyDescent="0.3">
      <c r="A60" s="103" t="s">
        <v>894</v>
      </c>
      <c r="B60" s="103" t="s">
        <v>1616</v>
      </c>
      <c r="C60" s="103" t="s">
        <v>8</v>
      </c>
      <c r="D60" s="106" t="str">
        <f>IF(MouserListTable1218[[#This Row],[Vendor]]=FilterSpecs!$A$8,MouserListTable1218[[#This Row],[Mouser SKU]], MouserListTable1218[[#This Row],[Supplier SKU]])</f>
        <v>DEV-11061</v>
      </c>
      <c r="E60" s="121">
        <f>MouserListTable1218[[#This Row],[Tot '#]]-MouserListTable1218[[#This Row],['# Initial]]</f>
        <v>0</v>
      </c>
      <c r="F60" s="121">
        <f>MouserListTable1218[[#This Row],['#/Unit]]*FilterSpecs!$B$3+MouserListTable1218[[#This Row],[Extra Initial]]</f>
        <v>5</v>
      </c>
      <c r="G60" s="103" t="s">
        <v>33</v>
      </c>
      <c r="H60" s="103" t="s">
        <v>34</v>
      </c>
      <c r="I60" s="103" t="s">
        <v>35</v>
      </c>
      <c r="J60" s="103">
        <v>1</v>
      </c>
      <c r="K60" s="157">
        <v>45.95</v>
      </c>
      <c r="L60" s="103" t="s">
        <v>1911</v>
      </c>
      <c r="M60" s="106"/>
      <c r="N60" s="157">
        <f>MouserListTable1218[[#This Row],['# Initial]]*MouserListTable1218[[#This Row],[Price (USD)]]</f>
        <v>229.75</v>
      </c>
      <c r="O60" s="106" t="s">
        <v>32</v>
      </c>
      <c r="P60" s="103">
        <f t="shared" si="0"/>
        <v>47</v>
      </c>
      <c r="Q60" s="103" t="s">
        <v>8</v>
      </c>
      <c r="R6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474-DEV-11061</v>
      </c>
      <c r="S60" s="121">
        <v>1</v>
      </c>
      <c r="T60" s="121">
        <v>0</v>
      </c>
      <c r="U60" s="121">
        <v>0</v>
      </c>
      <c r="V60" s="121">
        <f>MouserListTable1218[[#This Row],['#/Unit]]*FilterSpecs!$C$3+MouserListTable1218[[#This Row],[Extra]]</f>
        <v>5</v>
      </c>
      <c r="W60" s="121">
        <f>IF(MouserListTable1218[[#This Row],[Tag]]=FilterSpecs!$F$7,MouserListTable1218[[#This Row],[Price (USD)]],0)</f>
        <v>45.95</v>
      </c>
      <c r="X60" s="121">
        <f>MouserListTable1218[[#This Row],[Tot '#]]*MouserListTable1218[[#This Row],[Price (USD)]]</f>
        <v>229.75</v>
      </c>
    </row>
    <row r="61" spans="1:24" s="146" customFormat="1" x14ac:dyDescent="0.3">
      <c r="A61" s="126" t="s">
        <v>894</v>
      </c>
      <c r="B61" s="126" t="s">
        <v>2039</v>
      </c>
      <c r="C61" s="126" t="s">
        <v>8</v>
      </c>
      <c r="D61" s="106" t="str">
        <f>IF(MouserListTable1218[[#This Row],[Vendor]]=FilterSpecs!$A$8,MouserListTable1218[[#This Row],[Mouser SKU]], MouserListTable1218[[#This Row],[Supplier SKU]])</f>
        <v>TOL-12889</v>
      </c>
      <c r="E61" s="121">
        <f>MouserListTable1218[[#This Row],[Tot '#]]-MouserListTable1218[[#This Row],['# Initial]]</f>
        <v>0</v>
      </c>
      <c r="F61" s="121">
        <f>MouserListTable1218[[#This Row],['#/Unit]]*FilterSpecs!$B$3+MouserListTable1218[[#This Row],[Extra Initial]]</f>
        <v>0</v>
      </c>
      <c r="G61" s="103" t="s">
        <v>792</v>
      </c>
      <c r="H61" s="103" t="s">
        <v>793</v>
      </c>
      <c r="I61" s="103" t="s">
        <v>794</v>
      </c>
      <c r="J61" s="103">
        <v>1</v>
      </c>
      <c r="K61" s="157">
        <v>5.95</v>
      </c>
      <c r="L61" s="103" t="s">
        <v>1911</v>
      </c>
      <c r="N61" s="157">
        <f>MouserListTable1218[[#This Row],['# Initial]]*MouserListTable1218[[#This Row],[Price (USD)]]</f>
        <v>0</v>
      </c>
      <c r="O61" s="106" t="s">
        <v>791</v>
      </c>
      <c r="P61" s="103">
        <f t="shared" si="0"/>
        <v>48</v>
      </c>
      <c r="Q61" s="103" t="s">
        <v>8</v>
      </c>
      <c r="R6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474-TOL-12889</v>
      </c>
      <c r="S61" s="121">
        <v>0</v>
      </c>
      <c r="T61" s="121">
        <v>0</v>
      </c>
      <c r="U61" s="121">
        <v>0</v>
      </c>
      <c r="V61" s="121">
        <f>MouserListTable1218[[#This Row],['#/Unit]]*FilterSpecs!$C$3+MouserListTable1218[[#This Row],[Extra]]</f>
        <v>0</v>
      </c>
      <c r="W61" s="121">
        <f>IF(MouserListTable1218[[#This Row],[Tag]]=FilterSpecs!$F$7,MouserListTable1218[[#This Row],[Price (USD)]],0)</f>
        <v>5.95</v>
      </c>
      <c r="X61" s="121">
        <f>MouserListTable1218[[#This Row],[Tot '#]]*MouserListTable1218[[#This Row],[Price (USD)]]</f>
        <v>0</v>
      </c>
    </row>
    <row r="62" spans="1:24" s="146" customFormat="1" x14ac:dyDescent="0.3">
      <c r="A62" s="126" t="s">
        <v>894</v>
      </c>
      <c r="B62" s="126" t="s">
        <v>2039</v>
      </c>
      <c r="C62" s="126" t="s">
        <v>8</v>
      </c>
      <c r="D62" s="106" t="str">
        <f>IF(MouserListTable1218[[#This Row],[Vendor]]=FilterSpecs!$A$8,MouserListTable1218[[#This Row],[Mouser SKU]], MouserListTable1218[[#This Row],[Supplier SKU]])</f>
        <v>TOL-09442</v>
      </c>
      <c r="E62" s="121">
        <f>MouserListTable1218[[#This Row],[Tot '#]]-MouserListTable1218[[#This Row],['# Initial]]</f>
        <v>0</v>
      </c>
      <c r="F62" s="121">
        <f>MouserListTable1218[[#This Row],['#/Unit]]*FilterSpecs!$B$3+MouserListTable1218[[#This Row],[Extra Initial]]</f>
        <v>0</v>
      </c>
      <c r="G62" s="103" t="s">
        <v>1780</v>
      </c>
      <c r="H62" s="103" t="s">
        <v>1781</v>
      </c>
      <c r="I62" s="103" t="s">
        <v>1782</v>
      </c>
      <c r="J62" s="103">
        <v>1</v>
      </c>
      <c r="K62" s="157">
        <v>5.95</v>
      </c>
      <c r="L62" s="103" t="s">
        <v>1913</v>
      </c>
      <c r="N62" s="157">
        <f>MouserListTable1218[[#This Row],['# Initial]]*MouserListTable1218[[#This Row],[Price (USD)]]</f>
        <v>0</v>
      </c>
      <c r="O62" s="106" t="s">
        <v>1779</v>
      </c>
      <c r="P62" s="103">
        <f t="shared" si="0"/>
        <v>49</v>
      </c>
      <c r="Q62" s="103" t="s">
        <v>8</v>
      </c>
      <c r="R6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474-TOL-09442</v>
      </c>
      <c r="S62" s="121">
        <v>0</v>
      </c>
      <c r="T62" s="121">
        <v>0</v>
      </c>
      <c r="U62" s="121">
        <v>0</v>
      </c>
      <c r="V62" s="121">
        <f>MouserListTable1218[[#This Row],['#/Unit]]*FilterSpecs!$C$3+MouserListTable1218[[#This Row],[Extra]]</f>
        <v>0</v>
      </c>
      <c r="W62" s="121">
        <f>IF(MouserListTable1218[[#This Row],[Tag]]=FilterSpecs!$F$7,MouserListTable1218[[#This Row],[Price (USD)]],0)</f>
        <v>0</v>
      </c>
      <c r="X62" s="121">
        <f>MouserListTable1218[[#This Row],[Tot '#]]*MouserListTable1218[[#This Row],[Price (USD)]]</f>
        <v>0</v>
      </c>
    </row>
    <row r="63" spans="1:24" s="146" customFormat="1" x14ac:dyDescent="0.3">
      <c r="A63" s="126" t="s">
        <v>894</v>
      </c>
      <c r="B63" s="126" t="s">
        <v>2039</v>
      </c>
      <c r="C63" s="126" t="s">
        <v>1898</v>
      </c>
      <c r="D63" s="106" t="str">
        <f>IF(MouserListTable1218[[#This Row],[Vendor]]=FilterSpecs!$A$8,MouserListTable1218[[#This Row],[Mouser SKU]], MouserListTable1218[[#This Row],[Supplier SKU]])</f>
        <v>276</v>
      </c>
      <c r="E63" s="121">
        <f>MouserListTable1218[[#This Row],[Tot '#]]-MouserListTable1218[[#This Row],['# Initial]]</f>
        <v>0</v>
      </c>
      <c r="F63" s="121">
        <f>MouserListTable1218[[#This Row],['#/Unit]]*FilterSpecs!$B$3+MouserListTable1218[[#This Row],[Extra Initial]]</f>
        <v>0</v>
      </c>
      <c r="G63" s="103"/>
      <c r="H63" s="103"/>
      <c r="I63" s="103" t="s">
        <v>2284</v>
      </c>
      <c r="J63" s="103"/>
      <c r="K63" s="157">
        <v>7.95</v>
      </c>
      <c r="L63" s="103" t="s">
        <v>1910</v>
      </c>
      <c r="N63" s="157">
        <f>MouserListTable1218[[#This Row],['# Initial]]*MouserListTable1218[[#This Row],[Price (USD)]]</f>
        <v>0</v>
      </c>
      <c r="O63" s="106" t="s">
        <v>2283</v>
      </c>
      <c r="P63" s="103">
        <f t="shared" si="0"/>
        <v>50</v>
      </c>
      <c r="Q63" s="103" t="s">
        <v>1898</v>
      </c>
      <c r="R6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485-276</v>
      </c>
      <c r="S63" s="121">
        <v>0</v>
      </c>
      <c r="T63" s="121">
        <v>0</v>
      </c>
      <c r="U63" s="121">
        <v>0</v>
      </c>
      <c r="V63" s="121">
        <f>MouserListTable1218[[#This Row],['#/Unit]]*FilterSpecs!$C$3+MouserListTable1218[[#This Row],[Extra]]</f>
        <v>0</v>
      </c>
      <c r="W63" s="121">
        <f>IF(MouserListTable1218[[#This Row],[Tag]]=FilterSpecs!$F$7,MouserListTable1218[[#This Row],[Price (USD)]],0)</f>
        <v>0</v>
      </c>
      <c r="X63" s="121">
        <f>MouserListTable1218[[#This Row],[Tot '#]]*MouserListTable1218[[#This Row],[Price (USD)]]</f>
        <v>0</v>
      </c>
    </row>
    <row r="64" spans="1:24" s="146" customFormat="1" x14ac:dyDescent="0.3">
      <c r="A64" s="126" t="s">
        <v>894</v>
      </c>
      <c r="B64" s="126" t="s">
        <v>2039</v>
      </c>
      <c r="C64" s="126" t="s">
        <v>1898</v>
      </c>
      <c r="D64" s="106" t="str">
        <f>IF(MouserListTable1218[[#This Row],[Vendor]]=FilterSpecs!$A$8,MouserListTable1218[[#This Row],[Mouser SKU]], MouserListTable1218[[#This Row],[Supplier SKU]])</f>
        <v>1448</v>
      </c>
      <c r="E64" s="121">
        <f>MouserListTable1218[[#This Row],[Tot '#]]-MouserListTable1218[[#This Row],['# Initial]]</f>
        <v>0</v>
      </c>
      <c r="F64" s="121">
        <f>MouserListTable1218[[#This Row],['#/Unit]]*FilterSpecs!$B$3+MouserListTable1218[[#This Row],[Extra Initial]]</f>
        <v>0</v>
      </c>
      <c r="G64" s="103"/>
      <c r="H64" s="103"/>
      <c r="I64" s="103" t="s">
        <v>2286</v>
      </c>
      <c r="J64" s="103"/>
      <c r="K64" s="157">
        <v>14.95</v>
      </c>
      <c r="L64" s="103" t="s">
        <v>1910</v>
      </c>
      <c r="N64" s="157">
        <f>MouserListTable1218[[#This Row],['# Initial]]*MouserListTable1218[[#This Row],[Price (USD)]]</f>
        <v>0</v>
      </c>
      <c r="O64" s="106" t="s">
        <v>2285</v>
      </c>
      <c r="P64" s="103">
        <f t="shared" si="0"/>
        <v>51</v>
      </c>
      <c r="Q64" s="103" t="s">
        <v>1898</v>
      </c>
      <c r="R6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485-1448</v>
      </c>
      <c r="S64" s="121">
        <v>0</v>
      </c>
      <c r="T64" s="121">
        <v>0</v>
      </c>
      <c r="U64" s="121">
        <v>0</v>
      </c>
      <c r="V64" s="121">
        <f>MouserListTable1218[[#This Row],['#/Unit]]*FilterSpecs!$C$3+MouserListTable1218[[#This Row],[Extra]]</f>
        <v>0</v>
      </c>
      <c r="W64" s="121">
        <f>IF(MouserListTable1218[[#This Row],[Tag]]=FilterSpecs!$F$7,MouserListTable1218[[#This Row],[Price (USD)]],0)</f>
        <v>0</v>
      </c>
      <c r="X64" s="121">
        <f>MouserListTable1218[[#This Row],[Tot '#]]*MouserListTable1218[[#This Row],[Price (USD)]]</f>
        <v>0</v>
      </c>
    </row>
    <row r="65" spans="1:24" s="146" customFormat="1" x14ac:dyDescent="0.3">
      <c r="A65" s="103" t="s">
        <v>894</v>
      </c>
      <c r="B65" s="103" t="s">
        <v>2043</v>
      </c>
      <c r="C65" s="103" t="s">
        <v>8</v>
      </c>
      <c r="D65" s="106" t="str">
        <f>IF(MouserListTable1218[[#This Row],[Vendor]]=FilterSpecs!$A$8,MouserListTable1218[[#This Row],[Mouser SKU]], MouserListTable1218[[#This Row],[Supplier SKU]])</f>
        <v>COM-11707</v>
      </c>
      <c r="E65" s="121">
        <f>MouserListTable1218[[#This Row],[Tot '#]]-MouserListTable1218[[#This Row],['# Initial]]</f>
        <v>0</v>
      </c>
      <c r="F65" s="121">
        <f>MouserListTable1218[[#This Row],['#/Unit]]*FilterSpecs!$B$3+MouserListTable1218[[#This Row],[Extra Initial]]</f>
        <v>5</v>
      </c>
      <c r="G65" s="103" t="s">
        <v>388</v>
      </c>
      <c r="H65" s="103" t="s">
        <v>389</v>
      </c>
      <c r="I65" s="103" t="s">
        <v>390</v>
      </c>
      <c r="J65" s="103"/>
      <c r="K65" s="157">
        <v>1.95</v>
      </c>
      <c r="L65" s="103" t="s">
        <v>1911</v>
      </c>
      <c r="M65" s="106"/>
      <c r="N65" s="157">
        <f>MouserListTable1218[[#This Row],['# Initial]]*MouserListTable1218[[#This Row],[Price (USD)]]</f>
        <v>9.75</v>
      </c>
      <c r="O65" s="106" t="s">
        <v>387</v>
      </c>
      <c r="P65" s="103">
        <f t="shared" si="0"/>
        <v>52</v>
      </c>
      <c r="Q65" s="103" t="s">
        <v>8</v>
      </c>
      <c r="R6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474-COM-11707</v>
      </c>
      <c r="S65" s="121">
        <v>1</v>
      </c>
      <c r="T65" s="121">
        <v>0</v>
      </c>
      <c r="U65" s="121">
        <v>0</v>
      </c>
      <c r="V65" s="121">
        <f>MouserListTable1218[[#This Row],['#/Unit]]*FilterSpecs!$C$3+MouserListTable1218[[#This Row],[Extra]]</f>
        <v>5</v>
      </c>
      <c r="W65" s="121">
        <f>IF(MouserListTable1218[[#This Row],[Tag]]=FilterSpecs!$F$7,MouserListTable1218[[#This Row],[Price (USD)]],0)</f>
        <v>1.95</v>
      </c>
      <c r="X65" s="121">
        <f>MouserListTable1218[[#This Row],[Tot '#]]*MouserListTable1218[[#This Row],[Price (USD)]]</f>
        <v>9.75</v>
      </c>
    </row>
    <row r="66" spans="1:24" s="146" customFormat="1" x14ac:dyDescent="0.3">
      <c r="A66" s="103" t="s">
        <v>894</v>
      </c>
      <c r="B66" s="103" t="s">
        <v>2043</v>
      </c>
      <c r="C66" s="103" t="s">
        <v>8</v>
      </c>
      <c r="D66" s="106" t="str">
        <f>IF(MouserListTable1218[[#This Row],[Vendor]]=FilterSpecs!$A$8,MouserListTable1218[[#This Row],[Mouser SKU]], MouserListTable1218[[#This Row],[Supplier SKU]])</f>
        <v>TOL-08734</v>
      </c>
      <c r="E66" s="121">
        <f>MouserListTable1218[[#This Row],[Tot '#]]-MouserListTable1218[[#This Row],['# Initial]]</f>
        <v>0</v>
      </c>
      <c r="F66" s="121">
        <f>MouserListTable1218[[#This Row],['#/Unit]]*FilterSpecs!$B$3+MouserListTable1218[[#This Row],[Extra Initial]]</f>
        <v>5</v>
      </c>
      <c r="G66" s="103" t="s">
        <v>804</v>
      </c>
      <c r="H66" s="103" t="s">
        <v>805</v>
      </c>
      <c r="I66" s="103" t="s">
        <v>806</v>
      </c>
      <c r="J66" s="103">
        <v>1</v>
      </c>
      <c r="K66" s="157">
        <v>2.95</v>
      </c>
      <c r="L66" s="103" t="s">
        <v>1911</v>
      </c>
      <c r="M66" s="106"/>
      <c r="N66" s="157">
        <f>MouserListTable1218[[#This Row],['# Initial]]*MouserListTable1218[[#This Row],[Price (USD)]]</f>
        <v>14.75</v>
      </c>
      <c r="O66" s="106" t="s">
        <v>803</v>
      </c>
      <c r="P66" s="103">
        <f t="shared" si="0"/>
        <v>53</v>
      </c>
      <c r="Q66" s="103" t="s">
        <v>8</v>
      </c>
      <c r="R6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474-TOL-08734</v>
      </c>
      <c r="S66" s="121">
        <v>1</v>
      </c>
      <c r="T66" s="121">
        <v>0</v>
      </c>
      <c r="U66" s="121">
        <v>0</v>
      </c>
      <c r="V66" s="121">
        <f>MouserListTable1218[[#This Row],['#/Unit]]*FilterSpecs!$C$3+MouserListTable1218[[#This Row],[Extra]]</f>
        <v>5</v>
      </c>
      <c r="W66" s="121">
        <f>IF(MouserListTable1218[[#This Row],[Tag]]=FilterSpecs!$F$7,MouserListTable1218[[#This Row],[Price (USD)]],0)</f>
        <v>2.95</v>
      </c>
      <c r="X66" s="121">
        <f>MouserListTable1218[[#This Row],[Tot '#]]*MouserListTable1218[[#This Row],[Price (USD)]]</f>
        <v>14.75</v>
      </c>
    </row>
    <row r="67" spans="1:24" s="146" customFormat="1" x14ac:dyDescent="0.3">
      <c r="A67" s="103" t="s">
        <v>894</v>
      </c>
      <c r="B67" s="103" t="s">
        <v>2043</v>
      </c>
      <c r="C67" s="103" t="s">
        <v>8</v>
      </c>
      <c r="D67" s="106" t="str">
        <f>IF(MouserListTable1218[[#This Row],[Vendor]]=FilterSpecs!$A$8,MouserListTable1218[[#This Row],[Mouser SKU]], MouserListTable1218[[#This Row],[Supplier SKU]])</f>
        <v>TOL-08639</v>
      </c>
      <c r="E67" s="121">
        <f>MouserListTable1218[[#This Row],[Tot '#]]-MouserListTable1218[[#This Row],['# Initial]]</f>
        <v>0</v>
      </c>
      <c r="F67" s="121">
        <f>MouserListTable1218[[#This Row],['#/Unit]]*FilterSpecs!$B$3+MouserListTable1218[[#This Row],[Extra Initial]]</f>
        <v>5</v>
      </c>
      <c r="G67" s="103" t="s">
        <v>462</v>
      </c>
      <c r="H67" s="103" t="s">
        <v>463</v>
      </c>
      <c r="I67" s="103" t="s">
        <v>464</v>
      </c>
      <c r="J67" s="103">
        <v>1</v>
      </c>
      <c r="K67" s="157">
        <v>2.95</v>
      </c>
      <c r="L67" s="103" t="s">
        <v>1911</v>
      </c>
      <c r="M67" s="106"/>
      <c r="N67" s="157">
        <f>MouserListTable1218[[#This Row],['# Initial]]*MouserListTable1218[[#This Row],[Price (USD)]]</f>
        <v>14.75</v>
      </c>
      <c r="O67" s="106" t="s">
        <v>461</v>
      </c>
      <c r="P67" s="103">
        <f t="shared" si="0"/>
        <v>54</v>
      </c>
      <c r="Q67" s="103" t="s">
        <v>8</v>
      </c>
      <c r="R6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474-TOL-08639</v>
      </c>
      <c r="S67" s="121">
        <v>1</v>
      </c>
      <c r="T67" s="121">
        <v>0</v>
      </c>
      <c r="U67" s="121">
        <v>0</v>
      </c>
      <c r="V67" s="121">
        <f>MouserListTable1218[[#This Row],['#/Unit]]*FilterSpecs!$C$3+MouserListTable1218[[#This Row],[Extra]]</f>
        <v>5</v>
      </c>
      <c r="W67" s="121">
        <f>IF(MouserListTable1218[[#This Row],[Tag]]=FilterSpecs!$F$7,MouserListTable1218[[#This Row],[Price (USD)]],0)</f>
        <v>2.95</v>
      </c>
      <c r="X67" s="121">
        <f>MouserListTable1218[[#This Row],[Tot '#]]*MouserListTable1218[[#This Row],[Price (USD)]]</f>
        <v>14.75</v>
      </c>
    </row>
    <row r="68" spans="1:24" s="146" customFormat="1" x14ac:dyDescent="0.3">
      <c r="A68" s="103" t="s">
        <v>894</v>
      </c>
      <c r="B68" s="103" t="s">
        <v>2043</v>
      </c>
      <c r="C68" s="103" t="s">
        <v>8</v>
      </c>
      <c r="D68" s="106" t="str">
        <f>IF(MouserListTable1218[[#This Row],[Vendor]]=FilterSpecs!$A$8,MouserListTable1218[[#This Row],[Mouser SKU]], MouserListTable1218[[#This Row],[Supplier SKU]])</f>
        <v>COM-11705</v>
      </c>
      <c r="E68" s="121">
        <f>MouserListTable1218[[#This Row],[Tot '#]]-MouserListTable1218[[#This Row],['# Initial]]</f>
        <v>0</v>
      </c>
      <c r="F68" s="121">
        <f>MouserListTable1218[[#This Row],['#/Unit]]*FilterSpecs!$B$3+MouserListTable1218[[#This Row],[Extra Initial]]</f>
        <v>5</v>
      </c>
      <c r="G68" s="103" t="s">
        <v>812</v>
      </c>
      <c r="H68" s="103" t="s">
        <v>813</v>
      </c>
      <c r="I68" s="103" t="s">
        <v>814</v>
      </c>
      <c r="J68" s="103"/>
      <c r="K68" s="157">
        <v>2.5</v>
      </c>
      <c r="L68" s="106" t="s">
        <v>1911</v>
      </c>
      <c r="M68" s="106"/>
      <c r="N68" s="157">
        <f>MouserListTable1218[[#This Row],['# Initial]]*MouserListTable1218[[#This Row],[Price (USD)]]</f>
        <v>12.5</v>
      </c>
      <c r="O68" s="106" t="s">
        <v>811</v>
      </c>
      <c r="P68" s="103">
        <f t="shared" si="0"/>
        <v>55</v>
      </c>
      <c r="Q68" s="103" t="s">
        <v>8</v>
      </c>
      <c r="R6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474-COM-11705</v>
      </c>
      <c r="S68" s="121">
        <v>1</v>
      </c>
      <c r="T68" s="121">
        <v>0</v>
      </c>
      <c r="U68" s="121">
        <v>0</v>
      </c>
      <c r="V68" s="121">
        <f>MouserListTable1218[[#This Row],['#/Unit]]*FilterSpecs!$C$3+MouserListTable1218[[#This Row],[Extra]]</f>
        <v>5</v>
      </c>
      <c r="W68" s="121">
        <f>IF(MouserListTable1218[[#This Row],[Tag]]=FilterSpecs!$F$7,MouserListTable1218[[#This Row],[Price (USD)]],0)</f>
        <v>2.5</v>
      </c>
      <c r="X68" s="121">
        <f>MouserListTable1218[[#This Row],[Tot '#]]*MouserListTable1218[[#This Row],[Price (USD)]]</f>
        <v>12.5</v>
      </c>
    </row>
    <row r="69" spans="1:24" s="146" customFormat="1" x14ac:dyDescent="0.3">
      <c r="A69" s="103" t="s">
        <v>894</v>
      </c>
      <c r="B69" s="103" t="s">
        <v>2043</v>
      </c>
      <c r="C69" s="103" t="s">
        <v>1898</v>
      </c>
      <c r="D69" s="106" t="str">
        <f>IF(MouserListTable1218[[#This Row],[Vendor]]=FilterSpecs!$A$8,MouserListTable1218[[#This Row],[Mouser SKU]], MouserListTable1218[[#This Row],[Supplier SKU]])</f>
        <v>327</v>
      </c>
      <c r="E69" s="121">
        <f>MouserListTable1218[[#This Row],[Tot '#]]-MouserListTable1218[[#This Row],['# Initial]]</f>
        <v>0</v>
      </c>
      <c r="F69" s="121">
        <f>MouserListTable1218[[#This Row],['#/Unit]]*FilterSpecs!$B$3+MouserListTable1218[[#This Row],[Extra Initial]]</f>
        <v>0</v>
      </c>
      <c r="G69" s="103"/>
      <c r="H69" s="103"/>
      <c r="I69" s="126" t="s">
        <v>2274</v>
      </c>
      <c r="K69" s="158">
        <v>2.95</v>
      </c>
      <c r="L69" s="126" t="s">
        <v>1910</v>
      </c>
      <c r="N69" s="157">
        <f>MouserListTable1218[[#This Row],['# Initial]]*MouserListTable1218[[#This Row],[Price (USD)]]</f>
        <v>0</v>
      </c>
      <c r="O69" s="106" t="s">
        <v>2273</v>
      </c>
      <c r="P69" s="103">
        <f t="shared" si="0"/>
        <v>56</v>
      </c>
      <c r="Q69" s="103" t="s">
        <v>1898</v>
      </c>
      <c r="R6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485-327</v>
      </c>
      <c r="S69" s="121">
        <v>0</v>
      </c>
      <c r="T69" s="121">
        <v>0</v>
      </c>
      <c r="U69" s="121">
        <v>0</v>
      </c>
      <c r="V69" s="121">
        <f>MouserListTable1218[[#This Row],['#/Unit]]*FilterSpecs!$C$3+MouserListTable1218[[#This Row],[Extra]]</f>
        <v>0</v>
      </c>
      <c r="W69" s="121">
        <f>IF(MouserListTable1218[[#This Row],[Tag]]=FilterSpecs!$F$7,MouserListTable1218[[#This Row],[Price (USD)]],0)</f>
        <v>0</v>
      </c>
      <c r="X69" s="121">
        <f>MouserListTable1218[[#This Row],[Tot '#]]*MouserListTable1218[[#This Row],[Price (USD)]]</f>
        <v>0</v>
      </c>
    </row>
    <row r="70" spans="1:24" s="146" customFormat="1" x14ac:dyDescent="0.3">
      <c r="A70" s="103" t="s">
        <v>894</v>
      </c>
      <c r="B70" s="103" t="s">
        <v>2043</v>
      </c>
      <c r="C70" s="103" t="s">
        <v>1898</v>
      </c>
      <c r="D70" s="106" t="str">
        <f>IF(MouserListTable1218[[#This Row],[Vendor]]=FilterSpecs!$A$8,MouserListTable1218[[#This Row],[Mouser SKU]], MouserListTable1218[[#This Row],[Supplier SKU]])</f>
        <v>411</v>
      </c>
      <c r="E70" s="121">
        <f>MouserListTable1218[[#This Row],[Tot '#]]-MouserListTable1218[[#This Row],['# Initial]]</f>
        <v>1</v>
      </c>
      <c r="F70" s="121">
        <f>MouserListTable1218[[#This Row],['#/Unit]]*FilterSpecs!$B$3+MouserListTable1218[[#This Row],[Extra Initial]]</f>
        <v>0</v>
      </c>
      <c r="G70" s="103"/>
      <c r="H70" s="103"/>
      <c r="I70" s="103" t="s">
        <v>2276</v>
      </c>
      <c r="K70" s="157">
        <v>2.5</v>
      </c>
      <c r="L70" s="103" t="s">
        <v>1910</v>
      </c>
      <c r="M70" s="106"/>
      <c r="N70" s="157">
        <f>MouserListTable1218[[#This Row],['# Initial]]*MouserListTable1218[[#This Row],[Price (USD)]]</f>
        <v>0</v>
      </c>
      <c r="O70" s="106" t="s">
        <v>2275</v>
      </c>
      <c r="P70" s="103">
        <f t="shared" si="0"/>
        <v>57</v>
      </c>
      <c r="Q70" s="103" t="s">
        <v>1898</v>
      </c>
      <c r="R7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485-411</v>
      </c>
      <c r="S70" s="121">
        <v>0</v>
      </c>
      <c r="T70" s="121">
        <v>1</v>
      </c>
      <c r="U70" s="121">
        <v>0</v>
      </c>
      <c r="V70" s="121">
        <f>MouserListTable1218[[#This Row],['#/Unit]]*FilterSpecs!$C$3+MouserListTable1218[[#This Row],[Extra]]</f>
        <v>1</v>
      </c>
      <c r="W70" s="121">
        <f>IF(MouserListTable1218[[#This Row],[Tag]]=FilterSpecs!$F$7,MouserListTable1218[[#This Row],[Price (USD)]],0)</f>
        <v>0</v>
      </c>
      <c r="X70" s="121">
        <f>MouserListTable1218[[#This Row],[Tot '#]]*MouserListTable1218[[#This Row],[Price (USD)]]</f>
        <v>2.5</v>
      </c>
    </row>
    <row r="71" spans="1:24" s="146" customFormat="1" x14ac:dyDescent="0.3">
      <c r="A71" s="103" t="s">
        <v>894</v>
      </c>
      <c r="B71" s="103" t="s">
        <v>2043</v>
      </c>
      <c r="C71" s="103" t="s">
        <v>1898</v>
      </c>
      <c r="D71" s="106" t="str">
        <f>IF(MouserListTable1218[[#This Row],[Vendor]]=FilterSpecs!$A$8,MouserListTable1218[[#This Row],[Mouser SKU]], MouserListTable1218[[#This Row],[Supplier SKU]])</f>
        <v>2897</v>
      </c>
      <c r="E71" s="121">
        <f>MouserListTable1218[[#This Row],[Tot '#]]-MouserListTable1218[[#This Row],['# Initial]]</f>
        <v>1</v>
      </c>
      <c r="F71" s="121">
        <f>MouserListTable1218[[#This Row],['#/Unit]]*FilterSpecs!$B$3+MouserListTable1218[[#This Row],[Extra Initial]]</f>
        <v>0</v>
      </c>
      <c r="G71" s="103"/>
      <c r="H71" s="103"/>
      <c r="I71" s="103" t="s">
        <v>2278</v>
      </c>
      <c r="K71" s="157">
        <v>0.95</v>
      </c>
      <c r="L71" s="103" t="s">
        <v>1910</v>
      </c>
      <c r="M71" s="106"/>
      <c r="N71" s="157">
        <f>MouserListTable1218[[#This Row],['# Initial]]*MouserListTable1218[[#This Row],[Price (USD)]]</f>
        <v>0</v>
      </c>
      <c r="O71" s="106" t="s">
        <v>2277</v>
      </c>
      <c r="P71" s="103">
        <f t="shared" si="0"/>
        <v>58</v>
      </c>
      <c r="Q71" s="103" t="s">
        <v>1898</v>
      </c>
      <c r="R7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485-2897</v>
      </c>
      <c r="S71" s="121">
        <v>0</v>
      </c>
      <c r="T71" s="121">
        <v>1</v>
      </c>
      <c r="U71" s="121">
        <v>0</v>
      </c>
      <c r="V71" s="121">
        <f>MouserListTable1218[[#This Row],['#/Unit]]*FilterSpecs!$C$3+MouserListTable1218[[#This Row],[Extra]]</f>
        <v>1</v>
      </c>
      <c r="W71" s="121">
        <f>IF(MouserListTable1218[[#This Row],[Tag]]=FilterSpecs!$F$7,MouserListTable1218[[#This Row],[Price (USD)]],0)</f>
        <v>0</v>
      </c>
      <c r="X71" s="121">
        <f>MouserListTable1218[[#This Row],[Tot '#]]*MouserListTable1218[[#This Row],[Price (USD)]]</f>
        <v>0.95</v>
      </c>
    </row>
    <row r="72" spans="1:24" s="146" customFormat="1" x14ac:dyDescent="0.3">
      <c r="A72" s="103" t="s">
        <v>894</v>
      </c>
      <c r="B72" s="103" t="s">
        <v>2043</v>
      </c>
      <c r="C72" s="103" t="s">
        <v>1898</v>
      </c>
      <c r="D72" s="106" t="str">
        <f>IF(MouserListTable1218[[#This Row],[Vendor]]=FilterSpecs!$A$8,MouserListTable1218[[#This Row],[Mouser SKU]], MouserListTable1218[[#This Row],[Supplier SKU]])</f>
        <v>2788</v>
      </c>
      <c r="E72" s="121">
        <f>MouserListTable1218[[#This Row],[Tot '#]]-MouserListTable1218[[#This Row],['# Initial]]</f>
        <v>1</v>
      </c>
      <c r="F72" s="121">
        <f>MouserListTable1218[[#This Row],['#/Unit]]*FilterSpecs!$B$3+MouserListTable1218[[#This Row],[Extra Initial]]</f>
        <v>0</v>
      </c>
      <c r="G72" s="103"/>
      <c r="H72" s="103"/>
      <c r="I72" s="103" t="s">
        <v>2280</v>
      </c>
      <c r="K72" s="157">
        <v>0.95</v>
      </c>
      <c r="L72" s="103" t="s">
        <v>1910</v>
      </c>
      <c r="M72" s="106"/>
      <c r="N72" s="157">
        <f>MouserListTable1218[[#This Row],['# Initial]]*MouserListTable1218[[#This Row],[Price (USD)]]</f>
        <v>0</v>
      </c>
      <c r="O72" s="106" t="s">
        <v>2279</v>
      </c>
      <c r="P72" s="103">
        <f t="shared" si="0"/>
        <v>59</v>
      </c>
      <c r="Q72" s="103" t="s">
        <v>1898</v>
      </c>
      <c r="R7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485-2788</v>
      </c>
      <c r="S72" s="121">
        <v>0</v>
      </c>
      <c r="T72" s="121">
        <v>1</v>
      </c>
      <c r="U72" s="121">
        <v>0</v>
      </c>
      <c r="V72" s="121">
        <f>MouserListTable1218[[#This Row],['#/Unit]]*FilterSpecs!$C$3+MouserListTable1218[[#This Row],[Extra]]</f>
        <v>1</v>
      </c>
      <c r="W72" s="121">
        <f>IF(MouserListTable1218[[#This Row],[Tag]]=FilterSpecs!$F$7,MouserListTable1218[[#This Row],[Price (USD)]],0)</f>
        <v>0</v>
      </c>
      <c r="X72" s="121">
        <f>MouserListTable1218[[#This Row],[Tot '#]]*MouserListTable1218[[#This Row],[Price (USD)]]</f>
        <v>0.95</v>
      </c>
    </row>
    <row r="73" spans="1:24" s="146" customFormat="1" x14ac:dyDescent="0.3">
      <c r="A73" s="103" t="s">
        <v>894</v>
      </c>
      <c r="B73" s="103" t="s">
        <v>2045</v>
      </c>
      <c r="C73" s="103" t="s">
        <v>8</v>
      </c>
      <c r="D73" s="106" t="str">
        <f>IF(MouserListTable1218[[#This Row],[Vendor]]=FilterSpecs!$A$8,MouserListTable1218[[#This Row],[Mouser SKU]], MouserListTable1218[[#This Row],[Supplier SKU]])</f>
        <v>TOL-12890</v>
      </c>
      <c r="E73" s="121">
        <f>MouserListTable1218[[#This Row],[Tot '#]]-MouserListTable1218[[#This Row],['# Initial]]</f>
        <v>0</v>
      </c>
      <c r="F73" s="121">
        <f>MouserListTable1218[[#This Row],['#/Unit]]*FilterSpecs!$B$3+MouserListTable1218[[#This Row],[Extra Initial]]</f>
        <v>0</v>
      </c>
      <c r="G73" s="103" t="s">
        <v>1113</v>
      </c>
      <c r="H73" s="103" t="s">
        <v>1114</v>
      </c>
      <c r="I73" s="126" t="s">
        <v>1115</v>
      </c>
      <c r="J73" s="146">
        <v>1</v>
      </c>
      <c r="K73" s="158">
        <v>5.95</v>
      </c>
      <c r="L73" s="126" t="s">
        <v>1910</v>
      </c>
      <c r="N73" s="157">
        <f>MouserListTable1218[[#This Row],['# Initial]]*MouserListTable1218[[#This Row],[Price (USD)]]</f>
        <v>0</v>
      </c>
      <c r="O73" s="106" t="s">
        <v>1112</v>
      </c>
      <c r="P73" s="103">
        <f t="shared" si="0"/>
        <v>60</v>
      </c>
      <c r="Q73" s="103" t="s">
        <v>8</v>
      </c>
      <c r="R7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474-TOL-12890</v>
      </c>
      <c r="S73" s="121">
        <v>0</v>
      </c>
      <c r="T73" s="121">
        <v>0</v>
      </c>
      <c r="U73" s="121">
        <v>0</v>
      </c>
      <c r="V73" s="121">
        <f>MouserListTable1218[[#This Row],['#/Unit]]*FilterSpecs!$C$3+MouserListTable1218[[#This Row],[Extra]]</f>
        <v>0</v>
      </c>
      <c r="W73" s="121">
        <f>IF(MouserListTable1218[[#This Row],[Tag]]=FilterSpecs!$F$7,MouserListTable1218[[#This Row],[Price (USD)]],0)</f>
        <v>0</v>
      </c>
      <c r="X73" s="121">
        <f>MouserListTable1218[[#This Row],[Tot '#]]*MouserListTable1218[[#This Row],[Price (USD)]]</f>
        <v>0</v>
      </c>
    </row>
    <row r="74" spans="1:24" s="146" customFormat="1" x14ac:dyDescent="0.3">
      <c r="A74" s="103" t="s">
        <v>894</v>
      </c>
      <c r="B74" s="103" t="s">
        <v>2045</v>
      </c>
      <c r="C74" s="103" t="s">
        <v>1898</v>
      </c>
      <c r="D74" s="106" t="str">
        <f>IF(MouserListTable1218[[#This Row],[Vendor]]=FilterSpecs!$A$8,MouserListTable1218[[#This Row],[Mouser SKU]], MouserListTable1218[[#This Row],[Supplier SKU]])</f>
        <v>501</v>
      </c>
      <c r="E74" s="121">
        <f>MouserListTable1218[[#This Row],[Tot '#]]-MouserListTable1218[[#This Row],['# Initial]]</f>
        <v>0</v>
      </c>
      <c r="F74" s="121">
        <f>MouserListTable1218[[#This Row],['#/Unit]]*FilterSpecs!$B$3+MouserListTable1218[[#This Row],[Extra Initial]]</f>
        <v>0</v>
      </c>
      <c r="G74" s="103"/>
      <c r="H74" s="103"/>
      <c r="I74" s="126" t="s">
        <v>2315</v>
      </c>
      <c r="K74" s="158">
        <v>5.95</v>
      </c>
      <c r="L74" s="126" t="s">
        <v>1910</v>
      </c>
      <c r="N74" s="157">
        <f>MouserListTable1218[[#This Row],['# Initial]]*MouserListTable1218[[#This Row],[Price (USD)]]</f>
        <v>0</v>
      </c>
      <c r="O74" s="106" t="s">
        <v>2314</v>
      </c>
      <c r="P74" s="103">
        <f t="shared" si="0"/>
        <v>61</v>
      </c>
      <c r="Q74" s="103" t="s">
        <v>1898</v>
      </c>
      <c r="R7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485-501</v>
      </c>
      <c r="S74" s="121">
        <v>0</v>
      </c>
      <c r="T74" s="121">
        <v>0</v>
      </c>
      <c r="U74" s="121">
        <v>0</v>
      </c>
      <c r="V74" s="121">
        <f>MouserListTable1218[[#This Row],['#/Unit]]*FilterSpecs!$C$3+MouserListTable1218[[#This Row],[Extra]]</f>
        <v>0</v>
      </c>
      <c r="W74" s="121">
        <f>IF(MouserListTable1218[[#This Row],[Tag]]=FilterSpecs!$F$7,MouserListTable1218[[#This Row],[Price (USD)]],0)</f>
        <v>0</v>
      </c>
      <c r="X74" s="121">
        <f>MouserListTable1218[[#This Row],[Tot '#]]*MouserListTable1218[[#This Row],[Price (USD)]]</f>
        <v>0</v>
      </c>
    </row>
    <row r="75" spans="1:24" s="146" customFormat="1" x14ac:dyDescent="0.3">
      <c r="A75" s="103" t="s">
        <v>894</v>
      </c>
      <c r="B75" s="103" t="s">
        <v>2045</v>
      </c>
      <c r="C75" s="103" t="s">
        <v>1898</v>
      </c>
      <c r="D75" s="106" t="str">
        <f>IF(MouserListTable1218[[#This Row],[Vendor]]=FilterSpecs!$A$8,MouserListTable1218[[#This Row],[Mouser SKU]], MouserListTable1218[[#This Row],[Supplier SKU]])</f>
        <v>1994</v>
      </c>
      <c r="E75" s="121">
        <f>MouserListTable1218[[#This Row],[Tot '#]]-MouserListTable1218[[#This Row],['# Initial]]</f>
        <v>0</v>
      </c>
      <c r="F75" s="121">
        <f>MouserListTable1218[[#This Row],['#/Unit]]*FilterSpecs!$B$3+MouserListTable1218[[#This Row],[Extra Initial]]</f>
        <v>5</v>
      </c>
      <c r="G75" s="103"/>
      <c r="H75" s="103"/>
      <c r="I75" s="103" t="s">
        <v>2317</v>
      </c>
      <c r="K75" s="157">
        <v>6.95</v>
      </c>
      <c r="L75" s="103" t="s">
        <v>1911</v>
      </c>
      <c r="M75" s="106"/>
      <c r="N75" s="157">
        <f>MouserListTable1218[[#This Row],['# Initial]]*MouserListTable1218[[#This Row],[Price (USD)]]</f>
        <v>34.75</v>
      </c>
      <c r="O75" s="106" t="s">
        <v>2316</v>
      </c>
      <c r="P75" s="103">
        <f t="shared" si="0"/>
        <v>62</v>
      </c>
      <c r="Q75" s="103" t="s">
        <v>1898</v>
      </c>
      <c r="R7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485-1994</v>
      </c>
      <c r="S75" s="121">
        <v>1</v>
      </c>
      <c r="T75" s="121">
        <v>0</v>
      </c>
      <c r="U75" s="121">
        <v>0</v>
      </c>
      <c r="V75" s="121">
        <f>MouserListTable1218[[#This Row],['#/Unit]]*FilterSpecs!$C$3+MouserListTable1218[[#This Row],[Extra]]</f>
        <v>5</v>
      </c>
      <c r="W75" s="121">
        <f>IF(MouserListTable1218[[#This Row],[Tag]]=FilterSpecs!$F$7,MouserListTable1218[[#This Row],[Price (USD)]],0)</f>
        <v>6.95</v>
      </c>
      <c r="X75" s="121">
        <f>MouserListTable1218[[#This Row],[Tot '#]]*MouserListTable1218[[#This Row],[Price (USD)]]</f>
        <v>34.75</v>
      </c>
    </row>
    <row r="76" spans="1:24" s="144" customFormat="1" x14ac:dyDescent="0.3">
      <c r="A76" s="103" t="s">
        <v>894</v>
      </c>
      <c r="B76" s="103" t="s">
        <v>2036</v>
      </c>
      <c r="C76" s="103" t="s">
        <v>8</v>
      </c>
      <c r="D76" s="106" t="str">
        <f>IF(MouserListTable1218[[#This Row],[Vendor]]=FilterSpecs!$A$8,MouserListTable1218[[#This Row],[Mouser SKU]], MouserListTable1218[[#This Row],[Supplier SKU]])</f>
        <v>CAB-00512</v>
      </c>
      <c r="E76" s="121">
        <f>MouserListTable1218[[#This Row],[Tot '#]]-MouserListTable1218[[#This Row],['# Initial]]</f>
        <v>0</v>
      </c>
      <c r="F76" s="121">
        <f>MouserListTable1218[[#This Row],['#/Unit]]*FilterSpecs!$B$3+MouserListTable1218[[#This Row],[Extra Initial]]</f>
        <v>5</v>
      </c>
      <c r="G76" s="103" t="s">
        <v>2492</v>
      </c>
      <c r="H76" s="103" t="s">
        <v>2493</v>
      </c>
      <c r="I76" s="103" t="s">
        <v>2494</v>
      </c>
      <c r="J76" s="103">
        <v>1</v>
      </c>
      <c r="K76" s="157">
        <v>3.95</v>
      </c>
      <c r="L76" s="103" t="s">
        <v>1911</v>
      </c>
      <c r="M76" s="103"/>
      <c r="N76" s="157">
        <f>MouserListTable1218[[#This Row],['# Initial]]*MouserListTable1218[[#This Row],[Price (USD)]]</f>
        <v>19.75</v>
      </c>
      <c r="O76" s="106" t="s">
        <v>2491</v>
      </c>
      <c r="P76" s="103">
        <f t="shared" si="0"/>
        <v>63</v>
      </c>
      <c r="Q76" s="103" t="s">
        <v>8</v>
      </c>
      <c r="R7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474-CAB-00512</v>
      </c>
      <c r="S76" s="121">
        <v>1</v>
      </c>
      <c r="T76" s="121">
        <v>0</v>
      </c>
      <c r="U76" s="121">
        <v>0</v>
      </c>
      <c r="V76" s="121">
        <f>MouserListTable1218[[#This Row],['#/Unit]]*FilterSpecs!$C$3+MouserListTable1218[[#This Row],[Extra]]</f>
        <v>5</v>
      </c>
      <c r="W76" s="121">
        <f>IF(MouserListTable1218[[#This Row],[Tag]]=FilterSpecs!$F$7,MouserListTable1218[[#This Row],[Price (USD)]],0)</f>
        <v>3.95</v>
      </c>
      <c r="X76" s="121">
        <f>MouserListTable1218[[#This Row],[Tot '#]]*MouserListTable1218[[#This Row],[Price (USD)]]</f>
        <v>19.75</v>
      </c>
    </row>
    <row r="77" spans="1:24" s="144" customFormat="1" x14ac:dyDescent="0.3">
      <c r="A77" s="103" t="s">
        <v>894</v>
      </c>
      <c r="B77" s="103" t="s">
        <v>2036</v>
      </c>
      <c r="C77" s="103" t="s">
        <v>8</v>
      </c>
      <c r="D77" s="106" t="str">
        <f>IF(MouserListTable1218[[#This Row],[Vendor]]=FilterSpecs!$A$8,MouserListTable1218[[#This Row],[Mouser SKU]], MouserListTable1218[[#This Row],[Supplier SKU]])</f>
        <v>CAB-11301</v>
      </c>
      <c r="E77" s="121">
        <f>MouserListTable1218[[#This Row],[Tot '#]]-MouserListTable1218[[#This Row],['# Initial]]</f>
        <v>0</v>
      </c>
      <c r="F77" s="121">
        <f>MouserListTable1218[[#This Row],['#/Unit]]*FilterSpecs!$B$3+MouserListTable1218[[#This Row],[Extra Initial]]</f>
        <v>5</v>
      </c>
      <c r="G77" s="103" t="s">
        <v>2496</v>
      </c>
      <c r="H77" s="103" t="s">
        <v>2497</v>
      </c>
      <c r="I77" s="103" t="s">
        <v>2498</v>
      </c>
      <c r="J77" s="103">
        <v>1</v>
      </c>
      <c r="K77" s="157">
        <v>3.95</v>
      </c>
      <c r="L77" s="103" t="s">
        <v>1911</v>
      </c>
      <c r="M77" s="103"/>
      <c r="N77" s="157">
        <f>MouserListTable1218[[#This Row],['# Initial]]*MouserListTable1218[[#This Row],[Price (USD)]]</f>
        <v>19.75</v>
      </c>
      <c r="O77" s="106" t="s">
        <v>2495</v>
      </c>
      <c r="P77" s="103">
        <f t="shared" si="0"/>
        <v>64</v>
      </c>
      <c r="Q77" s="103" t="s">
        <v>8</v>
      </c>
      <c r="R7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474-CAB-11301</v>
      </c>
      <c r="S77" s="121">
        <v>1</v>
      </c>
      <c r="T77" s="121">
        <v>0</v>
      </c>
      <c r="U77" s="121">
        <v>0</v>
      </c>
      <c r="V77" s="121">
        <f>MouserListTable1218[[#This Row],['#/Unit]]*FilterSpecs!$C$3+MouserListTable1218[[#This Row],[Extra]]</f>
        <v>5</v>
      </c>
      <c r="W77" s="121">
        <f>IF(MouserListTable1218[[#This Row],[Tag]]=FilterSpecs!$F$7,MouserListTable1218[[#This Row],[Price (USD)]],0)</f>
        <v>3.95</v>
      </c>
      <c r="X77" s="121">
        <f>MouserListTable1218[[#This Row],[Tot '#]]*MouserListTable1218[[#This Row],[Price (USD)]]</f>
        <v>19.75</v>
      </c>
    </row>
    <row r="78" spans="1:24" s="144" customFormat="1" x14ac:dyDescent="0.3">
      <c r="A78" s="126" t="s">
        <v>894</v>
      </c>
      <c r="B78" s="126" t="s">
        <v>2036</v>
      </c>
      <c r="C78" s="126" t="s">
        <v>8</v>
      </c>
      <c r="D78" s="106" t="str">
        <f>IF(MouserListTable1218[[#This Row],[Vendor]]=FilterSpecs!$A$8,MouserListTable1218[[#This Row],[Mouser SKU]], MouserListTable1218[[#This Row],[Supplier SKU]])</f>
        <v>CAB-13243</v>
      </c>
      <c r="E78" s="121">
        <f>MouserListTable1218[[#This Row],[Tot '#]]-MouserListTable1218[[#This Row],['# Initial]]</f>
        <v>0</v>
      </c>
      <c r="F78" s="121">
        <f>MouserListTable1218[[#This Row],['#/Unit]]*FilterSpecs!$B$3+MouserListTable1218[[#This Row],[Extra Initial]]</f>
        <v>0</v>
      </c>
      <c r="G78" s="103" t="s">
        <v>2500</v>
      </c>
      <c r="H78" s="103" t="s">
        <v>2501</v>
      </c>
      <c r="I78" s="103" t="s">
        <v>2502</v>
      </c>
      <c r="J78" s="103">
        <v>1</v>
      </c>
      <c r="K78" s="157">
        <v>1.95</v>
      </c>
      <c r="L78" s="103" t="s">
        <v>1911</v>
      </c>
      <c r="M78" s="103"/>
      <c r="N78" s="157">
        <f>MouserListTable1218[[#This Row],['# Initial]]*MouserListTable1218[[#This Row],[Price (USD)]]</f>
        <v>0</v>
      </c>
      <c r="O78" s="106" t="s">
        <v>2499</v>
      </c>
      <c r="P78" s="103">
        <f t="shared" ref="P78:P141" si="1">IF($P77="List #",1,$P77+1)</f>
        <v>65</v>
      </c>
      <c r="Q78" s="103" t="s">
        <v>8</v>
      </c>
      <c r="R7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474-CAB-13243</v>
      </c>
      <c r="S78" s="121">
        <v>0</v>
      </c>
      <c r="T78" s="121">
        <v>0</v>
      </c>
      <c r="U78" s="121">
        <v>0</v>
      </c>
      <c r="V78" s="121">
        <f>MouserListTable1218[[#This Row],['#/Unit]]*FilterSpecs!$C$3+MouserListTable1218[[#This Row],[Extra]]</f>
        <v>0</v>
      </c>
      <c r="W78" s="121">
        <f>IF(MouserListTable1218[[#This Row],[Tag]]=FilterSpecs!$F$7,MouserListTable1218[[#This Row],[Price (USD)]],0)</f>
        <v>1.95</v>
      </c>
      <c r="X78" s="121">
        <f>MouserListTable1218[[#This Row],[Tot '#]]*MouserListTable1218[[#This Row],[Price (USD)]]</f>
        <v>0</v>
      </c>
    </row>
    <row r="79" spans="1:24" s="144" customFormat="1" x14ac:dyDescent="0.3">
      <c r="A79" s="103" t="s">
        <v>894</v>
      </c>
      <c r="B79" s="103" t="s">
        <v>2036</v>
      </c>
      <c r="C79" s="103" t="s">
        <v>8</v>
      </c>
      <c r="D79" s="106" t="str">
        <f>IF(MouserListTable1218[[#This Row],[Vendor]]=FilterSpecs!$A$8,MouserListTable1218[[#This Row],[Mouser SKU]], MouserListTable1218[[#This Row],[Supplier SKU]])</f>
        <v>CAB-10177</v>
      </c>
      <c r="E79" s="121">
        <f>MouserListTable1218[[#This Row],[Tot '#]]-MouserListTable1218[[#This Row],['# Initial]]</f>
        <v>1</v>
      </c>
      <c r="F79" s="121">
        <f>MouserListTable1218[[#This Row],['#/Unit]]*FilterSpecs!$B$3+MouserListTable1218[[#This Row],[Extra Initial]]</f>
        <v>0</v>
      </c>
      <c r="G79" s="103" t="s">
        <v>2504</v>
      </c>
      <c r="H79" s="103" t="s">
        <v>2505</v>
      </c>
      <c r="I79" s="103" t="s">
        <v>2506</v>
      </c>
      <c r="J79" s="103">
        <v>1</v>
      </c>
      <c r="K79" s="157">
        <v>2.95</v>
      </c>
      <c r="L79" s="103" t="s">
        <v>1910</v>
      </c>
      <c r="M79" s="103"/>
      <c r="N79" s="157">
        <f>MouserListTable1218[[#This Row],['# Initial]]*MouserListTable1218[[#This Row],[Price (USD)]]</f>
        <v>0</v>
      </c>
      <c r="O79" s="106" t="s">
        <v>2503</v>
      </c>
      <c r="P79" s="103">
        <f t="shared" si="1"/>
        <v>66</v>
      </c>
      <c r="Q79" s="103" t="s">
        <v>8</v>
      </c>
      <c r="R7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474-CAB-10177</v>
      </c>
      <c r="S79" s="121">
        <v>0</v>
      </c>
      <c r="T79" s="121">
        <v>1</v>
      </c>
      <c r="U79" s="121">
        <v>0</v>
      </c>
      <c r="V79" s="121">
        <f>MouserListTable1218[[#This Row],['#/Unit]]*FilterSpecs!$C$3+MouserListTable1218[[#This Row],[Extra]]</f>
        <v>1</v>
      </c>
      <c r="W79" s="121">
        <f>IF(MouserListTable1218[[#This Row],[Tag]]=FilterSpecs!$F$7,MouserListTable1218[[#This Row],[Price (USD)]],0)</f>
        <v>0</v>
      </c>
      <c r="X79" s="121">
        <f>MouserListTable1218[[#This Row],[Tot '#]]*MouserListTable1218[[#This Row],[Price (USD)]]</f>
        <v>2.95</v>
      </c>
    </row>
    <row r="80" spans="1:24" s="144" customFormat="1" x14ac:dyDescent="0.3">
      <c r="A80" s="103" t="s">
        <v>894</v>
      </c>
      <c r="B80" s="103" t="s">
        <v>2036</v>
      </c>
      <c r="C80" s="103" t="s">
        <v>8</v>
      </c>
      <c r="D80" s="106" t="str">
        <f>IF(MouserListTable1218[[#This Row],[Vendor]]=FilterSpecs!$A$8,MouserListTable1218[[#This Row],[Mouser SKU]], MouserListTable1218[[#This Row],[Supplier SKU]])</f>
        <v>CAB-10215</v>
      </c>
      <c r="E80" s="121">
        <f>MouserListTable1218[[#This Row],[Tot '#]]-MouserListTable1218[[#This Row],['# Initial]]</f>
        <v>0</v>
      </c>
      <c r="F80" s="121">
        <f>MouserListTable1218[[#This Row],['#/Unit]]*FilterSpecs!$B$3+MouserListTable1218[[#This Row],[Extra Initial]]</f>
        <v>5</v>
      </c>
      <c r="G80" s="103" t="s">
        <v>1508</v>
      </c>
      <c r="H80" s="103" t="s">
        <v>1509</v>
      </c>
      <c r="I80" s="103" t="s">
        <v>1510</v>
      </c>
      <c r="J80" s="103">
        <v>1</v>
      </c>
      <c r="K80" s="157">
        <v>4.95</v>
      </c>
      <c r="L80" s="103" t="s">
        <v>1911</v>
      </c>
      <c r="M80" s="103"/>
      <c r="N80" s="157">
        <f>MouserListTable1218[[#This Row],['# Initial]]*MouserListTable1218[[#This Row],[Price (USD)]]</f>
        <v>24.75</v>
      </c>
      <c r="O80" s="106" t="s">
        <v>1507</v>
      </c>
      <c r="P80" s="103">
        <f t="shared" si="1"/>
        <v>67</v>
      </c>
      <c r="Q80" s="103" t="s">
        <v>8</v>
      </c>
      <c r="R8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474-CAB-10215</v>
      </c>
      <c r="S80" s="121">
        <v>1</v>
      </c>
      <c r="T80" s="121">
        <v>0</v>
      </c>
      <c r="U80" s="121">
        <v>0</v>
      </c>
      <c r="V80" s="121">
        <f>MouserListTable1218[[#This Row],['#/Unit]]*FilterSpecs!$C$3+MouserListTable1218[[#This Row],[Extra]]</f>
        <v>5</v>
      </c>
      <c r="W80" s="121">
        <f>IF(MouserListTable1218[[#This Row],[Tag]]=FilterSpecs!$F$7,MouserListTable1218[[#This Row],[Price (USD)]],0)</f>
        <v>4.95</v>
      </c>
      <c r="X80" s="121">
        <f>MouserListTable1218[[#This Row],[Tot '#]]*MouserListTable1218[[#This Row],[Price (USD)]]</f>
        <v>24.75</v>
      </c>
    </row>
    <row r="81" spans="1:24" s="144" customFormat="1" x14ac:dyDescent="0.3">
      <c r="A81" s="126" t="s">
        <v>894</v>
      </c>
      <c r="B81" s="126" t="s">
        <v>2036</v>
      </c>
      <c r="C81" s="126" t="s">
        <v>8</v>
      </c>
      <c r="D81" s="106" t="str">
        <f>IF(MouserListTable1218[[#This Row],[Vendor]]=FilterSpecs!$A$8,MouserListTable1218[[#This Row],[Mouser SKU]], MouserListTable1218[[#This Row],[Supplier SKU]])</f>
        <v>CAB-13244</v>
      </c>
      <c r="E81" s="121">
        <f>MouserListTable1218[[#This Row],[Tot '#]]-MouserListTable1218[[#This Row],['# Initial]]</f>
        <v>0</v>
      </c>
      <c r="F81" s="121">
        <f>MouserListTable1218[[#This Row],['#/Unit]]*FilterSpecs!$B$3+MouserListTable1218[[#This Row],[Extra Initial]]</f>
        <v>0</v>
      </c>
      <c r="G81" s="103" t="s">
        <v>1512</v>
      </c>
      <c r="H81" s="103" t="s">
        <v>1513</v>
      </c>
      <c r="I81" s="103" t="s">
        <v>1514</v>
      </c>
      <c r="J81" s="103">
        <v>1</v>
      </c>
      <c r="K81" s="157">
        <v>1.95</v>
      </c>
      <c r="L81" s="103" t="s">
        <v>1913</v>
      </c>
      <c r="M81" s="103"/>
      <c r="N81" s="157">
        <f>MouserListTable1218[[#This Row],['# Initial]]*MouserListTable1218[[#This Row],[Price (USD)]]</f>
        <v>0</v>
      </c>
      <c r="O81" s="106" t="s">
        <v>1511</v>
      </c>
      <c r="P81" s="103">
        <f t="shared" si="1"/>
        <v>68</v>
      </c>
      <c r="Q81" s="103" t="s">
        <v>8</v>
      </c>
      <c r="R8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474-CAB-13244</v>
      </c>
      <c r="S81" s="121">
        <v>0</v>
      </c>
      <c r="T81" s="121">
        <v>0</v>
      </c>
      <c r="U81" s="121">
        <v>0</v>
      </c>
      <c r="V81" s="121">
        <f>MouserListTable1218[[#This Row],['#/Unit]]*FilterSpecs!$C$3+MouserListTable1218[[#This Row],[Extra]]</f>
        <v>0</v>
      </c>
      <c r="W81" s="121">
        <f>IF(MouserListTable1218[[#This Row],[Tag]]=FilterSpecs!$F$7,MouserListTable1218[[#This Row],[Price (USD)]],0)</f>
        <v>0</v>
      </c>
      <c r="X81" s="121">
        <f>MouserListTable1218[[#This Row],[Tot '#]]*MouserListTable1218[[#This Row],[Price (USD)]]</f>
        <v>0</v>
      </c>
    </row>
    <row r="82" spans="1:24" s="146" customFormat="1" x14ac:dyDescent="0.3">
      <c r="A82" s="103" t="s">
        <v>894</v>
      </c>
      <c r="B82" s="103" t="s">
        <v>2036</v>
      </c>
      <c r="C82" s="103" t="s">
        <v>8</v>
      </c>
      <c r="D82" s="106" t="str">
        <f>IF(MouserListTable1218[[#This Row],[Vendor]]=FilterSpecs!$A$8,MouserListTable1218[[#This Row],[Mouser SKU]], MouserListTable1218[[#This Row],[Supplier SKU]])</f>
        <v>CAB-11579</v>
      </c>
      <c r="E82" s="121">
        <f>MouserListTable1218[[#This Row],[Tot '#]]-MouserListTable1218[[#This Row],['# Initial]]</f>
        <v>1</v>
      </c>
      <c r="F82" s="121">
        <f>MouserListTable1218[[#This Row],['#/Unit]]*FilterSpecs!$B$3+MouserListTable1218[[#This Row],[Extra Initial]]</f>
        <v>0</v>
      </c>
      <c r="G82" s="103" t="s">
        <v>249</v>
      </c>
      <c r="H82" s="103" t="s">
        <v>250</v>
      </c>
      <c r="I82" s="103" t="s">
        <v>251</v>
      </c>
      <c r="J82" s="146">
        <v>1</v>
      </c>
      <c r="K82" s="157">
        <v>4.95</v>
      </c>
      <c r="L82" s="103" t="s">
        <v>1910</v>
      </c>
      <c r="M82" s="106"/>
      <c r="N82" s="157">
        <f>MouserListTable1218[[#This Row],['# Initial]]*MouserListTable1218[[#This Row],[Price (USD)]]</f>
        <v>0</v>
      </c>
      <c r="O82" s="106" t="s">
        <v>248</v>
      </c>
      <c r="P82" s="103">
        <f t="shared" si="1"/>
        <v>69</v>
      </c>
      <c r="Q82" s="103" t="s">
        <v>8</v>
      </c>
      <c r="R8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474-CAB-11579</v>
      </c>
      <c r="S82" s="121">
        <v>0</v>
      </c>
      <c r="T82" s="121">
        <v>1</v>
      </c>
      <c r="U82" s="121">
        <v>0</v>
      </c>
      <c r="V82" s="121">
        <f>MouserListTable1218[[#This Row],['#/Unit]]*FilterSpecs!$C$3+MouserListTable1218[[#This Row],[Extra]]</f>
        <v>1</v>
      </c>
      <c r="W82" s="121">
        <f>IF(MouserListTable1218[[#This Row],[Tag]]=FilterSpecs!$F$7,MouserListTable1218[[#This Row],[Price (USD)]],0)</f>
        <v>0</v>
      </c>
      <c r="X82" s="121">
        <f>MouserListTable1218[[#This Row],[Tot '#]]*MouserListTable1218[[#This Row],[Price (USD)]]</f>
        <v>4.95</v>
      </c>
    </row>
    <row r="83" spans="1:24" s="146" customFormat="1" x14ac:dyDescent="0.3">
      <c r="A83" s="103" t="s">
        <v>894</v>
      </c>
      <c r="B83" s="103" t="s">
        <v>2064</v>
      </c>
      <c r="C83" s="103" t="s">
        <v>1898</v>
      </c>
      <c r="D83" s="106" t="str">
        <f>IF(MouserListTable1218[[#This Row],[Vendor]]=FilterSpecs!$A$8,MouserListTable1218[[#This Row],[Mouser SKU]], MouserListTable1218[[#This Row],[Supplier SKU]])</f>
        <v>2727</v>
      </c>
      <c r="E83" s="121">
        <f>MouserListTable1218[[#This Row],[Tot '#]]-MouserListTable1218[[#This Row],['# Initial]]</f>
        <v>0</v>
      </c>
      <c r="F83" s="121">
        <f>MouserListTable1218[[#This Row],['#/Unit]]*FilterSpecs!$B$3+MouserListTable1218[[#This Row],[Extra Initial]]</f>
        <v>0</v>
      </c>
      <c r="G83" s="103"/>
      <c r="H83" s="103"/>
      <c r="I83" s="126" t="s">
        <v>2302</v>
      </c>
      <c r="K83" s="158">
        <v>1.95</v>
      </c>
      <c r="L83" s="126" t="s">
        <v>1910</v>
      </c>
      <c r="N83" s="157">
        <f>MouserListTable1218[[#This Row],['# Initial]]*MouserListTable1218[[#This Row],[Price (USD)]]</f>
        <v>0</v>
      </c>
      <c r="O83" s="106" t="s">
        <v>2301</v>
      </c>
      <c r="P83" s="103">
        <f t="shared" si="1"/>
        <v>70</v>
      </c>
      <c r="Q83" s="103" t="s">
        <v>1898</v>
      </c>
      <c r="R8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485-2727</v>
      </c>
      <c r="S83" s="121">
        <v>0</v>
      </c>
      <c r="T83" s="121">
        <v>0</v>
      </c>
      <c r="U83" s="121">
        <v>0</v>
      </c>
      <c r="V83" s="121">
        <f>MouserListTable1218[[#This Row],['#/Unit]]*FilterSpecs!$C$3+MouserListTable1218[[#This Row],[Extra]]</f>
        <v>0</v>
      </c>
      <c r="W83" s="121">
        <f>IF(MouserListTable1218[[#This Row],[Tag]]=FilterSpecs!$F$7,MouserListTable1218[[#This Row],[Price (USD)]],0)</f>
        <v>0</v>
      </c>
      <c r="X83" s="121">
        <f>MouserListTable1218[[#This Row],[Tot '#]]*MouserListTable1218[[#This Row],[Price (USD)]]</f>
        <v>0</v>
      </c>
    </row>
    <row r="84" spans="1:24" s="146" customFormat="1" x14ac:dyDescent="0.3">
      <c r="A84" s="103" t="s">
        <v>894</v>
      </c>
      <c r="B84" s="103" t="s">
        <v>2064</v>
      </c>
      <c r="C84" s="103" t="s">
        <v>1898</v>
      </c>
      <c r="D84" s="106" t="str">
        <f>IF(MouserListTable1218[[#This Row],[Vendor]]=FilterSpecs!$A$8,MouserListTable1218[[#This Row],[Mouser SKU]], MouserListTable1218[[#This Row],[Supplier SKU]])</f>
        <v>988</v>
      </c>
      <c r="E84" s="121">
        <f>MouserListTable1218[[#This Row],[Tot '#]]-MouserListTable1218[[#This Row],['# Initial]]</f>
        <v>0</v>
      </c>
      <c r="F84" s="121">
        <f>MouserListTable1218[[#This Row],['#/Unit]]*FilterSpecs!$B$3+MouserListTable1218[[#This Row],[Extra Initial]]</f>
        <v>0</v>
      </c>
      <c r="G84" s="103"/>
      <c r="H84" s="103"/>
      <c r="I84" s="126" t="s">
        <v>2304</v>
      </c>
      <c r="K84" s="158">
        <v>2.95</v>
      </c>
      <c r="L84" s="126" t="s">
        <v>1910</v>
      </c>
      <c r="N84" s="157">
        <f>MouserListTable1218[[#This Row],['# Initial]]*MouserListTable1218[[#This Row],[Price (USD)]]</f>
        <v>0</v>
      </c>
      <c r="O84" s="106" t="s">
        <v>2303</v>
      </c>
      <c r="P84" s="103">
        <f t="shared" si="1"/>
        <v>71</v>
      </c>
      <c r="Q84" s="103" t="s">
        <v>1898</v>
      </c>
      <c r="R8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485-988</v>
      </c>
      <c r="S84" s="121">
        <v>0</v>
      </c>
      <c r="T84" s="121">
        <v>0</v>
      </c>
      <c r="U84" s="121">
        <v>0</v>
      </c>
      <c r="V84" s="121">
        <f>MouserListTable1218[[#This Row],['#/Unit]]*FilterSpecs!$C$3+MouserListTable1218[[#This Row],[Extra]]</f>
        <v>0</v>
      </c>
      <c r="W84" s="121">
        <f>IF(MouserListTable1218[[#This Row],[Tag]]=FilterSpecs!$F$7,MouserListTable1218[[#This Row],[Price (USD)]],0)</f>
        <v>0</v>
      </c>
      <c r="X84" s="121">
        <f>MouserListTable1218[[#This Row],[Tot '#]]*MouserListTable1218[[#This Row],[Price (USD)]]</f>
        <v>0</v>
      </c>
    </row>
    <row r="85" spans="1:24" s="146" customFormat="1" x14ac:dyDescent="0.3">
      <c r="A85" s="103" t="s">
        <v>894</v>
      </c>
      <c r="B85" s="103" t="s">
        <v>2064</v>
      </c>
      <c r="C85" s="103" t="s">
        <v>1898</v>
      </c>
      <c r="D85" s="106" t="str">
        <f>IF(MouserListTable1218[[#This Row],[Vendor]]=FilterSpecs!$A$8,MouserListTable1218[[#This Row],[Mouser SKU]], MouserListTable1218[[#This Row],[Supplier SKU]])</f>
        <v>2778</v>
      </c>
      <c r="E85" s="121">
        <f>MouserListTable1218[[#This Row],[Tot '#]]-MouserListTable1218[[#This Row],['# Initial]]</f>
        <v>2</v>
      </c>
      <c r="F85" s="121">
        <f>MouserListTable1218[[#This Row],['#/Unit]]*FilterSpecs!$B$3+MouserListTable1218[[#This Row],[Extra Initial]]</f>
        <v>0</v>
      </c>
      <c r="G85" s="103"/>
      <c r="H85" s="103"/>
      <c r="I85" s="103" t="s">
        <v>2306</v>
      </c>
      <c r="K85" s="157">
        <v>6.5</v>
      </c>
      <c r="L85" s="103" t="s">
        <v>1910</v>
      </c>
      <c r="M85" s="106"/>
      <c r="N85" s="157">
        <f>MouserListTable1218[[#This Row],['# Initial]]*MouserListTable1218[[#This Row],[Price (USD)]]</f>
        <v>0</v>
      </c>
      <c r="O85" s="106" t="s">
        <v>2305</v>
      </c>
      <c r="P85" s="103">
        <f t="shared" si="1"/>
        <v>72</v>
      </c>
      <c r="Q85" s="103" t="s">
        <v>1898</v>
      </c>
      <c r="R8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485-2778</v>
      </c>
      <c r="S85" s="121">
        <v>0</v>
      </c>
      <c r="T85" s="121">
        <v>2</v>
      </c>
      <c r="U85" s="121">
        <v>0</v>
      </c>
      <c r="V85" s="121">
        <f>MouserListTable1218[[#This Row],['#/Unit]]*FilterSpecs!$C$3+MouserListTable1218[[#This Row],[Extra]]</f>
        <v>2</v>
      </c>
      <c r="W85" s="121">
        <f>IF(MouserListTable1218[[#This Row],[Tag]]=FilterSpecs!$F$7,MouserListTable1218[[#This Row],[Price (USD)]],0)</f>
        <v>0</v>
      </c>
      <c r="X85" s="121">
        <f>MouserListTable1218[[#This Row],[Tot '#]]*MouserListTable1218[[#This Row],[Price (USD)]]</f>
        <v>13</v>
      </c>
    </row>
    <row r="86" spans="1:24" s="146" customFormat="1" x14ac:dyDescent="0.3">
      <c r="A86" s="103" t="s">
        <v>894</v>
      </c>
      <c r="B86" s="103" t="s">
        <v>2064</v>
      </c>
      <c r="C86" s="103" t="s">
        <v>1898</v>
      </c>
      <c r="D86" s="106" t="str">
        <f>IF(MouserListTable1218[[#This Row],[Vendor]]=FilterSpecs!$A$8,MouserListTable1218[[#This Row],[Mouser SKU]], MouserListTable1218[[#This Row],[Supplier SKU]])</f>
        <v>2777</v>
      </c>
      <c r="E86" s="121">
        <f>MouserListTable1218[[#This Row],[Tot '#]]-MouserListTable1218[[#This Row],['# Initial]]</f>
        <v>0</v>
      </c>
      <c r="F86" s="121">
        <f>MouserListTable1218[[#This Row],['#/Unit]]*FilterSpecs!$B$3+MouserListTable1218[[#This Row],[Extra Initial]]</f>
        <v>0</v>
      </c>
      <c r="G86" s="103"/>
      <c r="H86" s="103"/>
      <c r="I86" s="126" t="s">
        <v>2308</v>
      </c>
      <c r="K86" s="158">
        <v>6.5</v>
      </c>
      <c r="L86" s="126" t="s">
        <v>1910</v>
      </c>
      <c r="N86" s="157">
        <f>MouserListTable1218[[#This Row],['# Initial]]*MouserListTable1218[[#This Row],[Price (USD)]]</f>
        <v>0</v>
      </c>
      <c r="O86" s="106" t="s">
        <v>2307</v>
      </c>
      <c r="P86" s="103">
        <f t="shared" si="1"/>
        <v>73</v>
      </c>
      <c r="Q86" s="103" t="s">
        <v>1898</v>
      </c>
      <c r="R8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485-2777</v>
      </c>
      <c r="S86" s="121">
        <v>0</v>
      </c>
      <c r="T86" s="121">
        <v>0</v>
      </c>
      <c r="U86" s="121">
        <v>0</v>
      </c>
      <c r="V86" s="121">
        <f>MouserListTable1218[[#This Row],['#/Unit]]*FilterSpecs!$C$3+MouserListTable1218[[#This Row],[Extra]]</f>
        <v>0</v>
      </c>
      <c r="W86" s="121">
        <f>IF(MouserListTable1218[[#This Row],[Tag]]=FilterSpecs!$F$7,MouserListTable1218[[#This Row],[Price (USD)]],0)</f>
        <v>0</v>
      </c>
      <c r="X86" s="121">
        <f>MouserListTable1218[[#This Row],[Tot '#]]*MouserListTable1218[[#This Row],[Price (USD)]]</f>
        <v>0</v>
      </c>
    </row>
    <row r="87" spans="1:24" s="146" customFormat="1" x14ac:dyDescent="0.3">
      <c r="A87" s="103" t="s">
        <v>894</v>
      </c>
      <c r="B87" s="103" t="s">
        <v>2064</v>
      </c>
      <c r="C87" s="103" t="s">
        <v>1898</v>
      </c>
      <c r="D87" s="106" t="str">
        <f>IF(MouserListTable1218[[#This Row],[Vendor]]=FilterSpecs!$A$8,MouserListTable1218[[#This Row],[Mouser SKU]], MouserListTable1218[[#This Row],[Supplier SKU]])</f>
        <v>2697</v>
      </c>
      <c r="E87" s="121">
        <f>MouserListTable1218[[#This Row],[Tot '#]]-MouserListTable1218[[#This Row],['# Initial]]</f>
        <v>0</v>
      </c>
      <c r="F87" s="121">
        <f>MouserListTable1218[[#This Row],['#/Unit]]*FilterSpecs!$B$3+MouserListTable1218[[#This Row],[Extra Initial]]</f>
        <v>0</v>
      </c>
      <c r="G87" s="103"/>
      <c r="H87" s="103"/>
      <c r="I87" s="126" t="s">
        <v>2310</v>
      </c>
      <c r="K87" s="158">
        <v>2.75</v>
      </c>
      <c r="L87" s="126" t="s">
        <v>1910</v>
      </c>
      <c r="N87" s="157">
        <f>MouserListTable1218[[#This Row],['# Initial]]*MouserListTable1218[[#This Row],[Price (USD)]]</f>
        <v>0</v>
      </c>
      <c r="O87" s="106" t="s">
        <v>2309</v>
      </c>
      <c r="P87" s="103">
        <f t="shared" si="1"/>
        <v>74</v>
      </c>
      <c r="Q87" s="103" t="s">
        <v>1898</v>
      </c>
      <c r="R8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485-2697</v>
      </c>
      <c r="S87" s="121">
        <v>0</v>
      </c>
      <c r="T87" s="121">
        <v>0</v>
      </c>
      <c r="U87" s="121">
        <v>0</v>
      </c>
      <c r="V87" s="121">
        <f>MouserListTable1218[[#This Row],['#/Unit]]*FilterSpecs!$C$3+MouserListTable1218[[#This Row],[Extra]]</f>
        <v>0</v>
      </c>
      <c r="W87" s="121">
        <f>IF(MouserListTable1218[[#This Row],[Tag]]=FilterSpecs!$F$7,MouserListTable1218[[#This Row],[Price (USD)]],0)</f>
        <v>0</v>
      </c>
      <c r="X87" s="121">
        <f>MouserListTable1218[[#This Row],[Tot '#]]*MouserListTable1218[[#This Row],[Price (USD)]]</f>
        <v>0</v>
      </c>
    </row>
    <row r="88" spans="1:24" s="146" customFormat="1" x14ac:dyDescent="0.3">
      <c r="A88" s="103" t="s">
        <v>894</v>
      </c>
      <c r="B88" s="103" t="s">
        <v>2064</v>
      </c>
      <c r="C88" s="103" t="s">
        <v>1898</v>
      </c>
      <c r="D88" s="106" t="str">
        <f>IF(MouserListTable1218[[#This Row],[Vendor]]=FilterSpecs!$A$8,MouserListTable1218[[#This Row],[Mouser SKU]], MouserListTable1218[[#This Row],[Supplier SKU]])</f>
        <v>2789</v>
      </c>
      <c r="E88" s="121">
        <f>MouserListTable1218[[#This Row],[Tot '#]]-MouserListTable1218[[#This Row],['# Initial]]</f>
        <v>0</v>
      </c>
      <c r="F88" s="121">
        <f>MouserListTable1218[[#This Row],['#/Unit]]*FilterSpecs!$B$3+MouserListTable1218[[#This Row],[Extra Initial]]</f>
        <v>5</v>
      </c>
      <c r="G88" s="103"/>
      <c r="H88" s="103"/>
      <c r="I88" s="103" t="s">
        <v>2313</v>
      </c>
      <c r="K88" s="157">
        <v>1.95</v>
      </c>
      <c r="L88" s="103" t="s">
        <v>1911</v>
      </c>
      <c r="M88" s="106"/>
      <c r="N88" s="157">
        <f>MouserListTable1218[[#This Row],['# Initial]]*MouserListTable1218[[#This Row],[Price (USD)]]</f>
        <v>9.75</v>
      </c>
      <c r="O88" s="106" t="s">
        <v>2312</v>
      </c>
      <c r="P88" s="103">
        <f t="shared" si="1"/>
        <v>75</v>
      </c>
      <c r="Q88" s="103" t="s">
        <v>1898</v>
      </c>
      <c r="R8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485-2789</v>
      </c>
      <c r="S88" s="121">
        <v>1</v>
      </c>
      <c r="T88" s="121">
        <v>0</v>
      </c>
      <c r="U88" s="121">
        <v>0</v>
      </c>
      <c r="V88" s="121">
        <f>MouserListTable1218[[#This Row],['#/Unit]]*FilterSpecs!$C$3+MouserListTable1218[[#This Row],[Extra]]</f>
        <v>5</v>
      </c>
      <c r="W88" s="121">
        <f>IF(MouserListTable1218[[#This Row],[Tag]]=FilterSpecs!$F$7,MouserListTable1218[[#This Row],[Price (USD)]],0)</f>
        <v>1.95</v>
      </c>
      <c r="X88" s="121">
        <f>MouserListTable1218[[#This Row],[Tot '#]]*MouserListTable1218[[#This Row],[Price (USD)]]</f>
        <v>9.75</v>
      </c>
    </row>
    <row r="89" spans="1:24" s="146" customFormat="1" x14ac:dyDescent="0.3">
      <c r="A89" s="103" t="s">
        <v>894</v>
      </c>
      <c r="B89" s="103" t="s">
        <v>2040</v>
      </c>
      <c r="C89" s="103" t="s">
        <v>8</v>
      </c>
      <c r="D89" s="106" t="str">
        <f>IF(MouserListTable1218[[#This Row],[Vendor]]=FilterSpecs!$A$8,MouserListTable1218[[#This Row],[Mouser SKU]], MouserListTable1218[[#This Row],[Supplier SKU]])</f>
        <v>DEV-13158</v>
      </c>
      <c r="E89" s="121">
        <f>MouserListTable1218[[#This Row],[Tot '#]]-MouserListTable1218[[#This Row],['# Initial]]</f>
        <v>0</v>
      </c>
      <c r="F89" s="121">
        <f>MouserListTable1218[[#This Row],['#/Unit]]*FilterSpecs!$B$3+MouserListTable1218[[#This Row],[Extra Initial]]</f>
        <v>5</v>
      </c>
      <c r="G89" s="103" t="s">
        <v>37</v>
      </c>
      <c r="H89" s="103" t="s">
        <v>38</v>
      </c>
      <c r="I89" s="103" t="s">
        <v>39</v>
      </c>
      <c r="J89" s="146">
        <v>1</v>
      </c>
      <c r="K89" s="157">
        <v>29.95</v>
      </c>
      <c r="L89" s="103" t="s">
        <v>1911</v>
      </c>
      <c r="M89" s="106"/>
      <c r="N89" s="157">
        <f>MouserListTable1218[[#This Row],['# Initial]]*MouserListTable1218[[#This Row],[Price (USD)]]</f>
        <v>149.75</v>
      </c>
      <c r="O89" s="106" t="s">
        <v>36</v>
      </c>
      <c r="P89" s="103">
        <f t="shared" si="1"/>
        <v>76</v>
      </c>
      <c r="Q89" s="103" t="s">
        <v>8</v>
      </c>
      <c r="R8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474-DEV-13158</v>
      </c>
      <c r="S89" s="121">
        <v>1</v>
      </c>
      <c r="T89" s="121">
        <v>0</v>
      </c>
      <c r="U89" s="121">
        <v>0</v>
      </c>
      <c r="V89" s="121">
        <f>MouserListTable1218[[#This Row],['#/Unit]]*FilterSpecs!$C$3+MouserListTable1218[[#This Row],[Extra]]</f>
        <v>5</v>
      </c>
      <c r="W89" s="121">
        <f>IF(MouserListTable1218[[#This Row],[Tag]]=FilterSpecs!$F$7,MouserListTable1218[[#This Row],[Price (USD)]],0)</f>
        <v>29.95</v>
      </c>
      <c r="X89" s="121">
        <f>MouserListTable1218[[#This Row],[Tot '#]]*MouserListTable1218[[#This Row],[Price (USD)]]</f>
        <v>149.75</v>
      </c>
    </row>
    <row r="90" spans="1:24" s="146" customFormat="1" x14ac:dyDescent="0.3">
      <c r="A90" s="103" t="s">
        <v>894</v>
      </c>
      <c r="B90" s="103" t="s">
        <v>2040</v>
      </c>
      <c r="C90" s="103" t="s">
        <v>8</v>
      </c>
      <c r="D90" s="106" t="str">
        <f>IF(MouserListTable1218[[#This Row],[Vendor]]=FilterSpecs!$A$8,MouserListTable1218[[#This Row],[Mouser SKU]], MouserListTable1218[[#This Row],[Supplier SKU]])</f>
        <v>PRT-12711</v>
      </c>
      <c r="E90" s="121">
        <f>MouserListTable1218[[#This Row],[Tot '#]]-MouserListTable1218[[#This Row],['# Initial]]</f>
        <v>0</v>
      </c>
      <c r="F90" s="121">
        <f>MouserListTable1218[[#This Row],['#/Unit]]*FilterSpecs!$B$3+MouserListTable1218[[#This Row],[Extra Initial]]</f>
        <v>5</v>
      </c>
      <c r="G90" s="103" t="s">
        <v>41</v>
      </c>
      <c r="H90" s="103" t="s">
        <v>42</v>
      </c>
      <c r="I90" s="103" t="s">
        <v>43</v>
      </c>
      <c r="J90" s="146">
        <v>1</v>
      </c>
      <c r="K90" s="157">
        <v>14.95</v>
      </c>
      <c r="L90" s="103" t="s">
        <v>1911</v>
      </c>
      <c r="M90" s="106"/>
      <c r="N90" s="157">
        <f>MouserListTable1218[[#This Row],['# Initial]]*MouserListTable1218[[#This Row],[Price (USD)]]</f>
        <v>74.75</v>
      </c>
      <c r="O90" s="106" t="s">
        <v>40</v>
      </c>
      <c r="P90" s="103">
        <f t="shared" si="1"/>
        <v>77</v>
      </c>
      <c r="Q90" s="103" t="s">
        <v>8</v>
      </c>
      <c r="R9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474-PRT-12711</v>
      </c>
      <c r="S90" s="121">
        <v>1</v>
      </c>
      <c r="T90" s="121">
        <v>0</v>
      </c>
      <c r="U90" s="121">
        <v>0</v>
      </c>
      <c r="V90" s="121">
        <f>MouserListTable1218[[#This Row],['#/Unit]]*FilterSpecs!$C$3+MouserListTable1218[[#This Row],[Extra]]</f>
        <v>5</v>
      </c>
      <c r="W90" s="121">
        <f>IF(MouserListTable1218[[#This Row],[Tag]]=FilterSpecs!$F$7,MouserListTable1218[[#This Row],[Price (USD)]],0)</f>
        <v>14.95</v>
      </c>
      <c r="X90" s="121">
        <f>MouserListTable1218[[#This Row],[Tot '#]]*MouserListTable1218[[#This Row],[Price (USD)]]</f>
        <v>74.75</v>
      </c>
    </row>
    <row r="91" spans="1:24" s="146" customFormat="1" x14ac:dyDescent="0.3">
      <c r="A91" s="103" t="s">
        <v>894</v>
      </c>
      <c r="B91" s="103" t="s">
        <v>2040</v>
      </c>
      <c r="C91" s="103" t="s">
        <v>8</v>
      </c>
      <c r="D91" s="106" t="str">
        <f>IF(MouserListTable1218[[#This Row],[Vendor]]=FilterSpecs!$A$8,MouserListTable1218[[#This Row],[Mouser SKU]], MouserListTable1218[[#This Row],[Supplier SKU]])</f>
        <v>PRT-13777</v>
      </c>
      <c r="E91" s="121">
        <f>MouserListTable1218[[#This Row],[Tot '#]]-MouserListTable1218[[#This Row],['# Initial]]</f>
        <v>1</v>
      </c>
      <c r="F91" s="121">
        <f>MouserListTable1218[[#This Row],['#/Unit]]*FilterSpecs!$B$3+MouserListTable1218[[#This Row],[Extra Initial]]</f>
        <v>0</v>
      </c>
      <c r="G91" s="103" t="s">
        <v>49</v>
      </c>
      <c r="H91" s="103" t="s">
        <v>50</v>
      </c>
      <c r="I91" s="103" t="s">
        <v>51</v>
      </c>
      <c r="J91" s="146">
        <v>1</v>
      </c>
      <c r="K91" s="157">
        <v>19.95</v>
      </c>
      <c r="L91" s="103" t="s">
        <v>1910</v>
      </c>
      <c r="M91" s="106"/>
      <c r="N91" s="157">
        <f>MouserListTable1218[[#This Row],['# Initial]]*MouserListTable1218[[#This Row],[Price (USD)]]</f>
        <v>0</v>
      </c>
      <c r="O91" s="106" t="s">
        <v>48</v>
      </c>
      <c r="P91" s="103">
        <f t="shared" si="1"/>
        <v>78</v>
      </c>
      <c r="Q91" s="103" t="s">
        <v>8</v>
      </c>
      <c r="R9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474-PRT-13777</v>
      </c>
      <c r="S91" s="121">
        <v>0</v>
      </c>
      <c r="T91" s="121">
        <v>1</v>
      </c>
      <c r="U91" s="121">
        <v>0</v>
      </c>
      <c r="V91" s="121">
        <f>MouserListTable1218[[#This Row],['#/Unit]]*FilterSpecs!$C$3+MouserListTable1218[[#This Row],[Extra]]</f>
        <v>1</v>
      </c>
      <c r="W91" s="121">
        <f>IF(MouserListTable1218[[#This Row],[Tag]]=FilterSpecs!$F$7,MouserListTable1218[[#This Row],[Price (USD)]],0)</f>
        <v>0</v>
      </c>
      <c r="X91" s="121">
        <f>MouserListTable1218[[#This Row],[Tot '#]]*MouserListTable1218[[#This Row],[Price (USD)]]</f>
        <v>19.95</v>
      </c>
    </row>
    <row r="92" spans="1:24" s="146" customFormat="1" x14ac:dyDescent="0.3">
      <c r="A92" s="103" t="s">
        <v>894</v>
      </c>
      <c r="B92" s="103" t="s">
        <v>2040</v>
      </c>
      <c r="C92" s="103" t="s">
        <v>8</v>
      </c>
      <c r="D92" s="106" t="str">
        <f>IF(MouserListTable1218[[#This Row],[Vendor]]=FilterSpecs!$A$8,MouserListTable1218[[#This Row],[Mouser SKU]], MouserListTable1218[[#This Row],[Supplier SKU]])</f>
        <v>PRT-13856</v>
      </c>
      <c r="E92" s="121">
        <f>MouserListTable1218[[#This Row],[Tot '#]]-MouserListTable1218[[#This Row],['# Initial]]</f>
        <v>1</v>
      </c>
      <c r="F92" s="121">
        <f>MouserListTable1218[[#This Row],['#/Unit]]*FilterSpecs!$B$3+MouserListTable1218[[#This Row],[Extra Initial]]</f>
        <v>5</v>
      </c>
      <c r="G92" s="103" t="s">
        <v>53</v>
      </c>
      <c r="H92" s="103" t="s">
        <v>54</v>
      </c>
      <c r="I92" s="103" t="s">
        <v>55</v>
      </c>
      <c r="J92" s="146">
        <v>1</v>
      </c>
      <c r="K92" s="157">
        <v>29.95</v>
      </c>
      <c r="L92" s="103" t="s">
        <v>1911</v>
      </c>
      <c r="M92" s="106"/>
      <c r="N92" s="157">
        <f>MouserListTable1218[[#This Row],['# Initial]]*MouserListTable1218[[#This Row],[Price (USD)]]</f>
        <v>149.75</v>
      </c>
      <c r="O92" s="106" t="s">
        <v>52</v>
      </c>
      <c r="P92" s="103">
        <f t="shared" si="1"/>
        <v>79</v>
      </c>
      <c r="Q92" s="103" t="s">
        <v>8</v>
      </c>
      <c r="R9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474-PRT-13856</v>
      </c>
      <c r="S92" s="121">
        <v>1</v>
      </c>
      <c r="T92" s="121">
        <v>1</v>
      </c>
      <c r="U92" s="121">
        <v>0</v>
      </c>
      <c r="V92" s="121">
        <f>MouserListTable1218[[#This Row],['#/Unit]]*FilterSpecs!$C$3+MouserListTable1218[[#This Row],[Extra]]</f>
        <v>6</v>
      </c>
      <c r="W92" s="121">
        <f>IF(MouserListTable1218[[#This Row],[Tag]]=FilterSpecs!$F$7,MouserListTable1218[[#This Row],[Price (USD)]],0)</f>
        <v>29.95</v>
      </c>
      <c r="X92" s="121">
        <f>MouserListTable1218[[#This Row],[Tot '#]]*MouserListTable1218[[#This Row],[Price (USD)]]</f>
        <v>179.7</v>
      </c>
    </row>
    <row r="93" spans="1:24" s="146" customFormat="1" x14ac:dyDescent="0.3">
      <c r="A93" s="103" t="s">
        <v>894</v>
      </c>
      <c r="B93" s="103" t="s">
        <v>2040</v>
      </c>
      <c r="C93" s="103" t="s">
        <v>8</v>
      </c>
      <c r="D93" s="106" t="str">
        <f>IF(MouserListTable1218[[#This Row],[Vendor]]=FilterSpecs!$A$8,MouserListTable1218[[#This Row],[Mouser SKU]], MouserListTable1218[[#This Row],[Supplier SKU]])</f>
        <v>PRT-13855</v>
      </c>
      <c r="E93" s="121">
        <f>MouserListTable1218[[#This Row],[Tot '#]]-MouserListTable1218[[#This Row],['# Initial]]</f>
        <v>2</v>
      </c>
      <c r="F93" s="121">
        <f>MouserListTable1218[[#This Row],['#/Unit]]*FilterSpecs!$B$3+MouserListTable1218[[#This Row],[Extra Initial]]</f>
        <v>0</v>
      </c>
      <c r="G93" s="103" t="s">
        <v>796</v>
      </c>
      <c r="H93" s="103" t="s">
        <v>797</v>
      </c>
      <c r="I93" s="103" t="s">
        <v>798</v>
      </c>
      <c r="J93" s="146">
        <v>1</v>
      </c>
      <c r="K93" s="157">
        <v>12.95</v>
      </c>
      <c r="L93" s="103" t="s">
        <v>1910</v>
      </c>
      <c r="M93" s="106"/>
      <c r="N93" s="157">
        <f>MouserListTable1218[[#This Row],['# Initial]]*MouserListTable1218[[#This Row],[Price (USD)]]</f>
        <v>0</v>
      </c>
      <c r="O93" s="106" t="s">
        <v>795</v>
      </c>
      <c r="P93" s="103">
        <f t="shared" si="1"/>
        <v>80</v>
      </c>
      <c r="Q93" s="103" t="s">
        <v>8</v>
      </c>
      <c r="R9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474-PRT-13855</v>
      </c>
      <c r="S93" s="121">
        <v>0</v>
      </c>
      <c r="T93" s="121">
        <v>2</v>
      </c>
      <c r="U93" s="121">
        <v>0</v>
      </c>
      <c r="V93" s="121">
        <f>MouserListTable1218[[#This Row],['#/Unit]]*FilterSpecs!$C$3+MouserListTable1218[[#This Row],[Extra]]</f>
        <v>2</v>
      </c>
      <c r="W93" s="121">
        <f>IF(MouserListTable1218[[#This Row],[Tag]]=FilterSpecs!$F$7,MouserListTable1218[[#This Row],[Price (USD)]],0)</f>
        <v>0</v>
      </c>
      <c r="X93" s="121">
        <f>MouserListTable1218[[#This Row],[Tot '#]]*MouserListTable1218[[#This Row],[Price (USD)]]</f>
        <v>25.9</v>
      </c>
    </row>
    <row r="94" spans="1:24" s="146" customFormat="1" x14ac:dyDescent="0.3">
      <c r="A94" s="103" t="s">
        <v>894</v>
      </c>
      <c r="B94" s="103" t="s">
        <v>2034</v>
      </c>
      <c r="C94" s="103" t="s">
        <v>8</v>
      </c>
      <c r="D94" s="106" t="str">
        <f>IF(MouserListTable1218[[#This Row],[Vendor]]=FilterSpecs!$A$8,MouserListTable1218[[#This Row],[Mouser SKU]], MouserListTable1218[[#This Row],[Supplier SKU]])</f>
        <v>PRT-13032</v>
      </c>
      <c r="E94" s="121">
        <f>MouserListTable1218[[#This Row],[Tot '#]]-MouserListTable1218[[#This Row],['# Initial]]</f>
        <v>0</v>
      </c>
      <c r="F94" s="121">
        <f>MouserListTable1218[[#This Row],['#/Unit]]*FilterSpecs!$B$3+MouserListTable1218[[#This Row],[Extra Initial]]</f>
        <v>5</v>
      </c>
      <c r="G94" s="103" t="s">
        <v>45</v>
      </c>
      <c r="H94" s="103" t="s">
        <v>46</v>
      </c>
      <c r="I94" s="103" t="s">
        <v>47</v>
      </c>
      <c r="J94" s="146">
        <v>1</v>
      </c>
      <c r="K94" s="157">
        <v>9.9499999999999993</v>
      </c>
      <c r="L94" s="103" t="s">
        <v>1911</v>
      </c>
      <c r="M94" s="106"/>
      <c r="N94" s="157">
        <f>MouserListTable1218[[#This Row],['# Initial]]*MouserListTable1218[[#This Row],[Price (USD)]]</f>
        <v>49.75</v>
      </c>
      <c r="O94" s="106" t="s">
        <v>44</v>
      </c>
      <c r="P94" s="103">
        <f t="shared" si="1"/>
        <v>81</v>
      </c>
      <c r="Q94" s="103" t="s">
        <v>8</v>
      </c>
      <c r="R9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474-PRT-13032</v>
      </c>
      <c r="S94" s="121">
        <v>1</v>
      </c>
      <c r="T94" s="121">
        <v>0</v>
      </c>
      <c r="U94" s="121">
        <v>0</v>
      </c>
      <c r="V94" s="121">
        <f>MouserListTable1218[[#This Row],['#/Unit]]*FilterSpecs!$C$3+MouserListTable1218[[#This Row],[Extra]]</f>
        <v>5</v>
      </c>
      <c r="W94" s="121">
        <f>IF(MouserListTable1218[[#This Row],[Tag]]=FilterSpecs!$F$7,MouserListTable1218[[#This Row],[Price (USD)]],0)</f>
        <v>9.9499999999999993</v>
      </c>
      <c r="X94" s="121">
        <f>MouserListTable1218[[#This Row],[Tot '#]]*MouserListTable1218[[#This Row],[Price (USD)]]</f>
        <v>49.75</v>
      </c>
    </row>
    <row r="95" spans="1:24" s="146" customFormat="1" x14ac:dyDescent="0.3">
      <c r="A95" s="103" t="s">
        <v>894</v>
      </c>
      <c r="B95" s="103" t="s">
        <v>2034</v>
      </c>
      <c r="C95" s="103" t="s">
        <v>8</v>
      </c>
      <c r="D95" s="106" t="str">
        <f>IF(MouserListTable1218[[#This Row],[Vendor]]=FilterSpecs!$A$8,MouserListTable1218[[#This Row],[Mouser SKU]], MouserListTable1218[[#This Row],[Supplier SKU]])</f>
        <v>PRT-00114</v>
      </c>
      <c r="E95" s="121">
        <f>MouserListTable1218[[#This Row],[Tot '#]]-MouserListTable1218[[#This Row],['# Initial]]</f>
        <v>2</v>
      </c>
      <c r="F95" s="121">
        <f>MouserListTable1218[[#This Row],['#/Unit]]*FilterSpecs!$B$3+MouserListTable1218[[#This Row],[Extra Initial]]</f>
        <v>0</v>
      </c>
      <c r="G95" s="103" t="s">
        <v>1206</v>
      </c>
      <c r="H95" s="103" t="s">
        <v>1207</v>
      </c>
      <c r="I95" s="103" t="s">
        <v>1208</v>
      </c>
      <c r="J95" s="146">
        <v>1</v>
      </c>
      <c r="K95" s="157">
        <v>9.9499999999999993</v>
      </c>
      <c r="L95" s="103" t="s">
        <v>1913</v>
      </c>
      <c r="M95" s="106"/>
      <c r="N95" s="157">
        <f>MouserListTable1218[[#This Row],['# Initial]]*MouserListTable1218[[#This Row],[Price (USD)]]</f>
        <v>0</v>
      </c>
      <c r="O95" s="106" t="s">
        <v>1205</v>
      </c>
      <c r="P95" s="103">
        <f t="shared" si="1"/>
        <v>82</v>
      </c>
      <c r="Q95" s="103" t="s">
        <v>8</v>
      </c>
      <c r="R9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474-PRT-00114</v>
      </c>
      <c r="S95" s="121">
        <v>0</v>
      </c>
      <c r="T95" s="121">
        <v>2</v>
      </c>
      <c r="U95" s="121">
        <v>0</v>
      </c>
      <c r="V95" s="121">
        <f>MouserListTable1218[[#This Row],['#/Unit]]*FilterSpecs!$C$3+MouserListTable1218[[#This Row],[Extra]]</f>
        <v>2</v>
      </c>
      <c r="W95" s="121">
        <f>IF(MouserListTable1218[[#This Row],[Tag]]=FilterSpecs!$F$7,MouserListTable1218[[#This Row],[Price (USD)]],0)</f>
        <v>0</v>
      </c>
      <c r="X95" s="121">
        <f>MouserListTable1218[[#This Row],[Tot '#]]*MouserListTable1218[[#This Row],[Price (USD)]]</f>
        <v>19.899999999999999</v>
      </c>
    </row>
    <row r="96" spans="1:24" s="146" customFormat="1" x14ac:dyDescent="0.3">
      <c r="A96" s="126" t="s">
        <v>894</v>
      </c>
      <c r="B96" s="103" t="s">
        <v>2034</v>
      </c>
      <c r="C96" s="103" t="s">
        <v>1898</v>
      </c>
      <c r="D96" s="106" t="str">
        <f>IF(MouserListTable1218[[#This Row],[Vendor]]=FilterSpecs!$A$8,MouserListTable1218[[#This Row],[Mouser SKU]], MouserListTable1218[[#This Row],[Supplier SKU]])</f>
        <v>184</v>
      </c>
      <c r="E96" s="121">
        <f>MouserListTable1218[[#This Row],[Tot '#]]-MouserListTable1218[[#This Row],['# Initial]]</f>
        <v>0</v>
      </c>
      <c r="F96" s="121">
        <f>MouserListTable1218[[#This Row],['#/Unit]]*FilterSpecs!$B$3+MouserListTable1218[[#This Row],[Extra Initial]]</f>
        <v>0</v>
      </c>
      <c r="G96" s="103"/>
      <c r="H96" s="103"/>
      <c r="I96" s="126" t="s">
        <v>2288</v>
      </c>
      <c r="K96" s="158">
        <v>14.95</v>
      </c>
      <c r="L96" s="126" t="s">
        <v>1910</v>
      </c>
      <c r="N96" s="157">
        <f>MouserListTable1218[[#This Row],['# Initial]]*MouserListTable1218[[#This Row],[Price (USD)]]</f>
        <v>0</v>
      </c>
      <c r="O96" s="106" t="s">
        <v>2287</v>
      </c>
      <c r="P96" s="103">
        <f t="shared" si="1"/>
        <v>83</v>
      </c>
      <c r="Q96" s="103" t="s">
        <v>1898</v>
      </c>
      <c r="R9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485-184</v>
      </c>
      <c r="S96" s="121">
        <v>0</v>
      </c>
      <c r="T96" s="121">
        <v>0</v>
      </c>
      <c r="U96" s="121">
        <v>0</v>
      </c>
      <c r="V96" s="121">
        <f>MouserListTable1218[[#This Row],['#/Unit]]*FilterSpecs!$C$3+MouserListTable1218[[#This Row],[Extra]]</f>
        <v>0</v>
      </c>
      <c r="W96" s="121">
        <f>IF(MouserListTable1218[[#This Row],[Tag]]=FilterSpecs!$F$7,MouserListTable1218[[#This Row],[Price (USD)]],0)</f>
        <v>0</v>
      </c>
      <c r="X96" s="121">
        <f>MouserListTable1218[[#This Row],[Tot '#]]*MouserListTable1218[[#This Row],[Price (USD)]]</f>
        <v>0</v>
      </c>
    </row>
    <row r="97" spans="1:24" s="146" customFormat="1" x14ac:dyDescent="0.3">
      <c r="A97" s="103" t="s">
        <v>894</v>
      </c>
      <c r="B97" s="103" t="s">
        <v>2034</v>
      </c>
      <c r="C97" s="103" t="s">
        <v>8</v>
      </c>
      <c r="D97" s="106" t="str">
        <f>IF(MouserListTable1218[[#This Row],[Vendor]]=FilterSpecs!$A$8,MouserListTable1218[[#This Row],[Mouser SKU]], MouserListTable1218[[#This Row],[Supplier SKU]])</f>
        <v>PRT-10811</v>
      </c>
      <c r="E97" s="121">
        <f>MouserListTable1218[[#This Row],[Tot '#]]-MouserListTable1218[[#This Row],['# Initial]]</f>
        <v>1</v>
      </c>
      <c r="F97" s="121">
        <f>MouserListTable1218[[#This Row],['#/Unit]]*FilterSpecs!$B$3+MouserListTable1218[[#This Row],[Extra Initial]]</f>
        <v>5</v>
      </c>
      <c r="G97" s="103" t="s">
        <v>572</v>
      </c>
      <c r="H97" s="103" t="s">
        <v>573</v>
      </c>
      <c r="I97" s="103" t="s">
        <v>574</v>
      </c>
      <c r="K97" s="157">
        <v>0.95</v>
      </c>
      <c r="L97" s="103" t="s">
        <v>1911</v>
      </c>
      <c r="M97" s="106"/>
      <c r="N97" s="157">
        <f>MouserListTable1218[[#This Row],['# Initial]]*MouserListTable1218[[#This Row],[Price (USD)]]</f>
        <v>4.75</v>
      </c>
      <c r="O97" s="106" t="s">
        <v>571</v>
      </c>
      <c r="P97" s="103">
        <f t="shared" si="1"/>
        <v>84</v>
      </c>
      <c r="Q97" s="103" t="s">
        <v>8</v>
      </c>
      <c r="R9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474-PRT-10811</v>
      </c>
      <c r="S97" s="121">
        <v>1</v>
      </c>
      <c r="T97" s="121">
        <v>1</v>
      </c>
      <c r="U97" s="121">
        <v>0</v>
      </c>
      <c r="V97" s="121">
        <f>MouserListTable1218[[#This Row],['#/Unit]]*FilterSpecs!$C$3+MouserListTable1218[[#This Row],[Extra]]</f>
        <v>6</v>
      </c>
      <c r="W97" s="121">
        <f>IF(MouserListTable1218[[#This Row],[Tag]]=FilterSpecs!$F$7,MouserListTable1218[[#This Row],[Price (USD)]],0)</f>
        <v>0.95</v>
      </c>
      <c r="X97" s="121">
        <f>MouserListTable1218[[#This Row],[Tot '#]]*MouserListTable1218[[#This Row],[Price (USD)]]</f>
        <v>5.6999999999999993</v>
      </c>
    </row>
    <row r="98" spans="1:24" s="146" customFormat="1" x14ac:dyDescent="0.3">
      <c r="A98" s="126" t="s">
        <v>894</v>
      </c>
      <c r="B98" s="103" t="s">
        <v>2034</v>
      </c>
      <c r="C98" s="103" t="s">
        <v>1898</v>
      </c>
      <c r="D98" s="106" t="str">
        <f>IF(MouserListTable1218[[#This Row],[Vendor]]=FilterSpecs!$A$8,MouserListTable1218[[#This Row],[Mouser SKU]], MouserListTable1218[[#This Row],[Supplier SKU]])</f>
        <v>373</v>
      </c>
      <c r="E98" s="121">
        <f>MouserListTable1218[[#This Row],[Tot '#]]-MouserListTable1218[[#This Row],['# Initial]]</f>
        <v>0</v>
      </c>
      <c r="F98" s="121">
        <f>MouserListTable1218[[#This Row],['#/Unit]]*FilterSpecs!$B$3+MouserListTable1218[[#This Row],[Extra Initial]]</f>
        <v>0</v>
      </c>
      <c r="G98" s="103"/>
      <c r="H98" s="103"/>
      <c r="I98" s="126" t="s">
        <v>2222</v>
      </c>
      <c r="K98" s="158">
        <v>0.95</v>
      </c>
      <c r="L98" s="126" t="s">
        <v>1910</v>
      </c>
      <c r="N98" s="157">
        <f>MouserListTable1218[[#This Row],['# Initial]]*MouserListTable1218[[#This Row],[Price (USD)]]</f>
        <v>0</v>
      </c>
      <c r="O98" s="106" t="s">
        <v>2221</v>
      </c>
      <c r="P98" s="103">
        <f t="shared" si="1"/>
        <v>85</v>
      </c>
      <c r="Q98" s="103" t="s">
        <v>1898</v>
      </c>
      <c r="R9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485-373</v>
      </c>
      <c r="S98" s="121">
        <v>0</v>
      </c>
      <c r="T98" s="121">
        <v>0</v>
      </c>
      <c r="U98" s="121">
        <v>0</v>
      </c>
      <c r="V98" s="121">
        <f>MouserListTable1218[[#This Row],['#/Unit]]*FilterSpecs!$C$3+MouserListTable1218[[#This Row],[Extra]]</f>
        <v>0</v>
      </c>
      <c r="W98" s="121">
        <f>IF(MouserListTable1218[[#This Row],[Tag]]=FilterSpecs!$F$7,MouserListTable1218[[#This Row],[Price (USD)]],0)</f>
        <v>0</v>
      </c>
      <c r="X98" s="121">
        <f>MouserListTable1218[[#This Row],[Tot '#]]*MouserListTable1218[[#This Row],[Price (USD)]]</f>
        <v>0</v>
      </c>
    </row>
    <row r="99" spans="1:24" s="146" customFormat="1" x14ac:dyDescent="0.3">
      <c r="A99" s="103" t="s">
        <v>894</v>
      </c>
      <c r="B99" s="106" t="s">
        <v>2035</v>
      </c>
      <c r="C99" s="103" t="s">
        <v>8</v>
      </c>
      <c r="D99" s="106" t="str">
        <f>IF(MouserListTable1218[[#This Row],[Vendor]]=FilterSpecs!$A$8,MouserListTable1218[[#This Row],[Mouser SKU]], MouserListTable1218[[#This Row],[Supplier SKU]])</f>
        <v>PRT-11214</v>
      </c>
      <c r="E99" s="121">
        <f>MouserListTable1218[[#This Row],[Tot '#]]-MouserListTable1218[[#This Row],['# Initial]]</f>
        <v>0</v>
      </c>
      <c r="F99" s="121">
        <f>MouserListTable1218[[#This Row],['#/Unit]]*FilterSpecs!$B$3+MouserListTable1218[[#This Row],[Extra Initial]]</f>
        <v>5</v>
      </c>
      <c r="G99" s="103" t="s">
        <v>808</v>
      </c>
      <c r="H99" s="103" t="s">
        <v>809</v>
      </c>
      <c r="I99" s="103" t="s">
        <v>810</v>
      </c>
      <c r="J99" s="103">
        <v>1</v>
      </c>
      <c r="K99" s="157">
        <v>6.95</v>
      </c>
      <c r="L99" s="103" t="s">
        <v>1911</v>
      </c>
      <c r="M99" s="106"/>
      <c r="N99" s="157">
        <f>MouserListTable1218[[#This Row],['# Initial]]*MouserListTable1218[[#This Row],[Price (USD)]]</f>
        <v>34.75</v>
      </c>
      <c r="O99" s="106" t="s">
        <v>807</v>
      </c>
      <c r="P99" s="103">
        <f t="shared" si="1"/>
        <v>86</v>
      </c>
      <c r="Q99" s="103" t="s">
        <v>8</v>
      </c>
      <c r="R9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474-PRT-11214</v>
      </c>
      <c r="S99" s="121">
        <v>1</v>
      </c>
      <c r="T99" s="121">
        <v>0</v>
      </c>
      <c r="U99" s="121">
        <v>0</v>
      </c>
      <c r="V99" s="121">
        <f>MouserListTable1218[[#This Row],['#/Unit]]*FilterSpecs!$C$3+MouserListTable1218[[#This Row],[Extra]]</f>
        <v>5</v>
      </c>
      <c r="W99" s="121">
        <f>IF(MouserListTable1218[[#This Row],[Tag]]=FilterSpecs!$F$7,MouserListTable1218[[#This Row],[Price (USD)]],0)</f>
        <v>6.95</v>
      </c>
      <c r="X99" s="121">
        <f>MouserListTable1218[[#This Row],[Tot '#]]*MouserListTable1218[[#This Row],[Price (USD)]]</f>
        <v>34.75</v>
      </c>
    </row>
    <row r="100" spans="1:24" s="146" customFormat="1" x14ac:dyDescent="0.3">
      <c r="A100" s="126" t="s">
        <v>894</v>
      </c>
      <c r="B100" s="126" t="s">
        <v>2035</v>
      </c>
      <c r="C100" s="126" t="s">
        <v>1898</v>
      </c>
      <c r="D100" s="106" t="str">
        <f>IF(MouserListTable1218[[#This Row],[Vendor]]=FilterSpecs!$A$8,MouserListTable1218[[#This Row],[Mouser SKU]], MouserListTable1218[[#This Row],[Supplier SKU]])</f>
        <v>1125</v>
      </c>
      <c r="E100" s="121">
        <f>MouserListTable1218[[#This Row],[Tot '#]]-MouserListTable1218[[#This Row],['# Initial]]</f>
        <v>0</v>
      </c>
      <c r="F100" s="121">
        <f>MouserListTable1218[[#This Row],['#/Unit]]*FilterSpecs!$B$3+MouserListTable1218[[#This Row],[Extra Initial]]</f>
        <v>0</v>
      </c>
      <c r="G100" s="103"/>
      <c r="H100" s="103"/>
      <c r="I100" s="103" t="s">
        <v>2282</v>
      </c>
      <c r="J100" s="103"/>
      <c r="K100" s="157">
        <v>2.5</v>
      </c>
      <c r="L100" s="103" t="s">
        <v>1910</v>
      </c>
      <c r="N100" s="157">
        <f>MouserListTable1218[[#This Row],['# Initial]]*MouserListTable1218[[#This Row],[Price (USD)]]</f>
        <v>0</v>
      </c>
      <c r="O100" s="106" t="s">
        <v>2281</v>
      </c>
      <c r="P100" s="103">
        <f t="shared" si="1"/>
        <v>87</v>
      </c>
      <c r="Q100" s="103" t="s">
        <v>1898</v>
      </c>
      <c r="R10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485-1125</v>
      </c>
      <c r="S100" s="121">
        <v>0</v>
      </c>
      <c r="T100" s="121">
        <v>0</v>
      </c>
      <c r="U100" s="121">
        <v>0</v>
      </c>
      <c r="V100" s="121">
        <f>MouserListTable1218[[#This Row],['#/Unit]]*FilterSpecs!$C$3+MouserListTable1218[[#This Row],[Extra]]</f>
        <v>0</v>
      </c>
      <c r="W100" s="121">
        <f>IF(MouserListTable1218[[#This Row],[Tag]]=FilterSpecs!$F$7,MouserListTable1218[[#This Row],[Price (USD)]],0)</f>
        <v>0</v>
      </c>
      <c r="X100" s="121">
        <f>MouserListTable1218[[#This Row],[Tot '#]]*MouserListTable1218[[#This Row],[Price (USD)]]</f>
        <v>0</v>
      </c>
    </row>
    <row r="101" spans="1:24" s="146" customFormat="1" x14ac:dyDescent="0.3">
      <c r="A101" s="103" t="s">
        <v>894</v>
      </c>
      <c r="B101" s="103" t="s">
        <v>2037</v>
      </c>
      <c r="C101" s="103" t="s">
        <v>1898</v>
      </c>
      <c r="D101" s="106" t="str">
        <f>IF(MouserListTable1218[[#This Row],[Vendor]]=FilterSpecs!$A$8,MouserListTable1218[[#This Row],[Mouser SKU]], MouserListTable1218[[#This Row],[Supplier SKU]])</f>
        <v>743</v>
      </c>
      <c r="E101" s="121">
        <f>MouserListTable1218[[#This Row],[Tot '#]]-MouserListTable1218[[#This Row],['# Initial]]</f>
        <v>1</v>
      </c>
      <c r="F101" s="121">
        <f>MouserListTable1218[[#This Row],['#/Unit]]*FilterSpecs!$B$3+MouserListTable1218[[#This Row],[Extra Initial]]</f>
        <v>5</v>
      </c>
      <c r="G101" s="103"/>
      <c r="H101" s="103"/>
      <c r="I101" s="103" t="s">
        <v>2088</v>
      </c>
      <c r="J101" s="103"/>
      <c r="K101" s="157">
        <v>2.5</v>
      </c>
      <c r="L101" s="103" t="s">
        <v>1911</v>
      </c>
      <c r="M101" s="106"/>
      <c r="N101" s="157">
        <f>MouserListTable1218[[#This Row],['# Initial]]*MouserListTable1218[[#This Row],[Price (USD)]]</f>
        <v>12.5</v>
      </c>
      <c r="O101" s="106" t="s">
        <v>2089</v>
      </c>
      <c r="P101" s="103">
        <f t="shared" si="1"/>
        <v>88</v>
      </c>
      <c r="Q101" s="103" t="s">
        <v>1898</v>
      </c>
      <c r="R10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485-743</v>
      </c>
      <c r="S101" s="121">
        <v>1</v>
      </c>
      <c r="T101" s="121">
        <v>1</v>
      </c>
      <c r="U101" s="121">
        <v>0</v>
      </c>
      <c r="V101" s="121">
        <f>MouserListTable1218[[#This Row],['#/Unit]]*FilterSpecs!$C$3+MouserListTable1218[[#This Row],[Extra]]</f>
        <v>6</v>
      </c>
      <c r="W101" s="121">
        <f>IF(MouserListTable1218[[#This Row],[Tag]]=FilterSpecs!$F$7,MouserListTable1218[[#This Row],[Price (USD)]],0)</f>
        <v>2.5</v>
      </c>
      <c r="X101" s="121">
        <f>MouserListTable1218[[#This Row],[Tot '#]]*MouserListTable1218[[#This Row],[Price (USD)]]</f>
        <v>15</v>
      </c>
    </row>
    <row r="102" spans="1:24" s="146" customFormat="1" x14ac:dyDescent="0.3">
      <c r="A102" s="126" t="s">
        <v>894</v>
      </c>
      <c r="B102" s="126" t="s">
        <v>2037</v>
      </c>
      <c r="C102" s="126" t="s">
        <v>8</v>
      </c>
      <c r="D102" s="106" t="str">
        <f>IF(MouserListTable1218[[#This Row],[Vendor]]=FilterSpecs!$A$8,MouserListTable1218[[#This Row],[Mouser SKU]], MouserListTable1218[[#This Row],[Supplier SKU]])</f>
        <v>PRT-10288</v>
      </c>
      <c r="E102" s="121">
        <f>MouserListTable1218[[#This Row],[Tot '#]]-MouserListTable1218[[#This Row],['# Initial]]</f>
        <v>0</v>
      </c>
      <c r="F102" s="121">
        <f>MouserListTable1218[[#This Row],['#/Unit]]*FilterSpecs!$B$3+MouserListTable1218[[#This Row],[Extra Initial]]</f>
        <v>0</v>
      </c>
      <c r="G102" s="103" t="s">
        <v>1028</v>
      </c>
      <c r="H102" s="103" t="s">
        <v>1029</v>
      </c>
      <c r="I102" s="103" t="s">
        <v>1030</v>
      </c>
      <c r="J102" s="103"/>
      <c r="K102" s="157">
        <v>2.95</v>
      </c>
      <c r="L102" s="103" t="s">
        <v>1912</v>
      </c>
      <c r="M102" s="103"/>
      <c r="N102" s="157">
        <f>MouserListTable1218[[#This Row],['# Initial]]*MouserListTable1218[[#This Row],[Price (USD)]]</f>
        <v>0</v>
      </c>
      <c r="O102" s="106" t="s">
        <v>1027</v>
      </c>
      <c r="P102" s="103">
        <f t="shared" si="1"/>
        <v>89</v>
      </c>
      <c r="Q102" s="103" t="s">
        <v>8</v>
      </c>
      <c r="R10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474-PRT-10288</v>
      </c>
      <c r="S102" s="121">
        <v>0</v>
      </c>
      <c r="T102" s="121">
        <v>0</v>
      </c>
      <c r="U102" s="121">
        <v>0</v>
      </c>
      <c r="V102" s="121">
        <f>MouserListTable1218[[#This Row],['#/Unit]]*FilterSpecs!$C$3+MouserListTable1218[[#This Row],[Extra]]</f>
        <v>0</v>
      </c>
      <c r="W102" s="121">
        <f>IF(MouserListTable1218[[#This Row],[Tag]]=FilterSpecs!$F$7,MouserListTable1218[[#This Row],[Price (USD)]],0)</f>
        <v>0</v>
      </c>
      <c r="X102" s="121">
        <f>MouserListTable1218[[#This Row],[Tot '#]]*MouserListTable1218[[#This Row],[Price (USD)]]</f>
        <v>0</v>
      </c>
    </row>
    <row r="103" spans="1:24" s="146" customFormat="1" x14ac:dyDescent="0.3">
      <c r="A103" s="126" t="s">
        <v>894</v>
      </c>
      <c r="B103" s="126" t="s">
        <v>2037</v>
      </c>
      <c r="C103" s="126" t="s">
        <v>8</v>
      </c>
      <c r="D103" s="106" t="str">
        <f>IF(MouserListTable1218[[#This Row],[Vendor]]=FilterSpecs!$A$8,MouserListTable1218[[#This Row],[Mouser SKU]], MouserListTable1218[[#This Row],[Supplier SKU]])</f>
        <v>PRT-10287</v>
      </c>
      <c r="E103" s="121">
        <f>MouserListTable1218[[#This Row],[Tot '#]]-MouserListTable1218[[#This Row],['# Initial]]</f>
        <v>0</v>
      </c>
      <c r="F103" s="121">
        <f>MouserListTable1218[[#This Row],['#/Unit]]*FilterSpecs!$B$3+MouserListTable1218[[#This Row],[Extra Initial]]</f>
        <v>0</v>
      </c>
      <c r="G103" s="103" t="s">
        <v>816</v>
      </c>
      <c r="H103" s="103" t="s">
        <v>817</v>
      </c>
      <c r="I103" s="103" t="s">
        <v>818</v>
      </c>
      <c r="J103" s="103"/>
      <c r="K103" s="157">
        <v>2.95</v>
      </c>
      <c r="L103" s="103" t="s">
        <v>1912</v>
      </c>
      <c r="M103" s="103"/>
      <c r="N103" s="157">
        <f>MouserListTable1218[[#This Row],['# Initial]]*MouserListTable1218[[#This Row],[Price (USD)]]</f>
        <v>0</v>
      </c>
      <c r="O103" s="106" t="s">
        <v>815</v>
      </c>
      <c r="P103" s="103">
        <f t="shared" si="1"/>
        <v>90</v>
      </c>
      <c r="Q103" s="103" t="s">
        <v>8</v>
      </c>
      <c r="R10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474-PRT-10287</v>
      </c>
      <c r="S103" s="121">
        <v>0</v>
      </c>
      <c r="T103" s="121">
        <v>0</v>
      </c>
      <c r="U103" s="121">
        <v>0</v>
      </c>
      <c r="V103" s="121">
        <f>MouserListTable1218[[#This Row],['#/Unit]]*FilterSpecs!$C$3+MouserListTable1218[[#This Row],[Extra]]</f>
        <v>0</v>
      </c>
      <c r="W103" s="121">
        <f>IF(MouserListTable1218[[#This Row],[Tag]]=FilterSpecs!$F$7,MouserListTable1218[[#This Row],[Price (USD)]],0)</f>
        <v>0</v>
      </c>
      <c r="X103" s="121">
        <f>MouserListTable1218[[#This Row],[Tot '#]]*MouserListTable1218[[#This Row],[Price (USD)]]</f>
        <v>0</v>
      </c>
    </row>
    <row r="104" spans="1:24" s="146" customFormat="1" x14ac:dyDescent="0.3">
      <c r="A104" s="126" t="s">
        <v>894</v>
      </c>
      <c r="B104" s="126" t="s">
        <v>2037</v>
      </c>
      <c r="C104" s="126" t="s">
        <v>1898</v>
      </c>
      <c r="D104" s="106" t="str">
        <f>IF(MouserListTable1218[[#This Row],[Vendor]]=FilterSpecs!$A$8,MouserListTable1218[[#This Row],[Mouser SKU]], MouserListTable1218[[#This Row],[Supplier SKU]])</f>
        <v>368</v>
      </c>
      <c r="E104" s="121">
        <f>MouserListTable1218[[#This Row],[Tot '#]]-MouserListTable1218[[#This Row],['# Initial]]</f>
        <v>0</v>
      </c>
      <c r="F104" s="121">
        <f>MouserListTable1218[[#This Row],['#/Unit]]*FilterSpecs!$B$3+MouserListTable1218[[#This Row],[Extra Initial]]</f>
        <v>0</v>
      </c>
      <c r="G104" s="103"/>
      <c r="H104" s="103"/>
      <c r="I104" s="103" t="s">
        <v>2224</v>
      </c>
      <c r="J104" s="103"/>
      <c r="K104" s="157">
        <v>2</v>
      </c>
      <c r="L104" s="103" t="s">
        <v>1910</v>
      </c>
      <c r="M104" s="103"/>
      <c r="N104" s="157">
        <f>MouserListTable1218[[#This Row],['# Initial]]*MouserListTable1218[[#This Row],[Price (USD)]]</f>
        <v>0</v>
      </c>
      <c r="O104" s="106" t="s">
        <v>2223</v>
      </c>
      <c r="P104" s="103">
        <f t="shared" si="1"/>
        <v>91</v>
      </c>
      <c r="Q104" s="103" t="s">
        <v>1898</v>
      </c>
      <c r="R10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485-368</v>
      </c>
      <c r="S104" s="121">
        <v>0</v>
      </c>
      <c r="T104" s="121">
        <v>0</v>
      </c>
      <c r="U104" s="121">
        <v>0</v>
      </c>
      <c r="V104" s="121">
        <f>MouserListTable1218[[#This Row],['#/Unit]]*FilterSpecs!$C$3+MouserListTable1218[[#This Row],[Extra]]</f>
        <v>0</v>
      </c>
      <c r="W104" s="121">
        <f>IF(MouserListTable1218[[#This Row],[Tag]]=FilterSpecs!$F$7,MouserListTable1218[[#This Row],[Price (USD)]],0)</f>
        <v>0</v>
      </c>
      <c r="X104" s="121">
        <f>MouserListTable1218[[#This Row],[Tot '#]]*MouserListTable1218[[#This Row],[Price (USD)]]</f>
        <v>0</v>
      </c>
    </row>
    <row r="105" spans="1:24" s="146" customFormat="1" x14ac:dyDescent="0.3">
      <c r="A105" s="126" t="s">
        <v>894</v>
      </c>
      <c r="B105" s="126" t="s">
        <v>2037</v>
      </c>
      <c r="C105" s="126" t="s">
        <v>1898</v>
      </c>
      <c r="D105" s="106" t="str">
        <f>IF(MouserListTable1218[[#This Row],[Vendor]]=FilterSpecs!$A$8,MouserListTable1218[[#This Row],[Mouser SKU]], MouserListTable1218[[#This Row],[Supplier SKU]])</f>
        <v>369</v>
      </c>
      <c r="E105" s="121">
        <f>MouserListTable1218[[#This Row],[Tot '#]]-MouserListTable1218[[#This Row],['# Initial]]</f>
        <v>0</v>
      </c>
      <c r="F105" s="121">
        <f>MouserListTable1218[[#This Row],['#/Unit]]*FilterSpecs!$B$3+MouserListTable1218[[#This Row],[Extra Initial]]</f>
        <v>0</v>
      </c>
      <c r="G105" s="103"/>
      <c r="H105" s="103"/>
      <c r="I105" s="103" t="s">
        <v>2226</v>
      </c>
      <c r="J105" s="103"/>
      <c r="K105" s="157">
        <v>2</v>
      </c>
      <c r="L105" s="103" t="s">
        <v>1910</v>
      </c>
      <c r="M105" s="103"/>
      <c r="N105" s="157">
        <f>MouserListTable1218[[#This Row],['# Initial]]*MouserListTable1218[[#This Row],[Price (USD)]]</f>
        <v>0</v>
      </c>
      <c r="O105" s="106" t="s">
        <v>2225</v>
      </c>
      <c r="P105" s="103">
        <f t="shared" si="1"/>
        <v>92</v>
      </c>
      <c r="Q105" s="103" t="s">
        <v>1898</v>
      </c>
      <c r="R10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485-369</v>
      </c>
      <c r="S105" s="121">
        <v>0</v>
      </c>
      <c r="T105" s="121">
        <v>0</v>
      </c>
      <c r="U105" s="121">
        <v>0</v>
      </c>
      <c r="V105" s="121">
        <f>MouserListTable1218[[#This Row],['#/Unit]]*FilterSpecs!$C$3+MouserListTable1218[[#This Row],[Extra]]</f>
        <v>0</v>
      </c>
      <c r="W105" s="121">
        <f>IF(MouserListTable1218[[#This Row],[Tag]]=FilterSpecs!$F$7,MouserListTable1218[[#This Row],[Price (USD)]],0)</f>
        <v>0</v>
      </c>
      <c r="X105" s="121">
        <f>MouserListTable1218[[#This Row],[Tot '#]]*MouserListTable1218[[#This Row],[Price (USD)]]</f>
        <v>0</v>
      </c>
    </row>
    <row r="106" spans="1:24" s="146" customFormat="1" x14ac:dyDescent="0.3">
      <c r="A106" s="103" t="s">
        <v>894</v>
      </c>
      <c r="B106" s="103" t="s">
        <v>2037</v>
      </c>
      <c r="C106" s="103" t="s">
        <v>8</v>
      </c>
      <c r="D106" s="106" t="str">
        <f>IF(MouserListTable1218[[#This Row],[Vendor]]=FilterSpecs!$A$8,MouserListTable1218[[#This Row],[Mouser SKU]], MouserListTable1218[[#This Row],[Supplier SKU]])</f>
        <v>PRT-13126</v>
      </c>
      <c r="E106" s="121">
        <f>MouserListTable1218[[#This Row],[Tot '#]]-MouserListTable1218[[#This Row],['# Initial]]</f>
        <v>2</v>
      </c>
      <c r="F106" s="121">
        <f>MouserListTable1218[[#This Row],['#/Unit]]*FilterSpecs!$B$3+MouserListTable1218[[#This Row],[Extra Initial]]</f>
        <v>0</v>
      </c>
      <c r="G106" s="103" t="s">
        <v>966</v>
      </c>
      <c r="H106" s="103" t="s">
        <v>967</v>
      </c>
      <c r="I106" s="103" t="s">
        <v>968</v>
      </c>
      <c r="J106" s="103">
        <v>1</v>
      </c>
      <c r="K106" s="157">
        <v>0.95</v>
      </c>
      <c r="L106" s="103" t="s">
        <v>1911</v>
      </c>
      <c r="M106" s="103"/>
      <c r="N106" s="157">
        <f>MouserListTable1218[[#This Row],['# Initial]]*MouserListTable1218[[#This Row],[Price (USD)]]</f>
        <v>0</v>
      </c>
      <c r="O106" s="106" t="s">
        <v>965</v>
      </c>
      <c r="P106" s="103">
        <f t="shared" si="1"/>
        <v>93</v>
      </c>
      <c r="Q106" s="103" t="s">
        <v>8</v>
      </c>
      <c r="R10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474-PRT-13126</v>
      </c>
      <c r="S106" s="121">
        <v>0</v>
      </c>
      <c r="T106" s="121">
        <v>2</v>
      </c>
      <c r="U106" s="121">
        <v>0</v>
      </c>
      <c r="V106" s="121">
        <f>MouserListTable1218[[#This Row],['#/Unit]]*FilterSpecs!$C$3+MouserListTable1218[[#This Row],[Extra]]</f>
        <v>2</v>
      </c>
      <c r="W106" s="121">
        <f>IF(MouserListTable1218[[#This Row],[Tag]]=FilterSpecs!$F$7,MouserListTable1218[[#This Row],[Price (USD)]],0)</f>
        <v>0.95</v>
      </c>
      <c r="X106" s="121">
        <f>MouserListTable1218[[#This Row],[Tot '#]]*MouserListTable1218[[#This Row],[Price (USD)]]</f>
        <v>1.9</v>
      </c>
    </row>
    <row r="107" spans="1:24" s="146" customFormat="1" x14ac:dyDescent="0.3">
      <c r="A107" s="103" t="s">
        <v>894</v>
      </c>
      <c r="B107" s="103" t="s">
        <v>2037</v>
      </c>
      <c r="C107" s="103" t="s">
        <v>8</v>
      </c>
      <c r="D107" s="106" t="str">
        <f>IF(MouserListTable1218[[#This Row],[Vendor]]=FilterSpecs!$A$8,MouserListTable1218[[#This Row],[Mouser SKU]], MouserListTable1218[[#This Row],[Supplier SKU]])</f>
        <v>PRT-11476</v>
      </c>
      <c r="E107" s="121">
        <f>MouserListTable1218[[#This Row],[Tot '#]]-MouserListTable1218[[#This Row],['# Initial]]</f>
        <v>1</v>
      </c>
      <c r="F107" s="121">
        <f>MouserListTable1218[[#This Row],['#/Unit]]*FilterSpecs!$B$3+MouserListTable1218[[#This Row],[Extra Initial]]</f>
        <v>5</v>
      </c>
      <c r="G107" s="103" t="s">
        <v>1024</v>
      </c>
      <c r="H107" s="103" t="s">
        <v>1025</v>
      </c>
      <c r="I107" s="103" t="s">
        <v>1026</v>
      </c>
      <c r="J107" s="146">
        <v>1</v>
      </c>
      <c r="K107" s="157">
        <v>0.95</v>
      </c>
      <c r="L107" s="103" t="s">
        <v>1911</v>
      </c>
      <c r="M107" s="106"/>
      <c r="N107" s="157">
        <f>MouserListTable1218[[#This Row],['# Initial]]*MouserListTable1218[[#This Row],[Price (USD)]]</f>
        <v>4.75</v>
      </c>
      <c r="O107" s="106" t="s">
        <v>1023</v>
      </c>
      <c r="P107" s="103">
        <f t="shared" si="1"/>
        <v>94</v>
      </c>
      <c r="Q107" s="103" t="s">
        <v>8</v>
      </c>
      <c r="R10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474-PRT-11476</v>
      </c>
      <c r="S107" s="121">
        <v>1</v>
      </c>
      <c r="T107" s="121">
        <v>1</v>
      </c>
      <c r="U107" s="121">
        <v>0</v>
      </c>
      <c r="V107" s="121">
        <f>MouserListTable1218[[#This Row],['#/Unit]]*FilterSpecs!$C$3+MouserListTable1218[[#This Row],[Extra]]</f>
        <v>6</v>
      </c>
      <c r="W107" s="121">
        <f>IF(MouserListTable1218[[#This Row],[Tag]]=FilterSpecs!$F$7,MouserListTable1218[[#This Row],[Price (USD)]],0)</f>
        <v>0.95</v>
      </c>
      <c r="X107" s="121">
        <f>MouserListTable1218[[#This Row],[Tot '#]]*MouserListTable1218[[#This Row],[Price (USD)]]</f>
        <v>5.6999999999999993</v>
      </c>
    </row>
    <row r="108" spans="1:24" s="146" customFormat="1" x14ac:dyDescent="0.3">
      <c r="A108" s="103" t="s">
        <v>894</v>
      </c>
      <c r="B108" s="103" t="s">
        <v>2037</v>
      </c>
      <c r="C108" s="103" t="s">
        <v>8</v>
      </c>
      <c r="D108" s="106" t="str">
        <f>IF(MouserListTable1218[[#This Row],[Vendor]]=FilterSpecs!$A$8,MouserListTable1218[[#This Row],[Mouser SKU]], MouserListTable1218[[#This Row],[Supplier SKU]])</f>
        <v>PRT-11474</v>
      </c>
      <c r="E108" s="121">
        <f>MouserListTable1218[[#This Row],[Tot '#]]-MouserListTable1218[[#This Row],['# Initial]]</f>
        <v>4</v>
      </c>
      <c r="F108" s="121">
        <f>MouserListTable1218[[#This Row],['#/Unit]]*FilterSpecs!$B$3+MouserListTable1218[[#This Row],[Extra Initial]]</f>
        <v>0</v>
      </c>
      <c r="G108" s="103" t="s">
        <v>2423</v>
      </c>
      <c r="H108" s="103" t="s">
        <v>2424</v>
      </c>
      <c r="I108" s="103" t="s">
        <v>2425</v>
      </c>
      <c r="J108" s="146">
        <v>1</v>
      </c>
      <c r="K108" s="157">
        <v>0.3</v>
      </c>
      <c r="L108" s="103" t="s">
        <v>1910</v>
      </c>
      <c r="M108" s="106"/>
      <c r="N108" s="157">
        <f>MouserListTable1218[[#This Row],['# Initial]]*MouserListTable1218[[#This Row],[Price (USD)]]</f>
        <v>0</v>
      </c>
      <c r="O108" s="106" t="s">
        <v>2422</v>
      </c>
      <c r="P108" s="103">
        <f t="shared" si="1"/>
        <v>95</v>
      </c>
      <c r="Q108" s="103" t="s">
        <v>8</v>
      </c>
      <c r="R10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474-PRT-11474</v>
      </c>
      <c r="S108" s="121">
        <v>0</v>
      </c>
      <c r="T108" s="121">
        <v>4</v>
      </c>
      <c r="U108" s="121">
        <v>0</v>
      </c>
      <c r="V108" s="121">
        <f>MouserListTable1218[[#This Row],['#/Unit]]*FilterSpecs!$C$3+MouserListTable1218[[#This Row],[Extra]]</f>
        <v>4</v>
      </c>
      <c r="W108" s="121">
        <f>IF(MouserListTable1218[[#This Row],[Tag]]=FilterSpecs!$F$7,MouserListTable1218[[#This Row],[Price (USD)]],0)</f>
        <v>0</v>
      </c>
      <c r="X108" s="121">
        <f>MouserListTable1218[[#This Row],[Tot '#]]*MouserListTable1218[[#This Row],[Price (USD)]]</f>
        <v>1.2</v>
      </c>
    </row>
    <row r="109" spans="1:24" s="146" customFormat="1" x14ac:dyDescent="0.3">
      <c r="A109" s="103" t="s">
        <v>894</v>
      </c>
      <c r="B109" s="103" t="s">
        <v>2037</v>
      </c>
      <c r="C109" s="103" t="s">
        <v>1898</v>
      </c>
      <c r="D109" s="106" t="str">
        <f>IF(MouserListTable1218[[#This Row],[Vendor]]=FilterSpecs!$A$8,MouserListTable1218[[#This Row],[Mouser SKU]], MouserListTable1218[[#This Row],[Supplier SKU]])</f>
        <v>1829</v>
      </c>
      <c r="E109" s="121">
        <f>MouserListTable1218[[#This Row],[Tot '#]]-MouserListTable1218[[#This Row],['# Initial]]</f>
        <v>0</v>
      </c>
      <c r="F109" s="121">
        <f>MouserListTable1218[[#This Row],['#/Unit]]*FilterSpecs!$B$3+MouserListTable1218[[#This Row],[Extra Initial]]</f>
        <v>0</v>
      </c>
      <c r="G109" s="103"/>
      <c r="H109" s="103"/>
      <c r="I109" s="126" t="s">
        <v>2290</v>
      </c>
      <c r="K109" s="158">
        <v>0.95</v>
      </c>
      <c r="L109" s="126" t="s">
        <v>1910</v>
      </c>
      <c r="N109" s="157">
        <f>MouserListTable1218[[#This Row],['# Initial]]*MouserListTable1218[[#This Row],[Price (USD)]]</f>
        <v>0</v>
      </c>
      <c r="O109" s="106" t="s">
        <v>2289</v>
      </c>
      <c r="P109" s="103">
        <f t="shared" si="1"/>
        <v>96</v>
      </c>
      <c r="Q109" s="103" t="s">
        <v>1898</v>
      </c>
      <c r="R10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485-1829</v>
      </c>
      <c r="S109" s="121">
        <v>0</v>
      </c>
      <c r="T109" s="121">
        <v>0</v>
      </c>
      <c r="U109" s="121">
        <v>0</v>
      </c>
      <c r="V109" s="121">
        <f>MouserListTable1218[[#This Row],['#/Unit]]*FilterSpecs!$C$3+MouserListTable1218[[#This Row],[Extra]]</f>
        <v>0</v>
      </c>
      <c r="W109" s="121">
        <f>IF(MouserListTable1218[[#This Row],[Tag]]=FilterSpecs!$F$7,MouserListTable1218[[#This Row],[Price (USD)]],0)</f>
        <v>0</v>
      </c>
      <c r="X109" s="121">
        <f>MouserListTable1218[[#This Row],[Tot '#]]*MouserListTable1218[[#This Row],[Price (USD)]]</f>
        <v>0</v>
      </c>
    </row>
    <row r="110" spans="1:24" s="146" customFormat="1" x14ac:dyDescent="0.3">
      <c r="A110" s="126" t="s">
        <v>894</v>
      </c>
      <c r="B110" s="126" t="s">
        <v>2037</v>
      </c>
      <c r="C110" s="126" t="s">
        <v>1898</v>
      </c>
      <c r="D110" s="106" t="str">
        <f>IF(MouserListTable1218[[#This Row],[Vendor]]=FilterSpecs!$A$8,MouserListTable1218[[#This Row],[Mouser SKU]], MouserListTable1218[[#This Row],[Supplier SKU]])</f>
        <v>1388</v>
      </c>
      <c r="E110" s="121">
        <f>MouserListTable1218[[#This Row],[Tot '#]]-MouserListTable1218[[#This Row],['# Initial]]</f>
        <v>0</v>
      </c>
      <c r="F110" s="121">
        <f>MouserListTable1218[[#This Row],['#/Unit]]*FilterSpecs!$B$3+MouserListTable1218[[#This Row],[Extra Initial]]</f>
        <v>0</v>
      </c>
      <c r="G110" s="103"/>
      <c r="H110" s="103"/>
      <c r="I110" s="103" t="s">
        <v>2292</v>
      </c>
      <c r="J110" s="103"/>
      <c r="K110" s="157">
        <v>0.95</v>
      </c>
      <c r="L110" s="146" t="s">
        <v>1910</v>
      </c>
      <c r="M110" s="103"/>
      <c r="N110" s="157">
        <f>MouserListTable1218[[#This Row],['# Initial]]*MouserListTable1218[[#This Row],[Price (USD)]]</f>
        <v>0</v>
      </c>
      <c r="O110" s="106" t="s">
        <v>2291</v>
      </c>
      <c r="P110" s="103">
        <f t="shared" si="1"/>
        <v>97</v>
      </c>
      <c r="Q110" s="103" t="s">
        <v>1898</v>
      </c>
      <c r="R11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485-1388</v>
      </c>
      <c r="S110" s="121">
        <v>0</v>
      </c>
      <c r="T110" s="121">
        <v>0</v>
      </c>
      <c r="U110" s="121">
        <v>0</v>
      </c>
      <c r="V110" s="121">
        <f>MouserListTable1218[[#This Row],['#/Unit]]*FilterSpecs!$C$3+MouserListTable1218[[#This Row],[Extra]]</f>
        <v>0</v>
      </c>
      <c r="W110" s="121">
        <f>IF(MouserListTable1218[[#This Row],[Tag]]=FilterSpecs!$F$7,MouserListTable1218[[#This Row],[Price (USD)]],0)</f>
        <v>0</v>
      </c>
      <c r="X110" s="121">
        <f>MouserListTable1218[[#This Row],[Tot '#]]*MouserListTable1218[[#This Row],[Price (USD)]]</f>
        <v>0</v>
      </c>
    </row>
    <row r="111" spans="1:24" s="146" customFormat="1" x14ac:dyDescent="0.3">
      <c r="A111" s="126" t="s">
        <v>894</v>
      </c>
      <c r="B111" s="126" t="s">
        <v>2037</v>
      </c>
      <c r="C111" s="126" t="s">
        <v>1898</v>
      </c>
      <c r="D111" s="106" t="str">
        <f>IF(MouserListTable1218[[#This Row],[Vendor]]=FilterSpecs!$A$8,MouserListTable1218[[#This Row],[Mouser SKU]], MouserListTable1218[[#This Row],[Supplier SKU]])</f>
        <v>1390</v>
      </c>
      <c r="E111" s="121">
        <f>MouserListTable1218[[#This Row],[Tot '#]]-MouserListTable1218[[#This Row],['# Initial]]</f>
        <v>0</v>
      </c>
      <c r="F111" s="121">
        <f>MouserListTable1218[[#This Row],['#/Unit]]*FilterSpecs!$B$3+MouserListTable1218[[#This Row],[Extra Initial]]</f>
        <v>0</v>
      </c>
      <c r="G111" s="103"/>
      <c r="H111" s="103"/>
      <c r="I111" s="103" t="s">
        <v>2294</v>
      </c>
      <c r="J111" s="103"/>
      <c r="K111" s="157">
        <v>0.95</v>
      </c>
      <c r="L111" s="146" t="s">
        <v>1910</v>
      </c>
      <c r="M111" s="103"/>
      <c r="N111" s="157">
        <f>MouserListTable1218[[#This Row],['# Initial]]*MouserListTable1218[[#This Row],[Price (USD)]]</f>
        <v>0</v>
      </c>
      <c r="O111" s="106" t="s">
        <v>2293</v>
      </c>
      <c r="P111" s="103">
        <f t="shared" si="1"/>
        <v>98</v>
      </c>
      <c r="Q111" s="103" t="s">
        <v>1898</v>
      </c>
      <c r="R11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485-1390</v>
      </c>
      <c r="S111" s="121">
        <v>0</v>
      </c>
      <c r="T111" s="121">
        <v>0</v>
      </c>
      <c r="U111" s="121">
        <v>0</v>
      </c>
      <c r="V111" s="121">
        <f>MouserListTable1218[[#This Row],['#/Unit]]*FilterSpecs!$C$3+MouserListTable1218[[#This Row],[Extra]]</f>
        <v>0</v>
      </c>
      <c r="W111" s="121">
        <f>IF(MouserListTable1218[[#This Row],[Tag]]=FilterSpecs!$F$7,MouserListTable1218[[#This Row],[Price (USD)]],0)</f>
        <v>0</v>
      </c>
      <c r="X111" s="121">
        <f>MouserListTable1218[[#This Row],[Tot '#]]*MouserListTable1218[[#This Row],[Price (USD)]]</f>
        <v>0</v>
      </c>
    </row>
    <row r="112" spans="1:24" s="146" customFormat="1" x14ac:dyDescent="0.3">
      <c r="A112" s="126" t="s">
        <v>894</v>
      </c>
      <c r="B112" s="126" t="s">
        <v>2037</v>
      </c>
      <c r="C112" s="126" t="s">
        <v>1898</v>
      </c>
      <c r="D112" s="106" t="str">
        <f>IF(MouserListTable1218[[#This Row],[Vendor]]=FilterSpecs!$A$8,MouserListTable1218[[#This Row],[Mouser SKU]], MouserListTable1218[[#This Row],[Supplier SKU]])</f>
        <v>1389</v>
      </c>
      <c r="E112" s="121">
        <f>MouserListTable1218[[#This Row],[Tot '#]]-MouserListTable1218[[#This Row],['# Initial]]</f>
        <v>0</v>
      </c>
      <c r="F112" s="121">
        <f>MouserListTable1218[[#This Row],['#/Unit]]*FilterSpecs!$B$3+MouserListTable1218[[#This Row],[Extra Initial]]</f>
        <v>0</v>
      </c>
      <c r="G112" s="103"/>
      <c r="H112" s="103"/>
      <c r="I112" s="103" t="s">
        <v>2296</v>
      </c>
      <c r="J112" s="103"/>
      <c r="K112" s="157">
        <v>0.95</v>
      </c>
      <c r="L112" s="146" t="s">
        <v>1910</v>
      </c>
      <c r="M112" s="103"/>
      <c r="N112" s="157">
        <f>MouserListTable1218[[#This Row],['# Initial]]*MouserListTable1218[[#This Row],[Price (USD)]]</f>
        <v>0</v>
      </c>
      <c r="O112" s="106" t="s">
        <v>2295</v>
      </c>
      <c r="P112" s="103">
        <f t="shared" si="1"/>
        <v>99</v>
      </c>
      <c r="Q112" s="103" t="s">
        <v>1898</v>
      </c>
      <c r="R11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485-1389</v>
      </c>
      <c r="S112" s="121">
        <v>0</v>
      </c>
      <c r="T112" s="121">
        <v>0</v>
      </c>
      <c r="U112" s="121">
        <v>0</v>
      </c>
      <c r="V112" s="121">
        <f>MouserListTable1218[[#This Row],['#/Unit]]*FilterSpecs!$C$3+MouserListTable1218[[#This Row],[Extra]]</f>
        <v>0</v>
      </c>
      <c r="W112" s="121">
        <f>IF(MouserListTable1218[[#This Row],[Tag]]=FilterSpecs!$F$7,MouserListTable1218[[#This Row],[Price (USD)]],0)</f>
        <v>0</v>
      </c>
      <c r="X112" s="121">
        <f>MouserListTable1218[[#This Row],[Tot '#]]*MouserListTable1218[[#This Row],[Price (USD)]]</f>
        <v>0</v>
      </c>
    </row>
    <row r="113" spans="1:24" s="146" customFormat="1" x14ac:dyDescent="0.3">
      <c r="A113" s="126" t="s">
        <v>894</v>
      </c>
      <c r="B113" s="126" t="s">
        <v>2037</v>
      </c>
      <c r="C113" s="126" t="s">
        <v>1898</v>
      </c>
      <c r="D113" s="106" t="str">
        <f>IF(MouserListTable1218[[#This Row],[Vendor]]=FilterSpecs!$A$8,MouserListTable1218[[#This Row],[Mouser SKU]], MouserListTable1218[[#This Row],[Supplier SKU]])</f>
        <v>1827</v>
      </c>
      <c r="E113" s="121">
        <f>MouserListTable1218[[#This Row],[Tot '#]]-MouserListTable1218[[#This Row],['# Initial]]</f>
        <v>0</v>
      </c>
      <c r="F113" s="121">
        <f>MouserListTable1218[[#This Row],['#/Unit]]*FilterSpecs!$B$3+MouserListTable1218[[#This Row],[Extra Initial]]</f>
        <v>0</v>
      </c>
      <c r="G113" s="103"/>
      <c r="H113" s="103"/>
      <c r="I113" s="103" t="s">
        <v>2298</v>
      </c>
      <c r="J113" s="103"/>
      <c r="K113" s="157">
        <v>0.95</v>
      </c>
      <c r="L113" s="146" t="s">
        <v>1910</v>
      </c>
      <c r="M113" s="103"/>
      <c r="N113" s="157">
        <f>MouserListTable1218[[#This Row],['# Initial]]*MouserListTable1218[[#This Row],[Price (USD)]]</f>
        <v>0</v>
      </c>
      <c r="O113" s="106" t="s">
        <v>2297</v>
      </c>
      <c r="P113" s="103">
        <f t="shared" si="1"/>
        <v>100</v>
      </c>
      <c r="Q113" s="103" t="s">
        <v>1898</v>
      </c>
      <c r="R11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485-1827</v>
      </c>
      <c r="S113" s="121">
        <v>0</v>
      </c>
      <c r="T113" s="121">
        <v>0</v>
      </c>
      <c r="U113" s="121">
        <v>0</v>
      </c>
      <c r="V113" s="121">
        <f>MouserListTable1218[[#This Row],['#/Unit]]*FilterSpecs!$C$3+MouserListTable1218[[#This Row],[Extra]]</f>
        <v>0</v>
      </c>
      <c r="W113" s="121">
        <f>IF(MouserListTable1218[[#This Row],[Tag]]=FilterSpecs!$F$7,MouserListTable1218[[#This Row],[Price (USD)]],0)</f>
        <v>0</v>
      </c>
      <c r="X113" s="121">
        <f>MouserListTable1218[[#This Row],[Tot '#]]*MouserListTable1218[[#This Row],[Price (USD)]]</f>
        <v>0</v>
      </c>
    </row>
    <row r="114" spans="1:24" s="146" customFormat="1" x14ac:dyDescent="0.3">
      <c r="A114" s="126" t="s">
        <v>894</v>
      </c>
      <c r="B114" s="126" t="s">
        <v>2037</v>
      </c>
      <c r="C114" s="126" t="s">
        <v>1898</v>
      </c>
      <c r="D114" s="106" t="str">
        <f>IF(MouserListTable1218[[#This Row],[Vendor]]=FilterSpecs!$A$8,MouserListTable1218[[#This Row],[Mouser SKU]], MouserListTable1218[[#This Row],[Supplier SKU]])</f>
        <v>1826</v>
      </c>
      <c r="E114" s="121">
        <f>MouserListTable1218[[#This Row],[Tot '#]]-MouserListTable1218[[#This Row],['# Initial]]</f>
        <v>0</v>
      </c>
      <c r="F114" s="121">
        <f>MouserListTable1218[[#This Row],['#/Unit]]*FilterSpecs!$B$3+MouserListTable1218[[#This Row],[Extra Initial]]</f>
        <v>0</v>
      </c>
      <c r="G114" s="103"/>
      <c r="H114" s="103"/>
      <c r="I114" s="103" t="s">
        <v>2300</v>
      </c>
      <c r="J114" s="103"/>
      <c r="K114" s="157">
        <v>0.95</v>
      </c>
      <c r="L114" s="146" t="s">
        <v>1910</v>
      </c>
      <c r="M114" s="103"/>
      <c r="N114" s="157">
        <f>MouserListTable1218[[#This Row],['# Initial]]*MouserListTable1218[[#This Row],[Price (USD)]]</f>
        <v>0</v>
      </c>
      <c r="O114" s="106" t="s">
        <v>2299</v>
      </c>
      <c r="P114" s="103">
        <f t="shared" si="1"/>
        <v>101</v>
      </c>
      <c r="Q114" s="103" t="s">
        <v>1898</v>
      </c>
      <c r="R11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485-1826</v>
      </c>
      <c r="S114" s="121">
        <v>0</v>
      </c>
      <c r="T114" s="121">
        <v>0</v>
      </c>
      <c r="U114" s="121">
        <v>0</v>
      </c>
      <c r="V114" s="121">
        <f>MouserListTable1218[[#This Row],['#/Unit]]*FilterSpecs!$C$3+MouserListTable1218[[#This Row],[Extra]]</f>
        <v>0</v>
      </c>
      <c r="W114" s="121">
        <f>IF(MouserListTable1218[[#This Row],[Tag]]=FilterSpecs!$F$7,MouserListTable1218[[#This Row],[Price (USD)]],0)</f>
        <v>0</v>
      </c>
      <c r="X114" s="121">
        <f>MouserListTable1218[[#This Row],[Tot '#]]*MouserListTable1218[[#This Row],[Price (USD)]]</f>
        <v>0</v>
      </c>
    </row>
    <row r="115" spans="1:24" s="146" customFormat="1" x14ac:dyDescent="0.3">
      <c r="A115" s="103" t="s">
        <v>894</v>
      </c>
      <c r="B115" s="103" t="s">
        <v>14</v>
      </c>
      <c r="C115" s="103" t="s">
        <v>8</v>
      </c>
      <c r="D115" s="106" t="str">
        <f>IF(MouserListTable1218[[#This Row],[Vendor]]=FilterSpecs!$A$8,MouserListTable1218[[#This Row],[Mouser SKU]], MouserListTable1218[[#This Row],[Supplier SKU]])</f>
        <v>SEN-00246</v>
      </c>
      <c r="E115" s="121">
        <f>MouserListTable1218[[#This Row],[Tot '#]]-MouserListTable1218[[#This Row],['# Initial]]</f>
        <v>0</v>
      </c>
      <c r="F115" s="121">
        <f>MouserListTable1218[[#This Row],['#/Unit]]*FilterSpecs!$B$3+MouserListTable1218[[#This Row],[Extra Initial]]</f>
        <v>0</v>
      </c>
      <c r="G115" s="103" t="s">
        <v>73</v>
      </c>
      <c r="H115" s="103" t="s">
        <v>74</v>
      </c>
      <c r="I115" s="103" t="s">
        <v>75</v>
      </c>
      <c r="J115" s="103">
        <v>1</v>
      </c>
      <c r="K115" s="157">
        <v>0.95</v>
      </c>
      <c r="L115" s="103" t="s">
        <v>1911</v>
      </c>
      <c r="M115" s="106"/>
      <c r="N115" s="157">
        <f>MouserListTable1218[[#This Row],['# Initial]]*MouserListTable1218[[#This Row],[Price (USD)]]</f>
        <v>0</v>
      </c>
      <c r="O115" s="106" t="s">
        <v>72</v>
      </c>
      <c r="P115" s="103">
        <f t="shared" si="1"/>
        <v>102</v>
      </c>
      <c r="Q115" s="103" t="s">
        <v>8</v>
      </c>
      <c r="R11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474-SEN-00246</v>
      </c>
      <c r="S115" s="121">
        <v>0</v>
      </c>
      <c r="T115" s="121">
        <v>0</v>
      </c>
      <c r="U115" s="121">
        <v>0</v>
      </c>
      <c r="V115" s="121">
        <f>MouserListTable1218[[#This Row],['#/Unit]]*FilterSpecs!$C$3+MouserListTable1218[[#This Row],[Extra]]</f>
        <v>0</v>
      </c>
      <c r="W115" s="121">
        <f>IF(MouserListTable1218[[#This Row],[Tag]]=FilterSpecs!$F$7,MouserListTable1218[[#This Row],[Price (USD)]],0)</f>
        <v>0.95</v>
      </c>
      <c r="X115" s="121">
        <f>MouserListTable1218[[#This Row],[Tot '#]]*MouserListTable1218[[#This Row],[Price (USD)]]</f>
        <v>0</v>
      </c>
    </row>
    <row r="116" spans="1:24" s="146" customFormat="1" x14ac:dyDescent="0.3">
      <c r="A116" s="103" t="s">
        <v>894</v>
      </c>
      <c r="B116" s="103" t="s">
        <v>14</v>
      </c>
      <c r="C116" s="103" t="s">
        <v>8</v>
      </c>
      <c r="D116" s="106" t="str">
        <f>IF(MouserListTable1218[[#This Row],[Vendor]]=FilterSpecs!$A$8,MouserListTable1218[[#This Row],[Mouser SKU]], MouserListTable1218[[#This Row],[Supplier SKU]])</f>
        <v>SEN-00241</v>
      </c>
      <c r="E116" s="121">
        <f>MouserListTable1218[[#This Row],[Tot '#]]-MouserListTable1218[[#This Row],['# Initial]]</f>
        <v>0</v>
      </c>
      <c r="F116" s="121">
        <f>MouserListTable1218[[#This Row],['#/Unit]]*FilterSpecs!$B$3+MouserListTable1218[[#This Row],[Extra Initial]]</f>
        <v>20</v>
      </c>
      <c r="G116" s="103" t="s">
        <v>77</v>
      </c>
      <c r="H116" s="103" t="s">
        <v>78</v>
      </c>
      <c r="I116" s="103" t="s">
        <v>79</v>
      </c>
      <c r="J116" s="103">
        <v>1</v>
      </c>
      <c r="K116" s="157">
        <v>1.95</v>
      </c>
      <c r="L116" s="103" t="s">
        <v>1911</v>
      </c>
      <c r="M116" s="106"/>
      <c r="N116" s="157">
        <f>MouserListTable1218[[#This Row],['# Initial]]*MouserListTable1218[[#This Row],[Price (USD)]]</f>
        <v>39</v>
      </c>
      <c r="O116" s="106" t="s">
        <v>76</v>
      </c>
      <c r="P116" s="103">
        <f t="shared" si="1"/>
        <v>103</v>
      </c>
      <c r="Q116" s="103" t="s">
        <v>8</v>
      </c>
      <c r="R11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474-SEN-00241</v>
      </c>
      <c r="S116" s="121">
        <v>4</v>
      </c>
      <c r="T116" s="121">
        <v>0</v>
      </c>
      <c r="U116" s="121">
        <v>0</v>
      </c>
      <c r="V116" s="121">
        <f>MouserListTable1218[[#This Row],['#/Unit]]*FilterSpecs!$C$3+MouserListTable1218[[#This Row],[Extra]]</f>
        <v>20</v>
      </c>
      <c r="W116" s="121">
        <f>IF(MouserListTable1218[[#This Row],[Tag]]=FilterSpecs!$F$7,MouserListTable1218[[#This Row],[Price (USD)]],0)</f>
        <v>1.95</v>
      </c>
      <c r="X116" s="121">
        <f>MouserListTable1218[[#This Row],[Tot '#]]*MouserListTable1218[[#This Row],[Price (USD)]]</f>
        <v>39</v>
      </c>
    </row>
    <row r="117" spans="1:24" s="146" customFormat="1" x14ac:dyDescent="0.3">
      <c r="A117" s="103" t="s">
        <v>894</v>
      </c>
      <c r="B117" s="103" t="s">
        <v>14</v>
      </c>
      <c r="C117" s="103" t="s">
        <v>8</v>
      </c>
      <c r="D117" s="106" t="str">
        <f>IF(MouserListTable1218[[#This Row],[Vendor]]=FilterSpecs!$A$8,MouserListTable1218[[#This Row],[Mouser SKU]], MouserListTable1218[[#This Row],[Supplier SKU]])</f>
        <v>SEN-13968</v>
      </c>
      <c r="E117" s="121">
        <f>MouserListTable1218[[#This Row],[Tot '#]]-MouserListTable1218[[#This Row],['# Initial]]</f>
        <v>0</v>
      </c>
      <c r="F117" s="121">
        <f>MouserListTable1218[[#This Row],['#/Unit]]*FilterSpecs!$B$3+MouserListTable1218[[#This Row],[Extra Initial]]</f>
        <v>5</v>
      </c>
      <c r="G117" s="103" t="s">
        <v>81</v>
      </c>
      <c r="H117" s="103" t="s">
        <v>82</v>
      </c>
      <c r="I117" s="103" t="s">
        <v>83</v>
      </c>
      <c r="J117" s="103"/>
      <c r="K117" s="157">
        <v>14.95</v>
      </c>
      <c r="L117" s="116" t="s">
        <v>1911</v>
      </c>
      <c r="M117" s="106"/>
      <c r="N117" s="157">
        <f>MouserListTable1218[[#This Row],['# Initial]]*MouserListTable1218[[#This Row],[Price (USD)]]</f>
        <v>74.75</v>
      </c>
      <c r="O117" s="106" t="s">
        <v>80</v>
      </c>
      <c r="P117" s="103">
        <f t="shared" si="1"/>
        <v>104</v>
      </c>
      <c r="Q117" s="103" t="s">
        <v>8</v>
      </c>
      <c r="R11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474-SEN-13968</v>
      </c>
      <c r="S117" s="121">
        <v>1</v>
      </c>
      <c r="T117" s="121">
        <v>0</v>
      </c>
      <c r="U117" s="121">
        <v>0</v>
      </c>
      <c r="V117" s="121">
        <f>MouserListTable1218[[#This Row],['#/Unit]]*FilterSpecs!$C$3+MouserListTable1218[[#This Row],[Extra]]</f>
        <v>5</v>
      </c>
      <c r="W117" s="121">
        <f>IF(MouserListTable1218[[#This Row],[Tag]]=FilterSpecs!$F$7,MouserListTable1218[[#This Row],[Price (USD)]],0)</f>
        <v>14.95</v>
      </c>
      <c r="X117" s="121">
        <f>MouserListTable1218[[#This Row],[Tot '#]]*MouserListTable1218[[#This Row],[Price (USD)]]</f>
        <v>74.75</v>
      </c>
    </row>
    <row r="118" spans="1:24" s="146" customFormat="1" x14ac:dyDescent="0.3">
      <c r="A118" s="103" t="s">
        <v>894</v>
      </c>
      <c r="B118" s="103" t="s">
        <v>14</v>
      </c>
      <c r="C118" s="103" t="s">
        <v>8</v>
      </c>
      <c r="D118" s="106" t="str">
        <f>IF(MouserListTable1218[[#This Row],[Vendor]]=FilterSpecs!$A$8,MouserListTable1218[[#This Row],[Mouser SKU]], MouserListTable1218[[#This Row],[Supplier SKU]])</f>
        <v>SEN-13959</v>
      </c>
      <c r="E118" s="121">
        <f>MouserListTable1218[[#This Row],[Tot '#]]-MouserListTable1218[[#This Row],['# Initial]]</f>
        <v>0</v>
      </c>
      <c r="F118" s="121">
        <f>MouserListTable1218[[#This Row],['#/Unit]]*FilterSpecs!$B$3+MouserListTable1218[[#This Row],[Extra Initial]]</f>
        <v>5</v>
      </c>
      <c r="G118" s="103" t="s">
        <v>85</v>
      </c>
      <c r="H118" s="103" t="s">
        <v>86</v>
      </c>
      <c r="I118" s="103" t="s">
        <v>87</v>
      </c>
      <c r="J118" s="103">
        <v>1</v>
      </c>
      <c r="K118" s="157">
        <v>3.95</v>
      </c>
      <c r="L118" s="103" t="s">
        <v>1911</v>
      </c>
      <c r="M118" s="106"/>
      <c r="N118" s="157">
        <f>MouserListTable1218[[#This Row],['# Initial]]*MouserListTable1218[[#This Row],[Price (USD)]]</f>
        <v>19.75</v>
      </c>
      <c r="O118" s="106" t="s">
        <v>84</v>
      </c>
      <c r="P118" s="103">
        <f t="shared" si="1"/>
        <v>105</v>
      </c>
      <c r="Q118" s="103" t="s">
        <v>8</v>
      </c>
      <c r="R11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474-SEN-13959</v>
      </c>
      <c r="S118" s="121">
        <v>1</v>
      </c>
      <c r="T118" s="121">
        <v>0</v>
      </c>
      <c r="U118" s="121">
        <v>0</v>
      </c>
      <c r="V118" s="121">
        <f>MouserListTable1218[[#This Row],['#/Unit]]*FilterSpecs!$C$3+MouserListTable1218[[#This Row],[Extra]]</f>
        <v>5</v>
      </c>
      <c r="W118" s="121">
        <f>IF(MouserListTable1218[[#This Row],[Tag]]=FilterSpecs!$F$7,MouserListTable1218[[#This Row],[Price (USD)]],0)</f>
        <v>3.95</v>
      </c>
      <c r="X118" s="121">
        <f>MouserListTable1218[[#This Row],[Tot '#]]*MouserListTable1218[[#This Row],[Price (USD)]]</f>
        <v>19.75</v>
      </c>
    </row>
    <row r="119" spans="1:24" s="146" customFormat="1" x14ac:dyDescent="0.3">
      <c r="A119" s="126" t="s">
        <v>894</v>
      </c>
      <c r="B119" s="126" t="s">
        <v>14</v>
      </c>
      <c r="C119" s="126" t="s">
        <v>8</v>
      </c>
      <c r="D119" s="106" t="str">
        <f>IF(MouserListTable1218[[#This Row],[Vendor]]=FilterSpecs!$A$8,MouserListTable1218[[#This Row],[Mouser SKU]], MouserListTable1218[[#This Row],[Supplier SKU]])</f>
        <v>SEN-12785</v>
      </c>
      <c r="E119" s="121">
        <f>MouserListTable1218[[#This Row],[Tot '#]]-MouserListTable1218[[#This Row],['# Initial]]</f>
        <v>0</v>
      </c>
      <c r="F119" s="121">
        <f>MouserListTable1218[[#This Row],['#/Unit]]*FilterSpecs!$B$3+MouserListTable1218[[#This Row],[Extra Initial]]</f>
        <v>0</v>
      </c>
      <c r="G119" s="103" t="s">
        <v>89</v>
      </c>
      <c r="H119" s="103" t="s">
        <v>90</v>
      </c>
      <c r="I119" s="103" t="s">
        <v>91</v>
      </c>
      <c r="J119" s="103">
        <v>1</v>
      </c>
      <c r="K119" s="157">
        <v>24.95</v>
      </c>
      <c r="L119" s="103" t="s">
        <v>1911</v>
      </c>
      <c r="N119" s="157">
        <f>MouserListTable1218[[#This Row],['# Initial]]*MouserListTable1218[[#This Row],[Price (USD)]]</f>
        <v>0</v>
      </c>
      <c r="O119" s="106" t="s">
        <v>88</v>
      </c>
      <c r="P119" s="103">
        <f t="shared" si="1"/>
        <v>106</v>
      </c>
      <c r="Q119" s="103" t="s">
        <v>8</v>
      </c>
      <c r="R11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474-SEN-12785</v>
      </c>
      <c r="S119" s="121">
        <v>0</v>
      </c>
      <c r="T119" s="121">
        <v>0</v>
      </c>
      <c r="U119" s="121">
        <v>0</v>
      </c>
      <c r="V119" s="121">
        <f>MouserListTable1218[[#This Row],['#/Unit]]*FilterSpecs!$C$3+MouserListTable1218[[#This Row],[Extra]]</f>
        <v>0</v>
      </c>
      <c r="W119" s="121">
        <f>IF(MouserListTable1218[[#This Row],[Tag]]=FilterSpecs!$F$7,MouserListTable1218[[#This Row],[Price (USD)]],0)</f>
        <v>24.95</v>
      </c>
      <c r="X119" s="121">
        <f>MouserListTable1218[[#This Row],[Tot '#]]*MouserListTable1218[[#This Row],[Price (USD)]]</f>
        <v>0</v>
      </c>
    </row>
    <row r="120" spans="1:24" s="146" customFormat="1" x14ac:dyDescent="0.3">
      <c r="A120" s="103" t="s">
        <v>894</v>
      </c>
      <c r="B120" s="103" t="s">
        <v>14</v>
      </c>
      <c r="C120" s="103" t="s">
        <v>8</v>
      </c>
      <c r="D120" s="106" t="str">
        <f>IF(MouserListTable1218[[#This Row],[Vendor]]=FilterSpecs!$A$8,MouserListTable1218[[#This Row],[Mouser SKU]], MouserListTable1218[[#This Row],[Supplier SKU]])</f>
        <v>SEN-13162</v>
      </c>
      <c r="E120" s="121">
        <f>MouserListTable1218[[#This Row],[Tot '#]]-MouserListTable1218[[#This Row],['# Initial]]</f>
        <v>0</v>
      </c>
      <c r="F120" s="121">
        <f>MouserListTable1218[[#This Row],['#/Unit]]*FilterSpecs!$B$3+MouserListTable1218[[#This Row],[Extra Initial]]</f>
        <v>0</v>
      </c>
      <c r="G120" s="103" t="s">
        <v>93</v>
      </c>
      <c r="H120" s="103" t="s">
        <v>94</v>
      </c>
      <c r="I120" s="103" t="s">
        <v>95</v>
      </c>
      <c r="J120" s="103"/>
      <c r="K120" s="157">
        <v>24.95</v>
      </c>
      <c r="L120" s="103" t="s">
        <v>1911</v>
      </c>
      <c r="M120" s="106"/>
      <c r="N120" s="157">
        <f>MouserListTable1218[[#This Row],['# Initial]]*MouserListTable1218[[#This Row],[Price (USD)]]</f>
        <v>0</v>
      </c>
      <c r="O120" s="106" t="s">
        <v>92</v>
      </c>
      <c r="P120" s="103">
        <f t="shared" si="1"/>
        <v>107</v>
      </c>
      <c r="Q120" s="103" t="s">
        <v>8</v>
      </c>
      <c r="R12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474-SEN-13162</v>
      </c>
      <c r="S120" s="121">
        <v>0</v>
      </c>
      <c r="T120" s="121">
        <v>0</v>
      </c>
      <c r="U120" s="121">
        <v>0</v>
      </c>
      <c r="V120" s="121">
        <f>MouserListTable1218[[#This Row],['#/Unit]]*FilterSpecs!$C$3+MouserListTable1218[[#This Row],[Extra]]</f>
        <v>0</v>
      </c>
      <c r="W120" s="121">
        <f>IF(MouserListTable1218[[#This Row],[Tag]]=FilterSpecs!$F$7,MouserListTable1218[[#This Row],[Price (USD)]],0)</f>
        <v>24.95</v>
      </c>
      <c r="X120" s="121">
        <f>MouserListTable1218[[#This Row],[Tot '#]]*MouserListTable1218[[#This Row],[Price (USD)]]</f>
        <v>0</v>
      </c>
    </row>
    <row r="121" spans="1:24" s="146" customFormat="1" x14ac:dyDescent="0.3">
      <c r="A121" s="126" t="s">
        <v>894</v>
      </c>
      <c r="B121" s="126" t="s">
        <v>14</v>
      </c>
      <c r="C121" s="126" t="s">
        <v>8</v>
      </c>
      <c r="D121" s="106" t="str">
        <f>IF(MouserListTable1218[[#This Row],[Vendor]]=FilterSpecs!$A$8,MouserListTable1218[[#This Row],[Mouser SKU]], MouserListTable1218[[#This Row],[Supplier SKU]])</f>
        <v>SEN-12787</v>
      </c>
      <c r="E121" s="121">
        <f>MouserListTable1218[[#This Row],[Tot '#]]-MouserListTable1218[[#This Row],['# Initial]]</f>
        <v>0</v>
      </c>
      <c r="F121" s="121">
        <f>MouserListTable1218[[#This Row],['#/Unit]]*FilterSpecs!$B$3+MouserListTable1218[[#This Row],[Extra Initial]]</f>
        <v>0</v>
      </c>
      <c r="G121" s="103" t="s">
        <v>97</v>
      </c>
      <c r="H121" s="103" t="s">
        <v>98</v>
      </c>
      <c r="I121" s="103" t="s">
        <v>99</v>
      </c>
      <c r="J121" s="103">
        <v>1</v>
      </c>
      <c r="K121" s="157">
        <v>14.95</v>
      </c>
      <c r="L121" s="103" t="s">
        <v>1911</v>
      </c>
      <c r="N121" s="157">
        <f>MouserListTable1218[[#This Row],['# Initial]]*MouserListTable1218[[#This Row],[Price (USD)]]</f>
        <v>0</v>
      </c>
      <c r="O121" s="106" t="s">
        <v>96</v>
      </c>
      <c r="P121" s="103">
        <f t="shared" si="1"/>
        <v>108</v>
      </c>
      <c r="Q121" s="103" t="s">
        <v>8</v>
      </c>
      <c r="R12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474-SEN-12787</v>
      </c>
      <c r="S121" s="121">
        <v>0</v>
      </c>
      <c r="T121" s="121">
        <v>0</v>
      </c>
      <c r="U121" s="121">
        <v>0</v>
      </c>
      <c r="V121" s="121">
        <f>MouserListTable1218[[#This Row],['#/Unit]]*FilterSpecs!$C$3+MouserListTable1218[[#This Row],[Extra]]</f>
        <v>0</v>
      </c>
      <c r="W121" s="121">
        <f>IF(MouserListTable1218[[#This Row],[Tag]]=FilterSpecs!$F$7,MouserListTable1218[[#This Row],[Price (USD)]],0)</f>
        <v>14.95</v>
      </c>
      <c r="X121" s="121">
        <f>MouserListTable1218[[#This Row],[Tot '#]]*MouserListTable1218[[#This Row],[Price (USD)]]</f>
        <v>0</v>
      </c>
    </row>
    <row r="122" spans="1:24" s="146" customFormat="1" x14ac:dyDescent="0.3">
      <c r="A122" s="103" t="s">
        <v>894</v>
      </c>
      <c r="B122" s="103" t="s">
        <v>14</v>
      </c>
      <c r="C122" s="103" t="s">
        <v>8</v>
      </c>
      <c r="D122" s="106" t="str">
        <f>IF(MouserListTable1218[[#This Row],[Vendor]]=FilterSpecs!$A$8,MouserListTable1218[[#This Row],[Mouser SKU]], MouserListTable1218[[#This Row],[Supplier SKU]])</f>
        <v>SPX-14343</v>
      </c>
      <c r="E122" s="121">
        <f>MouserListTable1218[[#This Row],[Tot '#]]-MouserListTable1218[[#This Row],['# Initial]]</f>
        <v>3</v>
      </c>
      <c r="F122" s="121">
        <f>MouserListTable1218[[#This Row],['#/Unit]]*FilterSpecs!$B$3+MouserListTable1218[[#This Row],[Extra Initial]]</f>
        <v>0</v>
      </c>
      <c r="G122" s="103" t="s">
        <v>101</v>
      </c>
      <c r="H122" s="103" t="s">
        <v>102</v>
      </c>
      <c r="I122" s="103" t="s">
        <v>103</v>
      </c>
      <c r="J122" s="103">
        <v>1</v>
      </c>
      <c r="K122" s="157">
        <v>19.95</v>
      </c>
      <c r="L122" s="103" t="s">
        <v>1912</v>
      </c>
      <c r="M122" s="106"/>
      <c r="N122" s="157">
        <f>MouserListTable1218[[#This Row],['# Initial]]*MouserListTable1218[[#This Row],[Price (USD)]]</f>
        <v>0</v>
      </c>
      <c r="O122" s="106" t="s">
        <v>100</v>
      </c>
      <c r="P122" s="103">
        <f t="shared" si="1"/>
        <v>109</v>
      </c>
      <c r="Q122" s="103" t="s">
        <v>8</v>
      </c>
      <c r="R12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474-SPX-14343</v>
      </c>
      <c r="S122" s="121">
        <v>0</v>
      </c>
      <c r="T122" s="121">
        <v>3</v>
      </c>
      <c r="U122" s="121">
        <v>0</v>
      </c>
      <c r="V122" s="121">
        <f>MouserListTable1218[[#This Row],['#/Unit]]*FilterSpecs!$C$3+MouserListTable1218[[#This Row],[Extra]]</f>
        <v>3</v>
      </c>
      <c r="W122" s="121">
        <f>IF(MouserListTable1218[[#This Row],[Tag]]=FilterSpecs!$F$7,MouserListTable1218[[#This Row],[Price (USD)]],0)</f>
        <v>0</v>
      </c>
      <c r="X122" s="121">
        <f>MouserListTable1218[[#This Row],[Tot '#]]*MouserListTable1218[[#This Row],[Price (USD)]]</f>
        <v>59.849999999999994</v>
      </c>
    </row>
    <row r="123" spans="1:24" s="144" customFormat="1" x14ac:dyDescent="0.3">
      <c r="A123" s="126" t="s">
        <v>894</v>
      </c>
      <c r="B123" s="126" t="s">
        <v>14</v>
      </c>
      <c r="C123" s="126" t="s">
        <v>8</v>
      </c>
      <c r="D123" s="106" t="str">
        <f>IF(MouserListTable1218[[#This Row],[Vendor]]=FilterSpecs!$A$8,MouserListTable1218[[#This Row],[Mouser SKU]], MouserListTable1218[[#This Row],[Supplier SKU]])</f>
        <v>SEN-00242</v>
      </c>
      <c r="E123" s="121">
        <f>MouserListTable1218[[#This Row],[Tot '#]]-MouserListTable1218[[#This Row],['# Initial]]</f>
        <v>0</v>
      </c>
      <c r="F123" s="121">
        <f>MouserListTable1218[[#This Row],['#/Unit]]*FilterSpecs!$B$3+MouserListTable1218[[#This Row],[Extra Initial]]</f>
        <v>0</v>
      </c>
      <c r="G123" s="103" t="s">
        <v>105</v>
      </c>
      <c r="H123" s="103" t="s">
        <v>106</v>
      </c>
      <c r="I123" s="103" t="s">
        <v>107</v>
      </c>
      <c r="J123" s="103">
        <v>1</v>
      </c>
      <c r="K123" s="157">
        <v>13.95</v>
      </c>
      <c r="L123" s="103" t="s">
        <v>1911</v>
      </c>
      <c r="M123" s="146"/>
      <c r="N123" s="157">
        <f>MouserListTable1218[[#This Row],['# Initial]]*MouserListTable1218[[#This Row],[Price (USD)]]</f>
        <v>0</v>
      </c>
      <c r="O123" s="106" t="s">
        <v>104</v>
      </c>
      <c r="P123" s="103">
        <f t="shared" si="1"/>
        <v>110</v>
      </c>
      <c r="Q123" s="103" t="s">
        <v>8</v>
      </c>
      <c r="R12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474-SEN-00242</v>
      </c>
      <c r="S123" s="121">
        <v>0</v>
      </c>
      <c r="T123" s="121">
        <v>0</v>
      </c>
      <c r="U123" s="121">
        <v>0</v>
      </c>
      <c r="V123" s="121">
        <f>MouserListTable1218[[#This Row],['#/Unit]]*FilterSpecs!$C$3+MouserListTable1218[[#This Row],[Extra]]</f>
        <v>0</v>
      </c>
      <c r="W123" s="121">
        <f>IF(MouserListTable1218[[#This Row],[Tag]]=FilterSpecs!$F$7,MouserListTable1218[[#This Row],[Price (USD)]],0)</f>
        <v>13.95</v>
      </c>
      <c r="X123" s="121">
        <f>MouserListTable1218[[#This Row],[Tot '#]]*MouserListTable1218[[#This Row],[Price (USD)]]</f>
        <v>0</v>
      </c>
    </row>
    <row r="124" spans="1:24" s="144" customFormat="1" x14ac:dyDescent="0.3">
      <c r="A124" s="126" t="s">
        <v>894</v>
      </c>
      <c r="B124" s="126" t="s">
        <v>14</v>
      </c>
      <c r="C124" s="126" t="s">
        <v>8</v>
      </c>
      <c r="D124" s="106" t="str">
        <f>IF(MouserListTable1218[[#This Row],[Vendor]]=FilterSpecs!$A$8,MouserListTable1218[[#This Row],[Mouser SKU]], MouserListTable1218[[#This Row],[Supplier SKU]])</f>
        <v>SEN-08733</v>
      </c>
      <c r="E124" s="121">
        <f>MouserListTable1218[[#This Row],[Tot '#]]-MouserListTable1218[[#This Row],['# Initial]]</f>
        <v>0</v>
      </c>
      <c r="F124" s="121">
        <f>MouserListTable1218[[#This Row],['#/Unit]]*FilterSpecs!$B$3+MouserListTable1218[[#This Row],[Extra Initial]]</f>
        <v>0</v>
      </c>
      <c r="G124" s="103" t="s">
        <v>1093</v>
      </c>
      <c r="H124" s="103" t="s">
        <v>1094</v>
      </c>
      <c r="I124" s="103" t="s">
        <v>1095</v>
      </c>
      <c r="J124" s="103">
        <v>1</v>
      </c>
      <c r="K124" s="157">
        <v>1.5</v>
      </c>
      <c r="L124" s="103" t="s">
        <v>1911</v>
      </c>
      <c r="M124" s="146"/>
      <c r="N124" s="157">
        <f>MouserListTable1218[[#This Row],['# Initial]]*MouserListTable1218[[#This Row],[Price (USD)]]</f>
        <v>0</v>
      </c>
      <c r="O124" s="106" t="s">
        <v>1092</v>
      </c>
      <c r="P124" s="103">
        <f t="shared" si="1"/>
        <v>111</v>
      </c>
      <c r="Q124" s="103" t="s">
        <v>8</v>
      </c>
      <c r="R12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474-SEN-08733</v>
      </c>
      <c r="S124" s="121">
        <v>0</v>
      </c>
      <c r="T124" s="121">
        <v>0</v>
      </c>
      <c r="U124" s="121">
        <v>0</v>
      </c>
      <c r="V124" s="121">
        <f>MouserListTable1218[[#This Row],['#/Unit]]*FilterSpecs!$C$3+MouserListTable1218[[#This Row],[Extra]]</f>
        <v>0</v>
      </c>
      <c r="W124" s="121">
        <f>IF(MouserListTable1218[[#This Row],[Tag]]=FilterSpecs!$F$7,MouserListTable1218[[#This Row],[Price (USD)]],0)</f>
        <v>1.5</v>
      </c>
      <c r="X124" s="121">
        <f>MouserListTable1218[[#This Row],[Tot '#]]*MouserListTable1218[[#This Row],[Price (USD)]]</f>
        <v>0</v>
      </c>
    </row>
    <row r="125" spans="1:24" s="144" customFormat="1" x14ac:dyDescent="0.3">
      <c r="A125" s="103" t="s">
        <v>894</v>
      </c>
      <c r="B125" s="103" t="s">
        <v>14</v>
      </c>
      <c r="C125" s="103" t="s">
        <v>1898</v>
      </c>
      <c r="D125" s="106" t="str">
        <f>IF(MouserListTable1218[[#This Row],[Vendor]]=FilterSpecs!$A$8,MouserListTable1218[[#This Row],[Mouser SKU]], MouserListTable1218[[#This Row],[Supplier SKU]])</f>
        <v>3538</v>
      </c>
      <c r="E125" s="121">
        <f>MouserListTable1218[[#This Row],[Tot '#]]-MouserListTable1218[[#This Row],['# Initial]]</f>
        <v>0</v>
      </c>
      <c r="F125" s="121">
        <f>MouserListTable1218[[#This Row],['#/Unit]]*FilterSpecs!$B$3+MouserListTable1218[[#This Row],[Extra Initial]]</f>
        <v>0</v>
      </c>
      <c r="G125" s="103"/>
      <c r="H125" s="103"/>
      <c r="I125" s="126" t="s">
        <v>2319</v>
      </c>
      <c r="J125" s="146"/>
      <c r="K125" s="158">
        <v>39.950000000000003</v>
      </c>
      <c r="L125" s="126" t="s">
        <v>1910</v>
      </c>
      <c r="M125" s="146"/>
      <c r="N125" s="157">
        <f>MouserListTable1218[[#This Row],['# Initial]]*MouserListTable1218[[#This Row],[Price (USD)]]</f>
        <v>0</v>
      </c>
      <c r="O125" s="106" t="s">
        <v>2318</v>
      </c>
      <c r="P125" s="103">
        <f t="shared" si="1"/>
        <v>112</v>
      </c>
      <c r="Q125" s="103" t="s">
        <v>1898</v>
      </c>
      <c r="R12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485-3538</v>
      </c>
      <c r="S125" s="121">
        <v>0</v>
      </c>
      <c r="T125" s="121">
        <v>0</v>
      </c>
      <c r="U125" s="121">
        <v>0</v>
      </c>
      <c r="V125" s="121">
        <f>MouserListTable1218[[#This Row],['#/Unit]]*FilterSpecs!$C$3+MouserListTable1218[[#This Row],[Extra]]</f>
        <v>0</v>
      </c>
      <c r="W125" s="121">
        <f>IF(MouserListTable1218[[#This Row],[Tag]]=FilterSpecs!$F$7,MouserListTable1218[[#This Row],[Price (USD)]],0)</f>
        <v>0</v>
      </c>
      <c r="X125" s="121">
        <f>MouserListTable1218[[#This Row],[Tot '#]]*MouserListTable1218[[#This Row],[Price (USD)]]</f>
        <v>0</v>
      </c>
    </row>
    <row r="126" spans="1:24" s="144" customFormat="1" x14ac:dyDescent="0.3">
      <c r="A126" s="103" t="s">
        <v>894</v>
      </c>
      <c r="B126" s="103" t="s">
        <v>14</v>
      </c>
      <c r="C126" s="103" t="s">
        <v>1898</v>
      </c>
      <c r="D126" s="106" t="str">
        <f>IF(MouserListTable1218[[#This Row],[Vendor]]=FilterSpecs!$A$8,MouserListTable1218[[#This Row],[Mouser SKU]], MouserListTable1218[[#This Row],[Supplier SKU]])</f>
        <v>3317</v>
      </c>
      <c r="E126" s="121">
        <f>MouserListTable1218[[#This Row],[Tot '#]]-MouserListTable1218[[#This Row],['# Initial]]</f>
        <v>0</v>
      </c>
      <c r="F126" s="121">
        <f>MouserListTable1218[[#This Row],['#/Unit]]*FilterSpecs!$B$3+MouserListTable1218[[#This Row],[Extra Initial]]</f>
        <v>10</v>
      </c>
      <c r="G126" s="103"/>
      <c r="H126" s="103"/>
      <c r="I126" s="103" t="s">
        <v>2321</v>
      </c>
      <c r="J126" s="146"/>
      <c r="K126" s="157">
        <v>14.95</v>
      </c>
      <c r="L126" s="103" t="s">
        <v>1911</v>
      </c>
      <c r="M126" s="106"/>
      <c r="N126" s="157">
        <f>MouserListTable1218[[#This Row],['# Initial]]*MouserListTable1218[[#This Row],[Price (USD)]]</f>
        <v>149.5</v>
      </c>
      <c r="O126" s="106" t="s">
        <v>2320</v>
      </c>
      <c r="P126" s="103">
        <f t="shared" si="1"/>
        <v>113</v>
      </c>
      <c r="Q126" s="103" t="s">
        <v>1898</v>
      </c>
      <c r="R12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485-3317</v>
      </c>
      <c r="S126" s="121">
        <v>2</v>
      </c>
      <c r="T126" s="121">
        <v>0</v>
      </c>
      <c r="U126" s="121">
        <v>0</v>
      </c>
      <c r="V126" s="121">
        <f>MouserListTable1218[[#This Row],['#/Unit]]*FilterSpecs!$C$3+MouserListTable1218[[#This Row],[Extra]]</f>
        <v>10</v>
      </c>
      <c r="W126" s="121">
        <f>IF(MouserListTable1218[[#This Row],[Tag]]=FilterSpecs!$F$7,MouserListTable1218[[#This Row],[Price (USD)]],0)</f>
        <v>14.95</v>
      </c>
      <c r="X126" s="121">
        <f>MouserListTable1218[[#This Row],[Tot '#]]*MouserListTable1218[[#This Row],[Price (USD)]]</f>
        <v>149.5</v>
      </c>
    </row>
    <row r="127" spans="1:24" s="144" customFormat="1" x14ac:dyDescent="0.3">
      <c r="A127" s="103" t="s">
        <v>894</v>
      </c>
      <c r="B127" s="103" t="s">
        <v>14</v>
      </c>
      <c r="C127" s="103" t="s">
        <v>1898</v>
      </c>
      <c r="D127" s="106" t="str">
        <f>IF(MouserListTable1218[[#This Row],[Vendor]]=FilterSpecs!$A$8,MouserListTable1218[[#This Row],[Mouser SKU]], MouserListTable1218[[#This Row],[Supplier SKU]])</f>
        <v>3316</v>
      </c>
      <c r="E127" s="121">
        <f>MouserListTable1218[[#This Row],[Tot '#]]-MouserListTable1218[[#This Row],['# Initial]]</f>
        <v>0</v>
      </c>
      <c r="F127" s="121">
        <f>MouserListTable1218[[#This Row],['#/Unit]]*FilterSpecs!$B$3+MouserListTable1218[[#This Row],[Extra Initial]]</f>
        <v>0</v>
      </c>
      <c r="G127" s="103"/>
      <c r="H127" s="103"/>
      <c r="I127" s="126" t="s">
        <v>2323</v>
      </c>
      <c r="J127" s="146"/>
      <c r="K127" s="158">
        <v>13.95</v>
      </c>
      <c r="L127" s="126" t="s">
        <v>1910</v>
      </c>
      <c r="M127" s="146"/>
      <c r="N127" s="157">
        <f>MouserListTable1218[[#This Row],['# Initial]]*MouserListTable1218[[#This Row],[Price (USD)]]</f>
        <v>0</v>
      </c>
      <c r="O127" s="106" t="s">
        <v>2322</v>
      </c>
      <c r="P127" s="103">
        <f t="shared" si="1"/>
        <v>114</v>
      </c>
      <c r="Q127" s="103" t="s">
        <v>1898</v>
      </c>
      <c r="R12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485-3316</v>
      </c>
      <c r="S127" s="121">
        <v>0</v>
      </c>
      <c r="T127" s="121">
        <v>0</v>
      </c>
      <c r="U127" s="121">
        <v>0</v>
      </c>
      <c r="V127" s="121">
        <f>MouserListTable1218[[#This Row],['#/Unit]]*FilterSpecs!$C$3+MouserListTable1218[[#This Row],[Extra]]</f>
        <v>0</v>
      </c>
      <c r="W127" s="121">
        <f>IF(MouserListTable1218[[#This Row],[Tag]]=FilterSpecs!$F$7,MouserListTable1218[[#This Row],[Price (USD)]],0)</f>
        <v>0</v>
      </c>
      <c r="X127" s="121">
        <f>MouserListTable1218[[#This Row],[Tot '#]]*MouserListTable1218[[#This Row],[Price (USD)]]</f>
        <v>0</v>
      </c>
    </row>
    <row r="128" spans="1:24" s="144" customFormat="1" x14ac:dyDescent="0.3">
      <c r="A128" s="103" t="s">
        <v>894</v>
      </c>
      <c r="B128" s="103" t="s">
        <v>14</v>
      </c>
      <c r="C128" s="103" t="s">
        <v>1898</v>
      </c>
      <c r="D128" s="106" t="str">
        <f>IF(MouserListTable1218[[#This Row],[Vendor]]=FilterSpecs!$A$8,MouserListTable1218[[#This Row],[Mouser SKU]], MouserListTable1218[[#This Row],[Supplier SKU]])</f>
        <v>1568</v>
      </c>
      <c r="E128" s="121">
        <f>MouserListTable1218[[#This Row],[Tot '#]]-MouserListTable1218[[#This Row],['# Initial]]</f>
        <v>0</v>
      </c>
      <c r="F128" s="121">
        <f>MouserListTable1218[[#This Row],['#/Unit]]*FilterSpecs!$B$3+MouserListTable1218[[#This Row],[Extra Initial]]</f>
        <v>0</v>
      </c>
      <c r="G128" s="103"/>
      <c r="H128" s="103"/>
      <c r="I128" s="126" t="s">
        <v>2325</v>
      </c>
      <c r="J128" s="146"/>
      <c r="K128" s="158">
        <v>24.95</v>
      </c>
      <c r="L128" s="126" t="s">
        <v>1910</v>
      </c>
      <c r="M128" s="146"/>
      <c r="N128" s="157">
        <f>MouserListTable1218[[#This Row],['# Initial]]*MouserListTable1218[[#This Row],[Price (USD)]]</f>
        <v>0</v>
      </c>
      <c r="O128" s="106" t="s">
        <v>2324</v>
      </c>
      <c r="P128" s="103">
        <f t="shared" si="1"/>
        <v>115</v>
      </c>
      <c r="Q128" s="103" t="s">
        <v>1898</v>
      </c>
      <c r="R12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485-1568</v>
      </c>
      <c r="S128" s="121">
        <v>0</v>
      </c>
      <c r="T128" s="121">
        <v>0</v>
      </c>
      <c r="U128" s="121">
        <v>0</v>
      </c>
      <c r="V128" s="121">
        <f>MouserListTable1218[[#This Row],['#/Unit]]*FilterSpecs!$C$3+MouserListTable1218[[#This Row],[Extra]]</f>
        <v>0</v>
      </c>
      <c r="W128" s="121">
        <f>IF(MouserListTable1218[[#This Row],[Tag]]=FilterSpecs!$F$7,MouserListTable1218[[#This Row],[Price (USD)]],0)</f>
        <v>0</v>
      </c>
      <c r="X128" s="121">
        <f>MouserListTable1218[[#This Row],[Tot '#]]*MouserListTable1218[[#This Row],[Price (USD)]]</f>
        <v>0</v>
      </c>
    </row>
    <row r="129" spans="1:24" s="144" customFormat="1" x14ac:dyDescent="0.3">
      <c r="A129" s="103" t="s">
        <v>894</v>
      </c>
      <c r="B129" s="103" t="s">
        <v>14</v>
      </c>
      <c r="C129" s="103" t="s">
        <v>1898</v>
      </c>
      <c r="D129" s="106" t="str">
        <f>IF(MouserListTable1218[[#This Row],[Vendor]]=FilterSpecs!$A$8,MouserListTable1218[[#This Row],[Mouser SKU]], MouserListTable1218[[#This Row],[Supplier SKU]])</f>
        <v>164</v>
      </c>
      <c r="E129" s="121">
        <f>MouserListTable1218[[#This Row],[Tot '#]]-MouserListTable1218[[#This Row],['# Initial]]</f>
        <v>0</v>
      </c>
      <c r="F129" s="121">
        <f>MouserListTable1218[[#This Row],['#/Unit]]*FilterSpecs!$B$3+MouserListTable1218[[#This Row],[Extra Initial]]</f>
        <v>0</v>
      </c>
      <c r="G129" s="103"/>
      <c r="H129" s="103"/>
      <c r="I129" s="126" t="s">
        <v>2327</v>
      </c>
      <c r="J129" s="146"/>
      <c r="K129" s="158">
        <v>14.95</v>
      </c>
      <c r="L129" s="126" t="s">
        <v>1910</v>
      </c>
      <c r="M129" s="146"/>
      <c r="N129" s="157">
        <f>MouserListTable1218[[#This Row],['# Initial]]*MouserListTable1218[[#This Row],[Price (USD)]]</f>
        <v>0</v>
      </c>
      <c r="O129" s="106" t="s">
        <v>2326</v>
      </c>
      <c r="P129" s="103">
        <f t="shared" si="1"/>
        <v>116</v>
      </c>
      <c r="Q129" s="103" t="s">
        <v>1898</v>
      </c>
      <c r="R12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485-164</v>
      </c>
      <c r="S129" s="121">
        <v>0</v>
      </c>
      <c r="T129" s="121">
        <v>0</v>
      </c>
      <c r="U129" s="121">
        <v>0</v>
      </c>
      <c r="V129" s="121">
        <f>MouserListTable1218[[#This Row],['#/Unit]]*FilterSpecs!$C$3+MouserListTable1218[[#This Row],[Extra]]</f>
        <v>0</v>
      </c>
      <c r="W129" s="121">
        <f>IF(MouserListTable1218[[#This Row],[Tag]]=FilterSpecs!$F$7,MouserListTable1218[[#This Row],[Price (USD)]],0)</f>
        <v>0</v>
      </c>
      <c r="X129" s="121">
        <f>MouserListTable1218[[#This Row],[Tot '#]]*MouserListTable1218[[#This Row],[Price (USD)]]</f>
        <v>0</v>
      </c>
    </row>
    <row r="130" spans="1:24" s="144" customFormat="1" x14ac:dyDescent="0.3">
      <c r="A130" s="103" t="s">
        <v>894</v>
      </c>
      <c r="B130" s="103" t="s">
        <v>14</v>
      </c>
      <c r="C130" s="103" t="s">
        <v>1898</v>
      </c>
      <c r="D130" s="106" t="str">
        <f>IF(MouserListTable1218[[#This Row],[Vendor]]=FilterSpecs!$A$8,MouserListTable1218[[#This Row],[Mouser SKU]], MouserListTable1218[[#This Row],[Supplier SKU]])</f>
        <v>1031</v>
      </c>
      <c r="E130" s="121">
        <f>MouserListTable1218[[#This Row],[Tot '#]]-MouserListTable1218[[#This Row],['# Initial]]</f>
        <v>0</v>
      </c>
      <c r="F130" s="121">
        <f>MouserListTable1218[[#This Row],['#/Unit]]*FilterSpecs!$B$3+MouserListTable1218[[#This Row],[Extra Initial]]</f>
        <v>0</v>
      </c>
      <c r="G130" s="103"/>
      <c r="H130" s="103"/>
      <c r="I130" s="126" t="s">
        <v>2329</v>
      </c>
      <c r="J130" s="146"/>
      <c r="K130" s="158">
        <v>15.95</v>
      </c>
      <c r="L130" s="126" t="s">
        <v>1910</v>
      </c>
      <c r="M130" s="146"/>
      <c r="N130" s="157">
        <f>MouserListTable1218[[#This Row],['# Initial]]*MouserListTable1218[[#This Row],[Price (USD)]]</f>
        <v>0</v>
      </c>
      <c r="O130" s="106" t="s">
        <v>2328</v>
      </c>
      <c r="P130" s="103">
        <f t="shared" si="1"/>
        <v>117</v>
      </c>
      <c r="Q130" s="103" t="s">
        <v>1898</v>
      </c>
      <c r="R13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485-1031</v>
      </c>
      <c r="S130" s="121">
        <v>0</v>
      </c>
      <c r="T130" s="121">
        <v>0</v>
      </c>
      <c r="U130" s="121">
        <v>0</v>
      </c>
      <c r="V130" s="121">
        <f>MouserListTable1218[[#This Row],['#/Unit]]*FilterSpecs!$C$3+MouserListTable1218[[#This Row],[Extra]]</f>
        <v>0</v>
      </c>
      <c r="W130" s="121">
        <f>IF(MouserListTable1218[[#This Row],[Tag]]=FilterSpecs!$F$7,MouserListTable1218[[#This Row],[Price (USD)]],0)</f>
        <v>0</v>
      </c>
      <c r="X130" s="121">
        <f>MouserListTable1218[[#This Row],[Tot '#]]*MouserListTable1218[[#This Row],[Price (USD)]]</f>
        <v>0</v>
      </c>
    </row>
    <row r="131" spans="1:24" s="144" customFormat="1" x14ac:dyDescent="0.3">
      <c r="A131" s="103" t="s">
        <v>894</v>
      </c>
      <c r="B131" s="103" t="s">
        <v>14</v>
      </c>
      <c r="C131" s="103" t="s">
        <v>2552</v>
      </c>
      <c r="D131" s="106" t="str">
        <f>IF(MouserListTable1218[[#This Row],[Vendor]]=FilterSpecs!$A$8,MouserListTable1218[[#This Row],[Mouser SKU]], MouserListTable1218[[#This Row],[Supplier SKU]])</f>
        <v>53L0-SATEL-I1</v>
      </c>
      <c r="E131" s="121">
        <f>MouserListTable1218[[#This Row],[Tot '#]]-MouserListTable1218[[#This Row],['# Initial]]</f>
        <v>0</v>
      </c>
      <c r="F131" s="121">
        <f>MouserListTable1218[[#This Row],['#/Unit]]*FilterSpecs!$B$3+MouserListTable1218[[#This Row],[Extra Initial]]</f>
        <v>0</v>
      </c>
      <c r="G131" s="103"/>
      <c r="H131" s="103"/>
      <c r="I131" s="103" t="s">
        <v>2553</v>
      </c>
      <c r="J131" s="103"/>
      <c r="K131" s="157">
        <v>18.13</v>
      </c>
      <c r="L131" s="121" t="s">
        <v>1910</v>
      </c>
      <c r="M131" s="103"/>
      <c r="N131" s="157">
        <f>MouserListTable1218[[#This Row],['# Initial]]*MouserListTable1218[[#This Row],[Price (USD)]]</f>
        <v>0</v>
      </c>
      <c r="O131" s="106" t="s">
        <v>2551</v>
      </c>
      <c r="P131" s="103">
        <f t="shared" si="1"/>
        <v>118</v>
      </c>
      <c r="Q131" s="103" t="s">
        <v>2554</v>
      </c>
      <c r="R13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511-53L0-SATEL-I1</v>
      </c>
      <c r="S131" s="121">
        <v>0</v>
      </c>
      <c r="T131" s="121">
        <v>0</v>
      </c>
      <c r="U131" s="121">
        <v>0</v>
      </c>
      <c r="V131" s="121">
        <f>MouserListTable1218[[#This Row],['#/Unit]]*FilterSpecs!$C$3+MouserListTable1218[[#This Row],[Extra]]</f>
        <v>0</v>
      </c>
      <c r="W131" s="121">
        <f>IF(MouserListTable1218[[#This Row],[Tag]]=FilterSpecs!$F$7,MouserListTable1218[[#This Row],[Price (USD)]],0)</f>
        <v>0</v>
      </c>
      <c r="X131" s="121">
        <f>MouserListTable1218[[#This Row],[Tot '#]]*MouserListTable1218[[#This Row],[Price (USD)]]</f>
        <v>0</v>
      </c>
    </row>
    <row r="132" spans="1:24" s="144" customFormat="1" x14ac:dyDescent="0.3">
      <c r="A132" s="103" t="s">
        <v>894</v>
      </c>
      <c r="B132" s="103" t="s">
        <v>14</v>
      </c>
      <c r="C132" s="103" t="s">
        <v>1906</v>
      </c>
      <c r="D132" s="106" t="str">
        <f>IF(MouserListTable1218[[#This Row],[Vendor]]=FilterSpecs!$A$8,MouserListTable1218[[#This Row],[Mouser SKU]], MouserListTable1218[[#This Row],[Supplier SKU]])</f>
        <v>511-53L0-SATEL-I1</v>
      </c>
      <c r="E132" s="121">
        <f>MouserListTable1218[[#This Row],[Tot '#]]-MouserListTable1218[[#This Row],['# Initial]]</f>
        <v>0</v>
      </c>
      <c r="F132" s="121">
        <f>MouserListTable1218[[#This Row],['#/Unit]]*FilterSpecs!$B$3+MouserListTable1218[[#This Row],[Extra Initial]]</f>
        <v>5</v>
      </c>
      <c r="G132" s="103"/>
      <c r="H132" s="103"/>
      <c r="I132" s="103" t="s">
        <v>2553</v>
      </c>
      <c r="J132" s="103"/>
      <c r="K132" s="157">
        <v>18.5</v>
      </c>
      <c r="L132" s="121" t="s">
        <v>1911</v>
      </c>
      <c r="M132" s="103"/>
      <c r="N132" s="157">
        <f>MouserListTable1218[[#This Row],['# Initial]]*MouserListTable1218[[#This Row],[Price (USD)]]</f>
        <v>92.5</v>
      </c>
      <c r="O132" s="106" t="s">
        <v>2550</v>
      </c>
      <c r="P132" s="103">
        <f t="shared" si="1"/>
        <v>119</v>
      </c>
      <c r="Q132" s="103" t="s">
        <v>1906</v>
      </c>
      <c r="R13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511-53L0-SATEL-I1</v>
      </c>
      <c r="S132" s="121">
        <v>1</v>
      </c>
      <c r="T132" s="121">
        <v>0</v>
      </c>
      <c r="U132" s="121">
        <v>0</v>
      </c>
      <c r="V132" s="121">
        <f>MouserListTable1218[[#This Row],['#/Unit]]*FilterSpecs!$C$3+MouserListTable1218[[#This Row],[Extra]]</f>
        <v>5</v>
      </c>
      <c r="W132" s="121">
        <f>IF(MouserListTable1218[[#This Row],[Tag]]=FilterSpecs!$F$7,MouserListTable1218[[#This Row],[Price (USD)]],0)</f>
        <v>18.5</v>
      </c>
      <c r="X132" s="121">
        <f>MouserListTable1218[[#This Row],[Tot '#]]*MouserListTable1218[[#This Row],[Price (USD)]]</f>
        <v>92.5</v>
      </c>
    </row>
    <row r="133" spans="1:24" s="146" customFormat="1" x14ac:dyDescent="0.3">
      <c r="A133" s="103" t="s">
        <v>894</v>
      </c>
      <c r="B133" s="103" t="s">
        <v>15</v>
      </c>
      <c r="C133" s="103" t="s">
        <v>8</v>
      </c>
      <c r="D133" s="106" t="str">
        <f>IF(MouserListTable1218[[#This Row],[Vendor]]=FilterSpecs!$A$8,MouserListTable1218[[#This Row],[Mouser SKU]], MouserListTable1218[[#This Row],[Supplier SKU]])</f>
        <v>SEN-09196</v>
      </c>
      <c r="E133" s="121">
        <f>MouserListTable1218[[#This Row],[Tot '#]]-MouserListTable1218[[#This Row],['# Initial]]</f>
        <v>0</v>
      </c>
      <c r="F133" s="121">
        <f>MouserListTable1218[[#This Row],['#/Unit]]*FilterSpecs!$B$3+MouserListTable1218[[#This Row],[Extra Initial]]</f>
        <v>5</v>
      </c>
      <c r="G133" s="103" t="s">
        <v>109</v>
      </c>
      <c r="H133" s="103" t="s">
        <v>110</v>
      </c>
      <c r="I133" s="103" t="s">
        <v>111</v>
      </c>
      <c r="J133" s="146">
        <v>1</v>
      </c>
      <c r="K133" s="157">
        <v>2.95</v>
      </c>
      <c r="L133" s="103" t="s">
        <v>1911</v>
      </c>
      <c r="M133" s="106"/>
      <c r="N133" s="157">
        <f>MouserListTable1218[[#This Row],['# Initial]]*MouserListTable1218[[#This Row],[Price (USD)]]</f>
        <v>14.75</v>
      </c>
      <c r="O133" s="106" t="s">
        <v>108</v>
      </c>
      <c r="P133" s="103">
        <f t="shared" si="1"/>
        <v>120</v>
      </c>
      <c r="Q133" s="103" t="s">
        <v>8</v>
      </c>
      <c r="R13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474-SEN-09196</v>
      </c>
      <c r="S133" s="121">
        <v>1</v>
      </c>
      <c r="T133" s="121">
        <v>0</v>
      </c>
      <c r="U133" s="121">
        <v>0</v>
      </c>
      <c r="V133" s="121">
        <f>MouserListTable1218[[#This Row],['#/Unit]]*FilterSpecs!$C$3+MouserListTable1218[[#This Row],[Extra]]</f>
        <v>5</v>
      </c>
      <c r="W133" s="121">
        <f>IF(MouserListTable1218[[#This Row],[Tag]]=FilterSpecs!$F$7,MouserListTable1218[[#This Row],[Price (USD)]],0)</f>
        <v>2.95</v>
      </c>
      <c r="X133" s="121">
        <f>MouserListTable1218[[#This Row],[Tot '#]]*MouserListTable1218[[#This Row],[Price (USD)]]</f>
        <v>14.75</v>
      </c>
    </row>
    <row r="134" spans="1:24" s="146" customFormat="1" x14ac:dyDescent="0.3">
      <c r="A134" s="103" t="s">
        <v>894</v>
      </c>
      <c r="B134" s="103" t="s">
        <v>15</v>
      </c>
      <c r="C134" s="103" t="s">
        <v>8</v>
      </c>
      <c r="D134" s="106" t="str">
        <f>IF(MouserListTable1218[[#This Row],[Vendor]]=FilterSpecs!$A$8,MouserListTable1218[[#This Row],[Mouser SKU]], MouserListTable1218[[#This Row],[Supplier SKU]])</f>
        <v>SEN-09197</v>
      </c>
      <c r="E134" s="121">
        <f>MouserListTable1218[[#This Row],[Tot '#]]-MouserListTable1218[[#This Row],['# Initial]]</f>
        <v>0</v>
      </c>
      <c r="F134" s="121">
        <f>MouserListTable1218[[#This Row],['#/Unit]]*FilterSpecs!$B$3+MouserListTable1218[[#This Row],[Extra Initial]]</f>
        <v>0</v>
      </c>
      <c r="G134" s="103" t="s">
        <v>1339</v>
      </c>
      <c r="H134" s="103" t="s">
        <v>1340</v>
      </c>
      <c r="I134" s="126" t="s">
        <v>1341</v>
      </c>
      <c r="J134" s="146">
        <v>1</v>
      </c>
      <c r="K134" s="158">
        <v>2.95</v>
      </c>
      <c r="L134" s="126" t="s">
        <v>1910</v>
      </c>
      <c r="N134" s="157">
        <f>MouserListTable1218[[#This Row],['# Initial]]*MouserListTable1218[[#This Row],[Price (USD)]]</f>
        <v>0</v>
      </c>
      <c r="O134" s="106" t="s">
        <v>1338</v>
      </c>
      <c r="P134" s="103">
        <f t="shared" si="1"/>
        <v>121</v>
      </c>
      <c r="Q134" s="103" t="s">
        <v>8</v>
      </c>
      <c r="R13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474-SEN-09197</v>
      </c>
      <c r="S134" s="121">
        <v>0</v>
      </c>
      <c r="T134" s="121">
        <v>0</v>
      </c>
      <c r="U134" s="121">
        <v>0</v>
      </c>
      <c r="V134" s="121">
        <f>MouserListTable1218[[#This Row],['#/Unit]]*FilterSpecs!$C$3+MouserListTable1218[[#This Row],[Extra]]</f>
        <v>0</v>
      </c>
      <c r="W134" s="121">
        <f>IF(MouserListTable1218[[#This Row],[Tag]]=FilterSpecs!$F$7,MouserListTable1218[[#This Row],[Price (USD)]],0)</f>
        <v>0</v>
      </c>
      <c r="X134" s="121">
        <f>MouserListTable1218[[#This Row],[Tot '#]]*MouserListTable1218[[#This Row],[Price (USD)]]</f>
        <v>0</v>
      </c>
    </row>
    <row r="135" spans="1:24" s="146" customFormat="1" x14ac:dyDescent="0.3">
      <c r="A135" s="103" t="s">
        <v>894</v>
      </c>
      <c r="B135" s="103" t="s">
        <v>15</v>
      </c>
      <c r="C135" s="103" t="s">
        <v>8</v>
      </c>
      <c r="D135" s="106" t="str">
        <f>IF(MouserListTable1218[[#This Row],[Vendor]]=FilterSpecs!$A$8,MouserListTable1218[[#This Row],[Mouser SKU]], MouserListTable1218[[#This Row],[Supplier SKU]])</f>
        <v>SEN-09198</v>
      </c>
      <c r="E135" s="121">
        <f>MouserListTable1218[[#This Row],[Tot '#]]-MouserListTable1218[[#This Row],['# Initial]]</f>
        <v>0</v>
      </c>
      <c r="F135" s="121">
        <f>MouserListTable1218[[#This Row],['#/Unit]]*FilterSpecs!$B$3+MouserListTable1218[[#This Row],[Extra Initial]]</f>
        <v>0</v>
      </c>
      <c r="G135" s="103" t="s">
        <v>1343</v>
      </c>
      <c r="H135" s="103" t="s">
        <v>1344</v>
      </c>
      <c r="I135" s="126" t="s">
        <v>1345</v>
      </c>
      <c r="J135" s="146">
        <v>1</v>
      </c>
      <c r="K135" s="158">
        <v>2.95</v>
      </c>
      <c r="L135" s="126" t="s">
        <v>1910</v>
      </c>
      <c r="N135" s="157">
        <f>MouserListTable1218[[#This Row],['# Initial]]*MouserListTable1218[[#This Row],[Price (USD)]]</f>
        <v>0</v>
      </c>
      <c r="O135" s="106" t="s">
        <v>1342</v>
      </c>
      <c r="P135" s="103">
        <f t="shared" si="1"/>
        <v>122</v>
      </c>
      <c r="Q135" s="103" t="s">
        <v>8</v>
      </c>
      <c r="R13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474-SEN-09198</v>
      </c>
      <c r="S135" s="121">
        <v>0</v>
      </c>
      <c r="T135" s="121">
        <v>0</v>
      </c>
      <c r="U135" s="121">
        <v>0</v>
      </c>
      <c r="V135" s="121">
        <f>MouserListTable1218[[#This Row],['#/Unit]]*FilterSpecs!$C$3+MouserListTable1218[[#This Row],[Extra]]</f>
        <v>0</v>
      </c>
      <c r="W135" s="121">
        <f>IF(MouserListTable1218[[#This Row],[Tag]]=FilterSpecs!$F$7,MouserListTable1218[[#This Row],[Price (USD)]],0)</f>
        <v>0</v>
      </c>
      <c r="X135" s="121">
        <f>MouserListTable1218[[#This Row],[Tot '#]]*MouserListTable1218[[#This Row],[Price (USD)]]</f>
        <v>0</v>
      </c>
    </row>
    <row r="136" spans="1:24" s="146" customFormat="1" x14ac:dyDescent="0.3">
      <c r="A136" s="103" t="s">
        <v>894</v>
      </c>
      <c r="B136" s="103" t="s">
        <v>15</v>
      </c>
      <c r="C136" s="103" t="s">
        <v>8</v>
      </c>
      <c r="D136" s="106" t="str">
        <f>IF(MouserListTable1218[[#This Row],[Vendor]]=FilterSpecs!$A$8,MouserListTable1218[[#This Row],[Mouser SKU]], MouserListTable1218[[#This Row],[Supplier SKU]])</f>
        <v>SEN-09199</v>
      </c>
      <c r="E136" s="121">
        <f>MouserListTable1218[[#This Row],[Tot '#]]-MouserListTable1218[[#This Row],['# Initial]]</f>
        <v>0</v>
      </c>
      <c r="F136" s="121">
        <f>MouserListTable1218[[#This Row],['#/Unit]]*FilterSpecs!$B$3+MouserListTable1218[[#This Row],[Extra Initial]]</f>
        <v>0</v>
      </c>
      <c r="G136" s="103" t="s">
        <v>1347</v>
      </c>
      <c r="H136" s="103" t="s">
        <v>1348</v>
      </c>
      <c r="I136" s="126" t="s">
        <v>1349</v>
      </c>
      <c r="J136" s="146">
        <v>1</v>
      </c>
      <c r="K136" s="158">
        <v>2.95</v>
      </c>
      <c r="L136" s="126" t="s">
        <v>1913</v>
      </c>
      <c r="N136" s="157">
        <f>MouserListTable1218[[#This Row],['# Initial]]*MouserListTable1218[[#This Row],[Price (USD)]]</f>
        <v>0</v>
      </c>
      <c r="O136" s="106" t="s">
        <v>1346</v>
      </c>
      <c r="P136" s="103">
        <f t="shared" si="1"/>
        <v>123</v>
      </c>
      <c r="Q136" s="103" t="s">
        <v>8</v>
      </c>
      <c r="R13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474-SEN-09199</v>
      </c>
      <c r="S136" s="121">
        <v>0</v>
      </c>
      <c r="T136" s="121">
        <v>0</v>
      </c>
      <c r="U136" s="121">
        <v>0</v>
      </c>
      <c r="V136" s="121">
        <f>MouserListTable1218[[#This Row],['#/Unit]]*FilterSpecs!$C$3+MouserListTable1218[[#This Row],[Extra]]</f>
        <v>0</v>
      </c>
      <c r="W136" s="121">
        <f>IF(MouserListTable1218[[#This Row],[Tag]]=FilterSpecs!$F$7,MouserListTable1218[[#This Row],[Price (USD)]],0)</f>
        <v>0</v>
      </c>
      <c r="X136" s="121">
        <f>MouserListTable1218[[#This Row],[Tot '#]]*MouserListTable1218[[#This Row],[Price (USD)]]</f>
        <v>0</v>
      </c>
    </row>
    <row r="137" spans="1:24" s="146" customFormat="1" x14ac:dyDescent="0.3">
      <c r="A137" s="103" t="s">
        <v>894</v>
      </c>
      <c r="B137" s="103" t="s">
        <v>15</v>
      </c>
      <c r="C137" s="103" t="s">
        <v>1898</v>
      </c>
      <c r="D137" s="106" t="str">
        <f>IF(MouserListTable1218[[#This Row],[Vendor]]=FilterSpecs!$A$8,MouserListTable1218[[#This Row],[Mouser SKU]], MouserListTable1218[[#This Row],[Supplier SKU]])</f>
        <v>1071</v>
      </c>
      <c r="E137" s="121">
        <f>MouserListTable1218[[#This Row],[Tot '#]]-MouserListTable1218[[#This Row],['# Initial]]</f>
        <v>0</v>
      </c>
      <c r="F137" s="121">
        <f>MouserListTable1218[[#This Row],['#/Unit]]*FilterSpecs!$B$3+MouserListTable1218[[#This Row],[Extra Initial]]</f>
        <v>0</v>
      </c>
      <c r="G137" s="103"/>
      <c r="H137" s="103"/>
      <c r="I137" s="126" t="s">
        <v>2333</v>
      </c>
      <c r="K137" s="158">
        <v>17.95</v>
      </c>
      <c r="L137" s="126" t="s">
        <v>1910</v>
      </c>
      <c r="N137" s="157">
        <f>MouserListTable1218[[#This Row],['# Initial]]*MouserListTable1218[[#This Row],[Price (USD)]]</f>
        <v>0</v>
      </c>
      <c r="O137" s="106" t="s">
        <v>2332</v>
      </c>
      <c r="P137" s="103">
        <f t="shared" si="1"/>
        <v>124</v>
      </c>
      <c r="Q137" s="103" t="s">
        <v>1898</v>
      </c>
      <c r="R13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485-1071</v>
      </c>
      <c r="S137" s="121">
        <v>0</v>
      </c>
      <c r="T137" s="121">
        <v>0</v>
      </c>
      <c r="U137" s="121">
        <v>0</v>
      </c>
      <c r="V137" s="121">
        <f>MouserListTable1218[[#This Row],['#/Unit]]*FilterSpecs!$C$3+MouserListTable1218[[#This Row],[Extra]]</f>
        <v>0</v>
      </c>
      <c r="W137" s="121">
        <f>IF(MouserListTable1218[[#This Row],[Tag]]=FilterSpecs!$F$7,MouserListTable1218[[#This Row],[Price (USD)]],0)</f>
        <v>0</v>
      </c>
      <c r="X137" s="121">
        <f>MouserListTable1218[[#This Row],[Tot '#]]*MouserListTable1218[[#This Row],[Price (USD)]]</f>
        <v>0</v>
      </c>
    </row>
    <row r="138" spans="1:24" s="146" customFormat="1" x14ac:dyDescent="0.3">
      <c r="A138" s="103" t="s">
        <v>894</v>
      </c>
      <c r="B138" s="103" t="s">
        <v>15</v>
      </c>
      <c r="C138" s="103" t="s">
        <v>8</v>
      </c>
      <c r="D138" s="106" t="str">
        <f>IF(MouserListTable1218[[#This Row],[Vendor]]=FilterSpecs!$A$8,MouserListTable1218[[#This Row],[Mouser SKU]], MouserListTable1218[[#This Row],[Supplier SKU]])</f>
        <v>SEN-09674</v>
      </c>
      <c r="E138" s="121">
        <f>MouserListTable1218[[#This Row],[Tot '#]]-MouserListTable1218[[#This Row],['# Initial]]</f>
        <v>0</v>
      </c>
      <c r="F138" s="121">
        <f>MouserListTable1218[[#This Row],['#/Unit]]*FilterSpecs!$B$3+MouserListTable1218[[#This Row],[Extra Initial]]</f>
        <v>0</v>
      </c>
      <c r="G138" s="103" t="s">
        <v>1430</v>
      </c>
      <c r="H138" s="103" t="s">
        <v>1431</v>
      </c>
      <c r="I138" s="126" t="s">
        <v>1432</v>
      </c>
      <c r="J138" s="146">
        <v>1</v>
      </c>
      <c r="K138" s="158">
        <v>20.95</v>
      </c>
      <c r="L138" s="126" t="s">
        <v>1910</v>
      </c>
      <c r="N138" s="157">
        <f>MouserListTable1218[[#This Row],['# Initial]]*MouserListTable1218[[#This Row],[Price (USD)]]</f>
        <v>0</v>
      </c>
      <c r="O138" s="106" t="s">
        <v>1429</v>
      </c>
      <c r="P138" s="103">
        <f t="shared" si="1"/>
        <v>125</v>
      </c>
      <c r="Q138" s="103" t="s">
        <v>8</v>
      </c>
      <c r="R13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474-SEN-09674</v>
      </c>
      <c r="S138" s="121">
        <v>0</v>
      </c>
      <c r="T138" s="121">
        <v>0</v>
      </c>
      <c r="U138" s="121">
        <v>0</v>
      </c>
      <c r="V138" s="121">
        <f>MouserListTable1218[[#This Row],['#/Unit]]*FilterSpecs!$C$3+MouserListTable1218[[#This Row],[Extra]]</f>
        <v>0</v>
      </c>
      <c r="W138" s="121">
        <f>IF(MouserListTable1218[[#This Row],[Tag]]=FilterSpecs!$F$7,MouserListTable1218[[#This Row],[Price (USD)]],0)</f>
        <v>0</v>
      </c>
      <c r="X138" s="121">
        <f>MouserListTable1218[[#This Row],[Tot '#]]*MouserListTable1218[[#This Row],[Price (USD)]]</f>
        <v>0</v>
      </c>
    </row>
    <row r="139" spans="1:24" s="146" customFormat="1" x14ac:dyDescent="0.3">
      <c r="A139" s="126" t="s">
        <v>894</v>
      </c>
      <c r="B139" s="126" t="s">
        <v>15</v>
      </c>
      <c r="C139" s="126" t="s">
        <v>8</v>
      </c>
      <c r="D139" s="106" t="str">
        <f>IF(MouserListTable1218[[#This Row],[Vendor]]=FilterSpecs!$A$8,MouserListTable1218[[#This Row],[Mouser SKU]], MouserListTable1218[[#This Row],[Supplier SKU]])</f>
        <v>SEN-09673</v>
      </c>
      <c r="E139" s="121">
        <f>MouserListTable1218[[#This Row],[Tot '#]]-MouserListTable1218[[#This Row],['# Initial]]</f>
        <v>0</v>
      </c>
      <c r="F139" s="121">
        <f>MouserListTable1218[[#This Row],['#/Unit]]*FilterSpecs!$B$3+MouserListTable1218[[#This Row],[Extra Initial]]</f>
        <v>0</v>
      </c>
      <c r="G139" s="103" t="s">
        <v>1434</v>
      </c>
      <c r="H139" s="103" t="s">
        <v>1435</v>
      </c>
      <c r="I139" s="103" t="s">
        <v>1436</v>
      </c>
      <c r="J139" s="103">
        <v>1</v>
      </c>
      <c r="K139" s="157">
        <v>5.95</v>
      </c>
      <c r="L139" s="103" t="s">
        <v>1910</v>
      </c>
      <c r="N139" s="157">
        <f>MouserListTable1218[[#This Row],['# Initial]]*MouserListTable1218[[#This Row],[Price (USD)]]</f>
        <v>0</v>
      </c>
      <c r="O139" s="106" t="s">
        <v>1433</v>
      </c>
      <c r="P139" s="103">
        <f t="shared" si="1"/>
        <v>126</v>
      </c>
      <c r="Q139" s="103" t="s">
        <v>8</v>
      </c>
      <c r="R13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474-SEN-09673</v>
      </c>
      <c r="S139" s="121">
        <v>0</v>
      </c>
      <c r="T139" s="121">
        <v>0</v>
      </c>
      <c r="U139" s="121">
        <v>0</v>
      </c>
      <c r="V139" s="121">
        <f>MouserListTable1218[[#This Row],['#/Unit]]*FilterSpecs!$C$3+MouserListTable1218[[#This Row],[Extra]]</f>
        <v>0</v>
      </c>
      <c r="W139" s="121">
        <f>IF(MouserListTable1218[[#This Row],[Tag]]=FilterSpecs!$F$7,MouserListTable1218[[#This Row],[Price (USD)]],0)</f>
        <v>0</v>
      </c>
      <c r="X139" s="121">
        <f>MouserListTable1218[[#This Row],[Tot '#]]*MouserListTable1218[[#This Row],[Price (USD)]]</f>
        <v>0</v>
      </c>
    </row>
    <row r="140" spans="1:24" s="146" customFormat="1" x14ac:dyDescent="0.3">
      <c r="A140" s="126" t="s">
        <v>894</v>
      </c>
      <c r="B140" s="126" t="s">
        <v>15</v>
      </c>
      <c r="C140" s="126" t="s">
        <v>8</v>
      </c>
      <c r="D140" s="106" t="str">
        <f>IF(MouserListTable1218[[#This Row],[Vendor]]=FilterSpecs!$A$8,MouserListTable1218[[#This Row],[Mouser SKU]], MouserListTable1218[[#This Row],[Supplier SKU]])</f>
        <v>SEN-09376</v>
      </c>
      <c r="E140" s="121">
        <f>MouserListTable1218[[#This Row],[Tot '#]]-MouserListTable1218[[#This Row],['# Initial]]</f>
        <v>0</v>
      </c>
      <c r="F140" s="121">
        <f>MouserListTable1218[[#This Row],['#/Unit]]*FilterSpecs!$B$3+MouserListTable1218[[#This Row],[Extra Initial]]</f>
        <v>0</v>
      </c>
      <c r="G140" s="103" t="s">
        <v>676</v>
      </c>
      <c r="H140" s="103" t="s">
        <v>677</v>
      </c>
      <c r="I140" s="103" t="s">
        <v>678</v>
      </c>
      <c r="J140" s="103">
        <v>1</v>
      </c>
      <c r="K140" s="157">
        <v>9.9499999999999993</v>
      </c>
      <c r="L140" s="103" t="s">
        <v>1910</v>
      </c>
      <c r="N140" s="157">
        <f>MouserListTable1218[[#This Row],['# Initial]]*MouserListTable1218[[#This Row],[Price (USD)]]</f>
        <v>0</v>
      </c>
      <c r="O140" s="106" t="s">
        <v>675</v>
      </c>
      <c r="P140" s="103">
        <f t="shared" si="1"/>
        <v>127</v>
      </c>
      <c r="Q140" s="103" t="s">
        <v>8</v>
      </c>
      <c r="R14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474-SEN-09376</v>
      </c>
      <c r="S140" s="121">
        <v>0</v>
      </c>
      <c r="T140" s="121">
        <v>0</v>
      </c>
      <c r="U140" s="121">
        <v>0</v>
      </c>
      <c r="V140" s="121">
        <f>MouserListTable1218[[#This Row],['#/Unit]]*FilterSpecs!$C$3+MouserListTable1218[[#This Row],[Extra]]</f>
        <v>0</v>
      </c>
      <c r="W140" s="121">
        <f>IF(MouserListTable1218[[#This Row],[Tag]]=FilterSpecs!$F$7,MouserListTable1218[[#This Row],[Price (USD)]],0)</f>
        <v>0</v>
      </c>
      <c r="X140" s="121">
        <f>MouserListTable1218[[#This Row],[Tot '#]]*MouserListTable1218[[#This Row],[Price (USD)]]</f>
        <v>0</v>
      </c>
    </row>
    <row r="141" spans="1:24" s="146" customFormat="1" x14ac:dyDescent="0.3">
      <c r="A141" s="103" t="s">
        <v>894</v>
      </c>
      <c r="B141" s="103" t="s">
        <v>15</v>
      </c>
      <c r="C141" s="103" t="s">
        <v>1898</v>
      </c>
      <c r="D141" s="106" t="str">
        <f>IF(MouserListTable1218[[#This Row],[Vendor]]=FilterSpecs!$A$8,MouserListTable1218[[#This Row],[Mouser SKU]], MouserListTable1218[[#This Row],[Supplier SKU]])</f>
        <v>1075</v>
      </c>
      <c r="E141" s="121">
        <f>MouserListTable1218[[#This Row],[Tot '#]]-MouserListTable1218[[#This Row],['# Initial]]</f>
        <v>4</v>
      </c>
      <c r="F141" s="121">
        <f>MouserListTable1218[[#This Row],['#/Unit]]*FilterSpecs!$B$3+MouserListTable1218[[#This Row],[Extra Initial]]</f>
        <v>0</v>
      </c>
      <c r="G141" s="103"/>
      <c r="H141" s="103"/>
      <c r="I141" s="103" t="s">
        <v>2339</v>
      </c>
      <c r="J141" s="103"/>
      <c r="K141" s="157">
        <v>7.95</v>
      </c>
      <c r="L141" s="103" t="s">
        <v>1910</v>
      </c>
      <c r="M141" s="106"/>
      <c r="N141" s="157">
        <f>MouserListTable1218[[#This Row],['# Initial]]*MouserListTable1218[[#This Row],[Price (USD)]]</f>
        <v>0</v>
      </c>
      <c r="O141" s="106" t="s">
        <v>2338</v>
      </c>
      <c r="P141" s="103">
        <f t="shared" si="1"/>
        <v>128</v>
      </c>
      <c r="Q141" s="103" t="s">
        <v>1898</v>
      </c>
      <c r="R14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485-1075</v>
      </c>
      <c r="S141" s="121">
        <v>0</v>
      </c>
      <c r="T141" s="121">
        <v>4</v>
      </c>
      <c r="U141" s="121">
        <v>0</v>
      </c>
      <c r="V141" s="121">
        <f>MouserListTable1218[[#This Row],['#/Unit]]*FilterSpecs!$C$3+MouserListTable1218[[#This Row],[Extra]]</f>
        <v>4</v>
      </c>
      <c r="W141" s="121">
        <f>IF(MouserListTable1218[[#This Row],[Tag]]=FilterSpecs!$F$7,MouserListTable1218[[#This Row],[Price (USD)]],0)</f>
        <v>0</v>
      </c>
      <c r="X141" s="121">
        <f>MouserListTable1218[[#This Row],[Tot '#]]*MouserListTable1218[[#This Row],[Price (USD)]]</f>
        <v>31.8</v>
      </c>
    </row>
    <row r="142" spans="1:24" s="146" customFormat="1" x14ac:dyDescent="0.3">
      <c r="A142" s="126" t="s">
        <v>894</v>
      </c>
      <c r="B142" s="126" t="s">
        <v>15</v>
      </c>
      <c r="C142" s="126" t="s">
        <v>8</v>
      </c>
      <c r="D142" s="106" t="str">
        <f>IF(MouserListTable1218[[#This Row],[Vendor]]=FilterSpecs!$A$8,MouserListTable1218[[#This Row],[Mouser SKU]], MouserListTable1218[[#This Row],[Supplier SKU]])</f>
        <v>SEN-09375</v>
      </c>
      <c r="E142" s="121">
        <f>MouserListTable1218[[#This Row],[Tot '#]]-MouserListTable1218[[#This Row],['# Initial]]</f>
        <v>0</v>
      </c>
      <c r="F142" s="121">
        <f>MouserListTable1218[[#This Row],['#/Unit]]*FilterSpecs!$B$3+MouserListTable1218[[#This Row],[Extra Initial]]</f>
        <v>0</v>
      </c>
      <c r="G142" s="103" t="s">
        <v>1422</v>
      </c>
      <c r="H142" s="103" t="s">
        <v>1423</v>
      </c>
      <c r="I142" s="103" t="s">
        <v>1424</v>
      </c>
      <c r="J142" s="103">
        <v>1</v>
      </c>
      <c r="K142" s="157">
        <v>6.95</v>
      </c>
      <c r="L142" s="103" t="s">
        <v>1910</v>
      </c>
      <c r="N142" s="157">
        <f>MouserListTable1218[[#This Row],['# Initial]]*MouserListTable1218[[#This Row],[Price (USD)]]</f>
        <v>0</v>
      </c>
      <c r="O142" s="106" t="s">
        <v>1421</v>
      </c>
      <c r="P142" s="103">
        <f t="shared" ref="P142:P205" si="2">IF($P141="List #",1,$P141+1)</f>
        <v>129</v>
      </c>
      <c r="Q142" s="103" t="s">
        <v>8</v>
      </c>
      <c r="R14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474-SEN-09375</v>
      </c>
      <c r="S142" s="121">
        <v>0</v>
      </c>
      <c r="T142" s="121">
        <v>0</v>
      </c>
      <c r="U142" s="121">
        <v>0</v>
      </c>
      <c r="V142" s="121">
        <f>MouserListTable1218[[#This Row],['#/Unit]]*FilterSpecs!$C$3+MouserListTable1218[[#This Row],[Extra]]</f>
        <v>0</v>
      </c>
      <c r="W142" s="121">
        <f>IF(MouserListTable1218[[#This Row],[Tag]]=FilterSpecs!$F$7,MouserListTable1218[[#This Row],[Price (USD)]],0)</f>
        <v>0</v>
      </c>
      <c r="X142" s="121">
        <f>MouserListTable1218[[#This Row],[Tot '#]]*MouserListTable1218[[#This Row],[Price (USD)]]</f>
        <v>0</v>
      </c>
    </row>
    <row r="143" spans="1:24" s="146" customFormat="1" x14ac:dyDescent="0.3">
      <c r="A143" s="126" t="s">
        <v>894</v>
      </c>
      <c r="B143" s="126" t="s">
        <v>15</v>
      </c>
      <c r="C143" s="126" t="s">
        <v>8</v>
      </c>
      <c r="D143" s="106" t="str">
        <f>IF(MouserListTable1218[[#This Row],[Vendor]]=FilterSpecs!$A$8,MouserListTable1218[[#This Row],[Mouser SKU]], MouserListTable1218[[#This Row],[Supplier SKU]])</f>
        <v>SEN-08606</v>
      </c>
      <c r="E143" s="121">
        <f>MouserListTable1218[[#This Row],[Tot '#]]-MouserListTable1218[[#This Row],['# Initial]]</f>
        <v>0</v>
      </c>
      <c r="F143" s="121">
        <f>MouserListTable1218[[#This Row],['#/Unit]]*FilterSpecs!$B$3+MouserListTable1218[[#This Row],[Extra Initial]]</f>
        <v>0</v>
      </c>
      <c r="G143" s="103" t="s">
        <v>1426</v>
      </c>
      <c r="H143" s="103" t="s">
        <v>1427</v>
      </c>
      <c r="I143" s="103" t="s">
        <v>1428</v>
      </c>
      <c r="J143" s="103">
        <v>1</v>
      </c>
      <c r="K143" s="157">
        <v>12.95</v>
      </c>
      <c r="L143" s="103" t="s">
        <v>1910</v>
      </c>
      <c r="N143" s="157">
        <f>MouserListTable1218[[#This Row],['# Initial]]*MouserListTable1218[[#This Row],[Price (USD)]]</f>
        <v>0</v>
      </c>
      <c r="O143" s="106" t="s">
        <v>1425</v>
      </c>
      <c r="P143" s="103">
        <f t="shared" si="2"/>
        <v>130</v>
      </c>
      <c r="Q143" s="103" t="s">
        <v>8</v>
      </c>
      <c r="R14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474-SEN-08606</v>
      </c>
      <c r="S143" s="121">
        <v>0</v>
      </c>
      <c r="T143" s="121">
        <v>0</v>
      </c>
      <c r="U143" s="121">
        <v>0</v>
      </c>
      <c r="V143" s="121">
        <f>MouserListTable1218[[#This Row],['#/Unit]]*FilterSpecs!$C$3+MouserListTable1218[[#This Row],[Extra]]</f>
        <v>0</v>
      </c>
      <c r="W143" s="121">
        <f>IF(MouserListTable1218[[#This Row],[Tag]]=FilterSpecs!$F$7,MouserListTable1218[[#This Row],[Price (USD)]],0)</f>
        <v>0</v>
      </c>
      <c r="X143" s="121">
        <f>MouserListTable1218[[#This Row],[Tot '#]]*MouserListTable1218[[#This Row],[Price (USD)]]</f>
        <v>0</v>
      </c>
    </row>
    <row r="144" spans="1:24" s="146" customFormat="1" x14ac:dyDescent="0.3">
      <c r="A144" s="126" t="s">
        <v>894</v>
      </c>
      <c r="B144" s="126" t="s">
        <v>15</v>
      </c>
      <c r="C144" s="126" t="s">
        <v>8</v>
      </c>
      <c r="D144" s="106" t="str">
        <f>IF(MouserListTable1218[[#This Row],[Vendor]]=FilterSpecs!$A$8,MouserListTable1218[[#This Row],[Mouser SKU]], MouserListTable1218[[#This Row],[Supplier SKU]])</f>
        <v>SEN-10293</v>
      </c>
      <c r="E144" s="121">
        <f>MouserListTable1218[[#This Row],[Tot '#]]-MouserListTable1218[[#This Row],['# Initial]]</f>
        <v>0</v>
      </c>
      <c r="F144" s="121">
        <f>MouserListTable1218[[#This Row],['#/Unit]]*FilterSpecs!$B$3+MouserListTable1218[[#This Row],[Extra Initial]]</f>
        <v>0</v>
      </c>
      <c r="G144" s="103" t="s">
        <v>720</v>
      </c>
      <c r="H144" s="103" t="s">
        <v>721</v>
      </c>
      <c r="I144" s="103" t="s">
        <v>722</v>
      </c>
      <c r="J144" s="103">
        <v>1</v>
      </c>
      <c r="K144" s="157">
        <v>1.5</v>
      </c>
      <c r="L144" s="103" t="s">
        <v>1913</v>
      </c>
      <c r="N144" s="157">
        <f>MouserListTable1218[[#This Row],['# Initial]]*MouserListTable1218[[#This Row],[Price (USD)]]</f>
        <v>0</v>
      </c>
      <c r="O144" s="106" t="s">
        <v>719</v>
      </c>
      <c r="P144" s="103">
        <f t="shared" si="2"/>
        <v>131</v>
      </c>
      <c r="Q144" s="103" t="s">
        <v>8</v>
      </c>
      <c r="R14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474-SEN-10293</v>
      </c>
      <c r="S144" s="121">
        <v>0</v>
      </c>
      <c r="T144" s="121">
        <v>0</v>
      </c>
      <c r="U144" s="121">
        <v>0</v>
      </c>
      <c r="V144" s="121">
        <f>MouserListTable1218[[#This Row],['#/Unit]]*FilterSpecs!$C$3+MouserListTable1218[[#This Row],[Extra]]</f>
        <v>0</v>
      </c>
      <c r="W144" s="121">
        <f>IF(MouserListTable1218[[#This Row],[Tag]]=FilterSpecs!$F$7,MouserListTable1218[[#This Row],[Price (USD)]],0)</f>
        <v>0</v>
      </c>
      <c r="X144" s="121">
        <f>MouserListTable1218[[#This Row],[Tot '#]]*MouserListTable1218[[#This Row],[Price (USD)]]</f>
        <v>0</v>
      </c>
    </row>
    <row r="145" spans="1:24" s="146" customFormat="1" x14ac:dyDescent="0.3">
      <c r="A145" s="126" t="s">
        <v>894</v>
      </c>
      <c r="B145" s="126" t="s">
        <v>15</v>
      </c>
      <c r="C145" s="126" t="s">
        <v>1898</v>
      </c>
      <c r="D145" s="106" t="str">
        <f>IF(MouserListTable1218[[#This Row],[Vendor]]=FilterSpecs!$A$8,MouserListTable1218[[#This Row],[Mouser SKU]], MouserListTable1218[[#This Row],[Supplier SKU]])</f>
        <v>1739</v>
      </c>
      <c r="E145" s="121">
        <f>MouserListTable1218[[#This Row],[Tot '#]]-MouserListTable1218[[#This Row],['# Initial]]</f>
        <v>0</v>
      </c>
      <c r="F145" s="121">
        <f>MouserListTable1218[[#This Row],['#/Unit]]*FilterSpecs!$B$3+MouserListTable1218[[#This Row],[Extra Initial]]</f>
        <v>0</v>
      </c>
      <c r="G145" s="103"/>
      <c r="H145" s="103"/>
      <c r="I145" s="103" t="s">
        <v>2335</v>
      </c>
      <c r="J145" s="103"/>
      <c r="K145" s="157">
        <v>0.95</v>
      </c>
      <c r="L145" s="103" t="s">
        <v>1910</v>
      </c>
      <c r="N145" s="157">
        <f>MouserListTable1218[[#This Row],['# Initial]]*MouserListTable1218[[#This Row],[Price (USD)]]</f>
        <v>0</v>
      </c>
      <c r="O145" s="106" t="s">
        <v>2334</v>
      </c>
      <c r="P145" s="103">
        <f t="shared" si="2"/>
        <v>132</v>
      </c>
      <c r="Q145" s="103" t="s">
        <v>1898</v>
      </c>
      <c r="R14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485-1739</v>
      </c>
      <c r="S145" s="121">
        <v>0</v>
      </c>
      <c r="T145" s="121">
        <v>0</v>
      </c>
      <c r="U145" s="121">
        <v>0</v>
      </c>
      <c r="V145" s="121">
        <f>MouserListTable1218[[#This Row],['#/Unit]]*FilterSpecs!$C$3+MouserListTable1218[[#This Row],[Extra]]</f>
        <v>0</v>
      </c>
      <c r="W145" s="121">
        <f>IF(MouserListTable1218[[#This Row],[Tag]]=FilterSpecs!$F$7,MouserListTable1218[[#This Row],[Price (USD)]],0)</f>
        <v>0</v>
      </c>
      <c r="X145" s="121">
        <f>MouserListTable1218[[#This Row],[Tot '#]]*MouserListTable1218[[#This Row],[Price (USD)]]</f>
        <v>0</v>
      </c>
    </row>
    <row r="146" spans="1:24" s="146" customFormat="1" x14ac:dyDescent="0.3">
      <c r="A146" s="103" t="s">
        <v>894</v>
      </c>
      <c r="B146" s="103" t="s">
        <v>15</v>
      </c>
      <c r="C146" s="103" t="s">
        <v>8</v>
      </c>
      <c r="D146" s="106" t="str">
        <f>IF(MouserListTable1218[[#This Row],[Vendor]]=FilterSpecs!$A$8,MouserListTable1218[[#This Row],[Mouser SKU]], MouserListTable1218[[#This Row],[Supplier SKU]])</f>
        <v>SEN-10289</v>
      </c>
      <c r="E146" s="121">
        <f>MouserListTable1218[[#This Row],[Tot '#]]-MouserListTable1218[[#This Row],['# Initial]]</f>
        <v>0</v>
      </c>
      <c r="F146" s="121">
        <f>MouserListTable1218[[#This Row],['#/Unit]]*FilterSpecs!$B$3+MouserListTable1218[[#This Row],[Extra Initial]]</f>
        <v>5</v>
      </c>
      <c r="G146" s="103" t="s">
        <v>290</v>
      </c>
      <c r="H146" s="103" t="s">
        <v>291</v>
      </c>
      <c r="I146" s="103" t="s">
        <v>292</v>
      </c>
      <c r="J146" s="103">
        <v>1</v>
      </c>
      <c r="K146" s="157">
        <v>1.95</v>
      </c>
      <c r="L146" s="103" t="s">
        <v>1911</v>
      </c>
      <c r="M146" s="106"/>
      <c r="N146" s="157">
        <f>MouserListTable1218[[#This Row],['# Initial]]*MouserListTable1218[[#This Row],[Price (USD)]]</f>
        <v>9.75</v>
      </c>
      <c r="O146" s="106" t="s">
        <v>289</v>
      </c>
      <c r="P146" s="103">
        <f t="shared" si="2"/>
        <v>133</v>
      </c>
      <c r="Q146" s="103" t="s">
        <v>8</v>
      </c>
      <c r="R14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474-SEN-10289</v>
      </c>
      <c r="S146" s="121">
        <v>1</v>
      </c>
      <c r="T146" s="121">
        <v>0</v>
      </c>
      <c r="U146" s="121">
        <v>0</v>
      </c>
      <c r="V146" s="121">
        <f>MouserListTable1218[[#This Row],['#/Unit]]*FilterSpecs!$C$3+MouserListTable1218[[#This Row],[Extra]]</f>
        <v>5</v>
      </c>
      <c r="W146" s="121">
        <f>IF(MouserListTable1218[[#This Row],[Tag]]=FilterSpecs!$F$7,MouserListTable1218[[#This Row],[Price (USD)]],0)</f>
        <v>1.95</v>
      </c>
      <c r="X146" s="121">
        <f>MouserListTable1218[[#This Row],[Tot '#]]*MouserListTable1218[[#This Row],[Price (USD)]]</f>
        <v>9.75</v>
      </c>
    </row>
    <row r="147" spans="1:24" s="146" customFormat="1" x14ac:dyDescent="0.3">
      <c r="A147" s="126" t="s">
        <v>894</v>
      </c>
      <c r="B147" s="126" t="s">
        <v>15</v>
      </c>
      <c r="C147" s="126" t="s">
        <v>1898</v>
      </c>
      <c r="D147" s="106" t="str">
        <f>IF(MouserListTable1218[[#This Row],[Vendor]]=FilterSpecs!$A$8,MouserListTable1218[[#This Row],[Mouser SKU]], MouserListTable1218[[#This Row],[Supplier SKU]])</f>
        <v>1917</v>
      </c>
      <c r="E147" s="121">
        <f>MouserListTable1218[[#This Row],[Tot '#]]-MouserListTable1218[[#This Row],['# Initial]]</f>
        <v>0</v>
      </c>
      <c r="F147" s="121">
        <f>MouserListTable1218[[#This Row],['#/Unit]]*FilterSpecs!$B$3+MouserListTable1218[[#This Row],[Extra Initial]]</f>
        <v>0</v>
      </c>
      <c r="G147" s="103"/>
      <c r="H147" s="103"/>
      <c r="I147" s="103" t="s">
        <v>2331</v>
      </c>
      <c r="J147" s="103"/>
      <c r="K147" s="157">
        <v>18</v>
      </c>
      <c r="L147" s="103" t="s">
        <v>1910</v>
      </c>
      <c r="N147" s="157">
        <f>MouserListTable1218[[#This Row],['# Initial]]*MouserListTable1218[[#This Row],[Price (USD)]]</f>
        <v>0</v>
      </c>
      <c r="O147" s="106" t="s">
        <v>2330</v>
      </c>
      <c r="P147" s="103">
        <f t="shared" si="2"/>
        <v>134</v>
      </c>
      <c r="Q147" s="103" t="s">
        <v>1898</v>
      </c>
      <c r="R14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485-1917</v>
      </c>
      <c r="S147" s="121">
        <v>0</v>
      </c>
      <c r="T147" s="121">
        <v>0</v>
      </c>
      <c r="U147" s="121">
        <v>0</v>
      </c>
      <c r="V147" s="121">
        <f>MouserListTable1218[[#This Row],['#/Unit]]*FilterSpecs!$C$3+MouserListTable1218[[#This Row],[Extra]]</f>
        <v>0</v>
      </c>
      <c r="W147" s="121">
        <f>IF(MouserListTable1218[[#This Row],[Tag]]=FilterSpecs!$F$7,MouserListTable1218[[#This Row],[Price (USD)]],0)</f>
        <v>0</v>
      </c>
      <c r="X147" s="121">
        <f>MouserListTable1218[[#This Row],[Tot '#]]*MouserListTable1218[[#This Row],[Price (USD)]]</f>
        <v>0</v>
      </c>
    </row>
    <row r="148" spans="1:24" s="146" customFormat="1" x14ac:dyDescent="0.3">
      <c r="A148" s="103" t="s">
        <v>894</v>
      </c>
      <c r="B148" s="103" t="s">
        <v>15</v>
      </c>
      <c r="C148" s="103" t="s">
        <v>1898</v>
      </c>
      <c r="D148" s="106" t="str">
        <f>IF(MouserListTable1218[[#This Row],[Vendor]]=FilterSpecs!$A$8,MouserListTable1218[[#This Row],[Mouser SKU]], MouserListTable1218[[#This Row],[Supplier SKU]])</f>
        <v>1361</v>
      </c>
      <c r="E148" s="121">
        <f>MouserListTable1218[[#This Row],[Tot '#]]-MouserListTable1218[[#This Row],['# Initial]]</f>
        <v>0</v>
      </c>
      <c r="F148" s="121">
        <f>MouserListTable1218[[#This Row],['#/Unit]]*FilterSpecs!$B$3+MouserListTable1218[[#This Row],[Extra Initial]]</f>
        <v>1</v>
      </c>
      <c r="G148" s="103"/>
      <c r="H148" s="103"/>
      <c r="I148" s="103" t="s">
        <v>2337</v>
      </c>
      <c r="J148" s="103"/>
      <c r="K148" s="157">
        <v>3.95</v>
      </c>
      <c r="L148" s="103" t="s">
        <v>1910</v>
      </c>
      <c r="M148" s="106"/>
      <c r="N148" s="157">
        <f>MouserListTable1218[[#This Row],['# Initial]]*MouserListTable1218[[#This Row],[Price (USD)]]</f>
        <v>3.95</v>
      </c>
      <c r="O148" s="106" t="s">
        <v>2336</v>
      </c>
      <c r="P148" s="103">
        <f t="shared" si="2"/>
        <v>135</v>
      </c>
      <c r="Q148" s="103" t="s">
        <v>1898</v>
      </c>
      <c r="R14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485-1361</v>
      </c>
      <c r="S148" s="121">
        <v>0</v>
      </c>
      <c r="T148" s="121">
        <v>1</v>
      </c>
      <c r="U148" s="121">
        <v>1</v>
      </c>
      <c r="V148" s="121">
        <f>MouserListTable1218[[#This Row],['#/Unit]]*FilterSpecs!$C$3+MouserListTable1218[[#This Row],[Extra]]</f>
        <v>1</v>
      </c>
      <c r="W148" s="121">
        <f>IF(MouserListTable1218[[#This Row],[Tag]]=FilterSpecs!$F$7,MouserListTable1218[[#This Row],[Price (USD)]],0)</f>
        <v>0</v>
      </c>
      <c r="X148" s="121">
        <f>MouserListTable1218[[#This Row],[Tot '#]]*MouserListTable1218[[#This Row],[Price (USD)]]</f>
        <v>3.95</v>
      </c>
    </row>
    <row r="149" spans="1:24" s="146" customFormat="1" x14ac:dyDescent="0.3">
      <c r="A149" s="103" t="s">
        <v>894</v>
      </c>
      <c r="B149" s="103" t="s">
        <v>15</v>
      </c>
      <c r="C149" s="103" t="s">
        <v>8</v>
      </c>
      <c r="D149" s="106" t="str">
        <f>IF(MouserListTable1218[[#This Row],[Vendor]]=FilterSpecs!$A$8,MouserListTable1218[[#This Row],[Mouser SKU]], MouserListTable1218[[#This Row],[Supplier SKU]])</f>
        <v>COM-14111</v>
      </c>
      <c r="E149" s="121">
        <f>MouserListTable1218[[#This Row],[Tot '#]]-MouserListTable1218[[#This Row],['# Initial]]</f>
        <v>0</v>
      </c>
      <c r="F149" s="121">
        <f>MouserListTable1218[[#This Row],['#/Unit]]*FilterSpecs!$B$3+MouserListTable1218[[#This Row],[Extra Initial]]</f>
        <v>2</v>
      </c>
      <c r="G149" s="103" t="s">
        <v>113</v>
      </c>
      <c r="H149" s="103" t="s">
        <v>114</v>
      </c>
      <c r="I149" s="103" t="s">
        <v>115</v>
      </c>
      <c r="J149" s="103">
        <v>1</v>
      </c>
      <c r="K149" s="157">
        <v>24.95</v>
      </c>
      <c r="L149" s="103" t="s">
        <v>1910</v>
      </c>
      <c r="M149" s="106"/>
      <c r="N149" s="157">
        <f>MouserListTable1218[[#This Row],['# Initial]]*MouserListTable1218[[#This Row],[Price (USD)]]</f>
        <v>49.9</v>
      </c>
      <c r="O149" s="106" t="s">
        <v>112</v>
      </c>
      <c r="P149" s="103">
        <f t="shared" si="2"/>
        <v>136</v>
      </c>
      <c r="Q149" s="103" t="s">
        <v>8</v>
      </c>
      <c r="R14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474-COM-14111</v>
      </c>
      <c r="S149" s="121">
        <v>0</v>
      </c>
      <c r="T149" s="121">
        <v>2</v>
      </c>
      <c r="U149" s="121">
        <v>2</v>
      </c>
      <c r="V149" s="121">
        <f>MouserListTable1218[[#This Row],['#/Unit]]*FilterSpecs!$C$3+MouserListTable1218[[#This Row],[Extra]]</f>
        <v>2</v>
      </c>
      <c r="W149" s="121">
        <f>IF(MouserListTable1218[[#This Row],[Tag]]=FilterSpecs!$F$7,MouserListTable1218[[#This Row],[Price (USD)]],0)</f>
        <v>0</v>
      </c>
      <c r="X149" s="121">
        <f>MouserListTable1218[[#This Row],[Tot '#]]*MouserListTable1218[[#This Row],[Price (USD)]]</f>
        <v>49.9</v>
      </c>
    </row>
    <row r="150" spans="1:24" s="146" customFormat="1" x14ac:dyDescent="0.3">
      <c r="A150" s="103" t="s">
        <v>894</v>
      </c>
      <c r="B150" s="103" t="s">
        <v>15</v>
      </c>
      <c r="C150" s="103" t="s">
        <v>1898</v>
      </c>
      <c r="D150" s="106" t="str">
        <f>IF(MouserListTable1218[[#This Row],[Vendor]]=FilterSpecs!$A$8,MouserListTable1218[[#This Row],[Mouser SKU]], MouserListTable1218[[#This Row],[Supplier SKU]])</f>
        <v>1168</v>
      </c>
      <c r="E150" s="121">
        <f>MouserListTable1218[[#This Row],[Tot '#]]-MouserListTable1218[[#This Row],['# Initial]]</f>
        <v>0</v>
      </c>
      <c r="F150" s="121">
        <f>MouserListTable1218[[#This Row],['#/Unit]]*FilterSpecs!$B$3+MouserListTable1218[[#This Row],[Extra Initial]]</f>
        <v>1</v>
      </c>
      <c r="G150" s="103"/>
      <c r="H150" s="103"/>
      <c r="I150" s="103" t="s">
        <v>2341</v>
      </c>
      <c r="J150" s="103"/>
      <c r="K150" s="157">
        <v>4.95</v>
      </c>
      <c r="L150" s="103" t="s">
        <v>1910</v>
      </c>
      <c r="M150" s="106"/>
      <c r="N150" s="157">
        <f>MouserListTable1218[[#This Row],['# Initial]]*MouserListTable1218[[#This Row],[Price (USD)]]</f>
        <v>4.95</v>
      </c>
      <c r="O150" s="106" t="s">
        <v>2340</v>
      </c>
      <c r="P150" s="103">
        <f t="shared" si="2"/>
        <v>137</v>
      </c>
      <c r="Q150" s="103" t="s">
        <v>1898</v>
      </c>
      <c r="R15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485-1168</v>
      </c>
      <c r="S150" s="121">
        <v>0</v>
      </c>
      <c r="T150" s="121">
        <v>1</v>
      </c>
      <c r="U150" s="121">
        <v>1</v>
      </c>
      <c r="V150" s="121">
        <f>MouserListTable1218[[#This Row],['#/Unit]]*FilterSpecs!$C$3+MouserListTable1218[[#This Row],[Extra]]</f>
        <v>1</v>
      </c>
      <c r="W150" s="121">
        <f>IF(MouserListTable1218[[#This Row],[Tag]]=FilterSpecs!$F$7,MouserListTable1218[[#This Row],[Price (USD)]],0)</f>
        <v>0</v>
      </c>
      <c r="X150" s="121">
        <f>MouserListTable1218[[#This Row],[Tot '#]]*MouserListTable1218[[#This Row],[Price (USD)]]</f>
        <v>4.95</v>
      </c>
    </row>
    <row r="151" spans="1:24" s="146" customFormat="1" x14ac:dyDescent="0.3">
      <c r="A151" s="103" t="s">
        <v>894</v>
      </c>
      <c r="B151" s="103" t="s">
        <v>2031</v>
      </c>
      <c r="C151" s="103" t="s">
        <v>8</v>
      </c>
      <c r="D151" s="106" t="str">
        <f>IF(MouserListTable1218[[#This Row],[Vendor]]=FilterSpecs!$A$8,MouserListTable1218[[#This Row],[Mouser SKU]], MouserListTable1218[[#This Row],[Supplier SKU]])</f>
        <v>DEV-13293</v>
      </c>
      <c r="E151" s="121">
        <f>MouserListTable1218[[#This Row],[Tot '#]]-MouserListTable1218[[#This Row],['# Initial]]</f>
        <v>0</v>
      </c>
      <c r="F151" s="121">
        <f>MouserListTable1218[[#This Row],['#/Unit]]*FilterSpecs!$B$3+MouserListTable1218[[#This Row],[Extra Initial]]</f>
        <v>0</v>
      </c>
      <c r="G151" s="103" t="s">
        <v>117</v>
      </c>
      <c r="H151" s="103" t="s">
        <v>118</v>
      </c>
      <c r="I151" s="103" t="s">
        <v>119</v>
      </c>
      <c r="J151" s="103">
        <v>1</v>
      </c>
      <c r="K151" s="157">
        <v>12.95</v>
      </c>
      <c r="L151" s="103" t="s">
        <v>1913</v>
      </c>
      <c r="M151" s="106"/>
      <c r="N151" s="157">
        <f>MouserListTable1218[[#This Row],['# Initial]]*MouserListTable1218[[#This Row],[Price (USD)]]</f>
        <v>0</v>
      </c>
      <c r="O151" s="106" t="s">
        <v>116</v>
      </c>
      <c r="P151" s="103">
        <f t="shared" si="2"/>
        <v>138</v>
      </c>
      <c r="Q151" s="103" t="s">
        <v>8</v>
      </c>
      <c r="R15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474-DEV-13293</v>
      </c>
      <c r="S151" s="121">
        <v>0</v>
      </c>
      <c r="T151" s="121">
        <v>0</v>
      </c>
      <c r="U151" s="121">
        <v>0</v>
      </c>
      <c r="V151" s="121">
        <f>MouserListTable1218[[#This Row],['#/Unit]]*FilterSpecs!$C$3+MouserListTable1218[[#This Row],[Extra]]</f>
        <v>0</v>
      </c>
      <c r="W151" s="121">
        <f>IF(MouserListTable1218[[#This Row],[Tag]]=FilterSpecs!$F$7,MouserListTable1218[[#This Row],[Price (USD)]],0)</f>
        <v>0</v>
      </c>
      <c r="X151" s="121">
        <f>MouserListTable1218[[#This Row],[Tot '#]]*MouserListTable1218[[#This Row],[Price (USD)]]</f>
        <v>0</v>
      </c>
    </row>
    <row r="152" spans="1:24" s="146" customFormat="1" x14ac:dyDescent="0.3">
      <c r="A152" s="103" t="s">
        <v>894</v>
      </c>
      <c r="B152" s="103" t="s">
        <v>2031</v>
      </c>
      <c r="C152" s="103" t="s">
        <v>1898</v>
      </c>
      <c r="D152" s="160">
        <f>IF(MouserListTable1218[[#This Row],[Vendor]]=FilterSpecs!$A$8,MouserListTable1218[[#This Row],[Mouser SKU]], MouserListTable1218[[#This Row],[Supplier SKU]])</f>
        <v>716</v>
      </c>
      <c r="E152" s="121">
        <f>MouserListTable1218[[#This Row],[Tot '#]]-MouserListTable1218[[#This Row],['# Initial]]</f>
        <v>0</v>
      </c>
      <c r="F152" s="121">
        <f>MouserListTable1218[[#This Row],['#/Unit]]*FilterSpecs!$B$3+MouserListTable1218[[#This Row],[Extra Initial]]</f>
        <v>5</v>
      </c>
      <c r="G152" s="103"/>
      <c r="H152" s="103"/>
      <c r="I152" s="103" t="s">
        <v>2580</v>
      </c>
      <c r="J152" s="103"/>
      <c r="K152" s="157">
        <v>23.95</v>
      </c>
      <c r="L152" s="121" t="s">
        <v>1911</v>
      </c>
      <c r="M152" s="103"/>
      <c r="N152" s="157">
        <f>MouserListTable1218[[#This Row],['# Initial]]*MouserListTable1218[[#This Row],[Price (USD)]]</f>
        <v>119.75</v>
      </c>
      <c r="O152" s="106">
        <v>716</v>
      </c>
      <c r="P152" s="121">
        <f>IF($P151="List #",1,$P151+1)</f>
        <v>139</v>
      </c>
      <c r="Q152" s="103" t="s">
        <v>1898</v>
      </c>
      <c r="R15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485-716</v>
      </c>
      <c r="S152" s="121">
        <v>1</v>
      </c>
      <c r="T152" s="121">
        <v>0</v>
      </c>
      <c r="U152" s="121">
        <v>0</v>
      </c>
      <c r="V152" s="121">
        <f>MouserListTable1218[[#This Row],['#/Unit]]*FilterSpecs!$C$3+MouserListTable1218[[#This Row],[Extra]]</f>
        <v>5</v>
      </c>
      <c r="W152" s="121">
        <f>IF(MouserListTable1218[[#This Row],[Tag]]=FilterSpecs!$F$7,MouserListTable1218[[#This Row],[Price (USD)]],0)</f>
        <v>23.95</v>
      </c>
      <c r="X152" s="121">
        <f>MouserListTable1218[[#This Row],[Tot '#]]*MouserListTable1218[[#This Row],[Price (USD)]]</f>
        <v>119.75</v>
      </c>
    </row>
    <row r="153" spans="1:24" s="146" customFormat="1" x14ac:dyDescent="0.3">
      <c r="A153" s="103" t="s">
        <v>894</v>
      </c>
      <c r="B153" s="103" t="s">
        <v>2031</v>
      </c>
      <c r="C153" s="103" t="s">
        <v>1898</v>
      </c>
      <c r="D153" s="160">
        <f>IF(MouserListTable1218[[#This Row],[Vendor]]=FilterSpecs!$A$8,MouserListTable1218[[#This Row],[Mouser SKU]], MouserListTable1218[[#This Row],[Supplier SKU]])</f>
        <v>772</v>
      </c>
      <c r="E153" s="121">
        <f>MouserListTable1218[[#This Row],[Tot '#]]-MouserListTable1218[[#This Row],['# Initial]]</f>
        <v>0</v>
      </c>
      <c r="F153" s="121">
        <f>MouserListTable1218[[#This Row],['#/Unit]]*FilterSpecs!$B$3+MouserListTable1218[[#This Row],[Extra Initial]]</f>
        <v>0</v>
      </c>
      <c r="G153" s="103"/>
      <c r="H153" s="103"/>
      <c r="I153" s="103" t="s">
        <v>2581</v>
      </c>
      <c r="J153" s="103"/>
      <c r="K153" s="157">
        <v>19.95</v>
      </c>
      <c r="L153" s="121" t="str">
        <f>Primary!K141</f>
        <v>A</v>
      </c>
      <c r="M153" s="103"/>
      <c r="N153" s="157">
        <f>MouserListTable1218[[#This Row],['# Initial]]*MouserListTable1218[[#This Row],[Price (USD)]]</f>
        <v>0</v>
      </c>
      <c r="O153" s="106">
        <v>772</v>
      </c>
      <c r="P153" s="121">
        <f>IF($P152="List #",1,$P152+1)</f>
        <v>140</v>
      </c>
      <c r="Q153" s="103" t="s">
        <v>1898</v>
      </c>
      <c r="R15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485-772</v>
      </c>
      <c r="S153" s="121">
        <v>0</v>
      </c>
      <c r="T153" s="121">
        <v>0</v>
      </c>
      <c r="U153" s="121">
        <v>0</v>
      </c>
      <c r="V153" s="121">
        <f>MouserListTable1218[[#This Row],['#/Unit]]*FilterSpecs!$C$3+MouserListTable1218[[#This Row],[Extra]]</f>
        <v>0</v>
      </c>
      <c r="W153" s="121">
        <f>IF(MouserListTable1218[[#This Row],[Tag]]=FilterSpecs!$F$7,MouserListTable1218[[#This Row],[Price (USD)]],0)</f>
        <v>0</v>
      </c>
      <c r="X153" s="121">
        <f>MouserListTable1218[[#This Row],[Tot '#]]*MouserListTable1218[[#This Row],[Price (USD)]]</f>
        <v>0</v>
      </c>
    </row>
    <row r="154" spans="1:24" s="146" customFormat="1" x14ac:dyDescent="0.3">
      <c r="A154" s="103" t="s">
        <v>894</v>
      </c>
      <c r="B154" s="103" t="s">
        <v>2031</v>
      </c>
      <c r="C154" s="103" t="s">
        <v>8</v>
      </c>
      <c r="D154" s="106" t="str">
        <f>IF(MouserListTable1218[[#This Row],[Vendor]]=FilterSpecs!$A$8,MouserListTable1218[[#This Row],[Mouser SKU]], MouserListTable1218[[#This Row],[Supplier SKU]])</f>
        <v>LCD-00710</v>
      </c>
      <c r="E154" s="121">
        <f>MouserListTable1218[[#This Row],[Tot '#]]-MouserListTable1218[[#This Row],['# Initial]]</f>
        <v>1</v>
      </c>
      <c r="F154" s="121">
        <f>MouserListTable1218[[#This Row],['#/Unit]]*FilterSpecs!$B$3+MouserListTable1218[[#This Row],[Extra Initial]]</f>
        <v>0</v>
      </c>
      <c r="G154" s="103" t="s">
        <v>1182</v>
      </c>
      <c r="H154" s="103" t="s">
        <v>1183</v>
      </c>
      <c r="I154" s="103" t="s">
        <v>1184</v>
      </c>
      <c r="J154" s="103">
        <v>1</v>
      </c>
      <c r="K154" s="157">
        <v>19.95</v>
      </c>
      <c r="L154" s="103" t="s">
        <v>1910</v>
      </c>
      <c r="M154" s="106"/>
      <c r="N154" s="157">
        <f>MouserListTable1218[[#This Row],['# Initial]]*MouserListTable1218[[#This Row],[Price (USD)]]</f>
        <v>0</v>
      </c>
      <c r="O154" s="106" t="s">
        <v>1181</v>
      </c>
      <c r="P154" s="103">
        <f>IF($P151="List #",1,$P151+1)</f>
        <v>139</v>
      </c>
      <c r="Q154" s="103" t="s">
        <v>8</v>
      </c>
      <c r="R15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474-LCD-00710</v>
      </c>
      <c r="S154" s="121">
        <v>0</v>
      </c>
      <c r="T154" s="121">
        <v>1</v>
      </c>
      <c r="U154" s="121">
        <v>0</v>
      </c>
      <c r="V154" s="121">
        <f>MouserListTable1218[[#This Row],['#/Unit]]*FilterSpecs!$C$3+MouserListTable1218[[#This Row],[Extra]]</f>
        <v>1</v>
      </c>
      <c r="W154" s="121">
        <f>IF(MouserListTable1218[[#This Row],[Tag]]=FilterSpecs!$F$7,MouserListTable1218[[#This Row],[Price (USD)]],0)</f>
        <v>0</v>
      </c>
      <c r="X154" s="121">
        <f>MouserListTable1218[[#This Row],[Tot '#]]*MouserListTable1218[[#This Row],[Price (USD)]]</f>
        <v>19.95</v>
      </c>
    </row>
    <row r="155" spans="1:24" s="146" customFormat="1" x14ac:dyDescent="0.3">
      <c r="A155" s="126" t="s">
        <v>894</v>
      </c>
      <c r="B155" s="126" t="s">
        <v>2031</v>
      </c>
      <c r="C155" s="126" t="s">
        <v>8</v>
      </c>
      <c r="D155" s="106" t="str">
        <f>IF(MouserListTable1218[[#This Row],[Vendor]]=FilterSpecs!$A$8,MouserListTable1218[[#This Row],[Mouser SKU]], MouserListTable1218[[#This Row],[Supplier SKU]])</f>
        <v>LCD-09568</v>
      </c>
      <c r="E155" s="121">
        <f>MouserListTable1218[[#This Row],[Tot '#]]-MouserListTable1218[[#This Row],['# Initial]]</f>
        <v>0</v>
      </c>
      <c r="F155" s="121">
        <f>MouserListTable1218[[#This Row],['#/Unit]]*FilterSpecs!$B$3+MouserListTable1218[[#This Row],[Extra Initial]]</f>
        <v>0</v>
      </c>
      <c r="G155" s="103" t="s">
        <v>1524</v>
      </c>
      <c r="H155" s="103" t="s">
        <v>1525</v>
      </c>
      <c r="I155" s="103" t="s">
        <v>1526</v>
      </c>
      <c r="J155" s="103">
        <v>1</v>
      </c>
      <c r="K155" s="157">
        <v>29.95</v>
      </c>
      <c r="L155" s="103" t="s">
        <v>1910</v>
      </c>
      <c r="N155" s="157">
        <f>MouserListTable1218[[#This Row],['# Initial]]*MouserListTable1218[[#This Row],[Price (USD)]]</f>
        <v>0</v>
      </c>
      <c r="O155" s="106" t="s">
        <v>1523</v>
      </c>
      <c r="P155" s="103">
        <f t="shared" si="2"/>
        <v>140</v>
      </c>
      <c r="Q155" s="103" t="s">
        <v>8</v>
      </c>
      <c r="R15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474-LCD-09568</v>
      </c>
      <c r="S155" s="121">
        <v>0</v>
      </c>
      <c r="T155" s="121">
        <v>0</v>
      </c>
      <c r="U155" s="121">
        <v>0</v>
      </c>
      <c r="V155" s="121">
        <f>MouserListTable1218[[#This Row],['#/Unit]]*FilterSpecs!$C$3+MouserListTable1218[[#This Row],[Extra]]</f>
        <v>0</v>
      </c>
      <c r="W155" s="121">
        <f>IF(MouserListTable1218[[#This Row],[Tag]]=FilterSpecs!$F$7,MouserListTable1218[[#This Row],[Price (USD)]],0)</f>
        <v>0</v>
      </c>
      <c r="X155" s="121">
        <f>MouserListTable1218[[#This Row],[Tot '#]]*MouserListTable1218[[#This Row],[Price (USD)]]</f>
        <v>0</v>
      </c>
    </row>
    <row r="156" spans="1:24" s="146" customFormat="1" x14ac:dyDescent="0.3">
      <c r="A156" s="103" t="s">
        <v>894</v>
      </c>
      <c r="B156" s="103" t="s">
        <v>2031</v>
      </c>
      <c r="C156" s="103" t="s">
        <v>1898</v>
      </c>
      <c r="D156" s="106" t="str">
        <f>IF(MouserListTable1218[[#This Row],[Vendor]]=FilterSpecs!$A$8,MouserListTable1218[[#This Row],[Mouser SKU]], MouserListTable1218[[#This Row],[Supplier SKU]])</f>
        <v>198</v>
      </c>
      <c r="E156" s="121">
        <f>MouserListTable1218[[#This Row],[Tot '#]]-MouserListTable1218[[#This Row],['# Initial]]</f>
        <v>0</v>
      </c>
      <c r="F156" s="121">
        <f>MouserListTable1218[[#This Row],['#/Unit]]*FilterSpecs!$B$3+MouserListTable1218[[#This Row],[Extra Initial]]</f>
        <v>0</v>
      </c>
      <c r="G156" s="103"/>
      <c r="H156" s="103"/>
      <c r="I156" s="126" t="s">
        <v>2074</v>
      </c>
      <c r="K156" s="158">
        <v>17.95</v>
      </c>
      <c r="L156" s="126" t="s">
        <v>1910</v>
      </c>
      <c r="N156" s="157">
        <f>MouserListTable1218[[#This Row],['# Initial]]*MouserListTable1218[[#This Row],[Price (USD)]]</f>
        <v>0</v>
      </c>
      <c r="O156" s="106" t="s">
        <v>2075</v>
      </c>
      <c r="P156" s="103">
        <f t="shared" si="2"/>
        <v>141</v>
      </c>
      <c r="Q156" s="103" t="s">
        <v>1898</v>
      </c>
      <c r="R15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485-198</v>
      </c>
      <c r="S156" s="121">
        <v>0</v>
      </c>
      <c r="T156" s="121">
        <v>0</v>
      </c>
      <c r="U156" s="121">
        <v>0</v>
      </c>
      <c r="V156" s="121">
        <f>MouserListTable1218[[#This Row],['#/Unit]]*FilterSpecs!$C$3+MouserListTable1218[[#This Row],[Extra]]</f>
        <v>0</v>
      </c>
      <c r="W156" s="121">
        <f>IF(MouserListTable1218[[#This Row],[Tag]]=FilterSpecs!$F$7,MouserListTable1218[[#This Row],[Price (USD)]],0)</f>
        <v>0</v>
      </c>
      <c r="X156" s="121">
        <f>MouserListTable1218[[#This Row],[Tot '#]]*MouserListTable1218[[#This Row],[Price (USD)]]</f>
        <v>0</v>
      </c>
    </row>
    <row r="157" spans="1:24" s="146" customFormat="1" x14ac:dyDescent="0.3">
      <c r="A157" s="103" t="s">
        <v>894</v>
      </c>
      <c r="B157" s="103" t="s">
        <v>2031</v>
      </c>
      <c r="C157" s="103" t="s">
        <v>1898</v>
      </c>
      <c r="D157" s="106" t="str">
        <f>IF(MouserListTable1218[[#This Row],[Vendor]]=FilterSpecs!$A$8,MouserListTable1218[[#This Row],[Mouser SKU]], MouserListTable1218[[#This Row],[Supplier SKU]])</f>
        <v>3330</v>
      </c>
      <c r="E157" s="121">
        <f>MouserListTable1218[[#This Row],[Tot '#]]-MouserListTable1218[[#This Row],['# Initial]]</f>
        <v>0</v>
      </c>
      <c r="F157" s="121">
        <f>MouserListTable1218[[#This Row],['#/Unit]]*FilterSpecs!$B$3+MouserListTable1218[[#This Row],[Extra Initial]]</f>
        <v>0</v>
      </c>
      <c r="G157" s="103"/>
      <c r="H157" s="103"/>
      <c r="I157" s="126" t="s">
        <v>2343</v>
      </c>
      <c r="K157" s="158">
        <v>7.5</v>
      </c>
      <c r="L157" s="126" t="s">
        <v>1910</v>
      </c>
      <c r="N157" s="157">
        <f>MouserListTable1218[[#This Row],['# Initial]]*MouserListTable1218[[#This Row],[Price (USD)]]</f>
        <v>0</v>
      </c>
      <c r="O157" s="106" t="s">
        <v>2342</v>
      </c>
      <c r="P157" s="103">
        <f t="shared" si="2"/>
        <v>142</v>
      </c>
      <c r="Q157" s="103" t="s">
        <v>1898</v>
      </c>
      <c r="R15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485-3330</v>
      </c>
      <c r="S157" s="121">
        <v>0</v>
      </c>
      <c r="T157" s="121">
        <v>0</v>
      </c>
      <c r="U157" s="121">
        <v>0</v>
      </c>
      <c r="V157" s="121">
        <f>MouserListTable1218[[#This Row],['#/Unit]]*FilterSpecs!$C$3+MouserListTable1218[[#This Row],[Extra]]</f>
        <v>0</v>
      </c>
      <c r="W157" s="121">
        <f>IF(MouserListTable1218[[#This Row],[Tag]]=FilterSpecs!$F$7,MouserListTable1218[[#This Row],[Price (USD)]],0)</f>
        <v>0</v>
      </c>
      <c r="X157" s="121">
        <f>MouserListTable1218[[#This Row],[Tot '#]]*MouserListTable1218[[#This Row],[Price (USD)]]</f>
        <v>0</v>
      </c>
    </row>
    <row r="158" spans="1:24" s="146" customFormat="1" x14ac:dyDescent="0.3">
      <c r="A158" s="103" t="s">
        <v>894</v>
      </c>
      <c r="B158" s="103" t="s">
        <v>2031</v>
      </c>
      <c r="C158" s="103" t="s">
        <v>1898</v>
      </c>
      <c r="D158" s="106" t="str">
        <f>IF(MouserListTable1218[[#This Row],[Vendor]]=FilterSpecs!$A$8,MouserListTable1218[[#This Row],[Mouser SKU]], MouserListTable1218[[#This Row],[Supplier SKU]])</f>
        <v>1332</v>
      </c>
      <c r="E158" s="121">
        <f>MouserListTable1218[[#This Row],[Tot '#]]-MouserListTable1218[[#This Row],['# Initial]]</f>
        <v>0</v>
      </c>
      <c r="F158" s="121">
        <f>MouserListTable1218[[#This Row],['#/Unit]]*FilterSpecs!$B$3+MouserListTable1218[[#This Row],[Extra Initial]]</f>
        <v>0</v>
      </c>
      <c r="G158" s="103"/>
      <c r="H158" s="103"/>
      <c r="I158" s="103" t="s">
        <v>2373</v>
      </c>
      <c r="K158" s="157">
        <v>2.95</v>
      </c>
      <c r="L158" s="103" t="s">
        <v>1910</v>
      </c>
      <c r="M158" s="106"/>
      <c r="N158" s="157">
        <f>MouserListTable1218[[#This Row],['# Initial]]*MouserListTable1218[[#This Row],[Price (USD)]]</f>
        <v>0</v>
      </c>
      <c r="O158" s="106" t="s">
        <v>2372</v>
      </c>
      <c r="P158" s="103">
        <f t="shared" si="2"/>
        <v>143</v>
      </c>
      <c r="Q158" s="103" t="s">
        <v>1898</v>
      </c>
      <c r="R15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485-1332</v>
      </c>
      <c r="S158" s="121">
        <v>0</v>
      </c>
      <c r="T158" s="121">
        <v>0</v>
      </c>
      <c r="U158" s="121">
        <v>0</v>
      </c>
      <c r="V158" s="121">
        <f>MouserListTable1218[[#This Row],['#/Unit]]*FilterSpecs!$C$3+MouserListTable1218[[#This Row],[Extra]]</f>
        <v>0</v>
      </c>
      <c r="W158" s="121">
        <f>IF(MouserListTable1218[[#This Row],[Tag]]=FilterSpecs!$F$7,MouserListTable1218[[#This Row],[Price (USD)]],0)</f>
        <v>0</v>
      </c>
      <c r="X158" s="121">
        <f>MouserListTable1218[[#This Row],[Tot '#]]*MouserListTable1218[[#This Row],[Price (USD)]]</f>
        <v>0</v>
      </c>
    </row>
    <row r="159" spans="1:24" s="146" customFormat="1" x14ac:dyDescent="0.3">
      <c r="A159" s="103" t="s">
        <v>894</v>
      </c>
      <c r="B159" s="103" t="s">
        <v>2031</v>
      </c>
      <c r="C159" s="103" t="s">
        <v>1898</v>
      </c>
      <c r="D159" s="106" t="str">
        <f>IF(MouserListTable1218[[#This Row],[Vendor]]=FilterSpecs!$A$8,MouserListTable1218[[#This Row],[Mouser SKU]], MouserListTable1218[[#This Row],[Supplier SKU]])</f>
        <v>419</v>
      </c>
      <c r="E159" s="121">
        <f>MouserListTable1218[[#This Row],[Tot '#]]-MouserListTable1218[[#This Row],['# Initial]]</f>
        <v>0</v>
      </c>
      <c r="F159" s="121">
        <f>MouserListTable1218[[#This Row],['#/Unit]]*FilterSpecs!$B$3+MouserListTable1218[[#This Row],[Extra Initial]]</f>
        <v>5</v>
      </c>
      <c r="G159" s="103"/>
      <c r="H159" s="103"/>
      <c r="I159" s="103" t="s">
        <v>2375</v>
      </c>
      <c r="K159" s="157">
        <v>3.95</v>
      </c>
      <c r="L159" s="103" t="s">
        <v>1911</v>
      </c>
      <c r="M159" s="106"/>
      <c r="N159" s="157">
        <f>MouserListTable1218[[#This Row],['# Initial]]*MouserListTable1218[[#This Row],[Price (USD)]]</f>
        <v>19.75</v>
      </c>
      <c r="O159" s="106" t="s">
        <v>2374</v>
      </c>
      <c r="P159" s="103">
        <f t="shared" si="2"/>
        <v>144</v>
      </c>
      <c r="Q159" s="103" t="s">
        <v>1898</v>
      </c>
      <c r="R15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485-419</v>
      </c>
      <c r="S159" s="121">
        <v>1</v>
      </c>
      <c r="T159" s="121">
        <v>0</v>
      </c>
      <c r="U159" s="121">
        <v>0</v>
      </c>
      <c r="V159" s="121">
        <f>MouserListTable1218[[#This Row],['#/Unit]]*FilterSpecs!$C$3+MouserListTable1218[[#This Row],[Extra]]</f>
        <v>5</v>
      </c>
      <c r="W159" s="121">
        <f>IF(MouserListTable1218[[#This Row],[Tag]]=FilterSpecs!$F$7,MouserListTable1218[[#This Row],[Price (USD)]],0)</f>
        <v>3.95</v>
      </c>
      <c r="X159" s="121">
        <f>MouserListTable1218[[#This Row],[Tot '#]]*MouserListTable1218[[#This Row],[Price (USD)]]</f>
        <v>19.75</v>
      </c>
    </row>
    <row r="160" spans="1:24" s="146" customFormat="1" x14ac:dyDescent="0.3">
      <c r="A160" s="103" t="s">
        <v>894</v>
      </c>
      <c r="B160" s="103" t="s">
        <v>898</v>
      </c>
      <c r="C160" s="103" t="s">
        <v>8</v>
      </c>
      <c r="D160" s="106" t="str">
        <f>IF(MouserListTable1218[[#This Row],[Vendor]]=FilterSpecs!$A$8,MouserListTable1218[[#This Row],[Mouser SKU]], MouserListTable1218[[#This Row],[Supplier SKU]])</f>
        <v>SEN-14348</v>
      </c>
      <c r="E160" s="121">
        <f>MouserListTable1218[[#This Row],[Tot '#]]-MouserListTable1218[[#This Row],['# Initial]]</f>
        <v>1</v>
      </c>
      <c r="F160" s="121">
        <f>MouserListTable1218[[#This Row],['#/Unit]]*FilterSpecs!$B$3+MouserListTable1218[[#This Row],[Extra Initial]]</f>
        <v>0</v>
      </c>
      <c r="G160" s="103" t="s">
        <v>684</v>
      </c>
      <c r="H160" s="103" t="s">
        <v>685</v>
      </c>
      <c r="I160" s="103" t="s">
        <v>686</v>
      </c>
      <c r="J160" s="103">
        <v>1</v>
      </c>
      <c r="K160" s="157">
        <v>34.950000000000003</v>
      </c>
      <c r="L160" s="103" t="s">
        <v>1910</v>
      </c>
      <c r="M160" s="106"/>
      <c r="N160" s="157">
        <f>MouserListTable1218[[#This Row],['# Initial]]*MouserListTable1218[[#This Row],[Price (USD)]]</f>
        <v>0</v>
      </c>
      <c r="O160" s="106" t="s">
        <v>683</v>
      </c>
      <c r="P160" s="103">
        <f t="shared" si="2"/>
        <v>145</v>
      </c>
      <c r="Q160" s="103" t="s">
        <v>8</v>
      </c>
      <c r="R16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474-SEN-14348</v>
      </c>
      <c r="S160" s="121">
        <v>0</v>
      </c>
      <c r="T160" s="121">
        <v>1</v>
      </c>
      <c r="U160" s="121">
        <v>0</v>
      </c>
      <c r="V160" s="121">
        <f>MouserListTable1218[[#This Row],['#/Unit]]*FilterSpecs!$C$3+MouserListTable1218[[#This Row],[Extra]]</f>
        <v>1</v>
      </c>
      <c r="W160" s="121">
        <f>IF(MouserListTable1218[[#This Row],[Tag]]=FilterSpecs!$F$7,MouserListTable1218[[#This Row],[Price (USD)]],0)</f>
        <v>0</v>
      </c>
      <c r="X160" s="121">
        <f>MouserListTable1218[[#This Row],[Tot '#]]*MouserListTable1218[[#This Row],[Price (USD)]]</f>
        <v>34.950000000000003</v>
      </c>
    </row>
    <row r="161" spans="1:24" s="146" customFormat="1" x14ac:dyDescent="0.3">
      <c r="A161" s="103" t="s">
        <v>894</v>
      </c>
      <c r="B161" s="103" t="s">
        <v>898</v>
      </c>
      <c r="C161" s="103" t="s">
        <v>8</v>
      </c>
      <c r="D161" s="106" t="str">
        <f>IF(MouserListTable1218[[#This Row],[Vendor]]=FilterSpecs!$A$8,MouserListTable1218[[#This Row],[Mouser SKU]], MouserListTable1218[[#This Row],[Supplier SKU]])</f>
        <v>SEN-14045</v>
      </c>
      <c r="E161" s="121">
        <f>MouserListTable1218[[#This Row],[Tot '#]]-MouserListTable1218[[#This Row],['# Initial]]</f>
        <v>1</v>
      </c>
      <c r="F161" s="121">
        <f>MouserListTable1218[[#This Row],['#/Unit]]*FilterSpecs!$B$3+MouserListTable1218[[#This Row],[Extra Initial]]</f>
        <v>0</v>
      </c>
      <c r="G161" s="103" t="s">
        <v>688</v>
      </c>
      <c r="H161" s="103" t="s">
        <v>689</v>
      </c>
      <c r="I161" s="103" t="s">
        <v>690</v>
      </c>
      <c r="J161" s="103"/>
      <c r="K161" s="157">
        <v>12.95</v>
      </c>
      <c r="L161" s="103" t="s">
        <v>1910</v>
      </c>
      <c r="M161" s="106"/>
      <c r="N161" s="157">
        <f>MouserListTable1218[[#This Row],['# Initial]]*MouserListTable1218[[#This Row],[Price (USD)]]</f>
        <v>0</v>
      </c>
      <c r="O161" s="106" t="s">
        <v>687</v>
      </c>
      <c r="P161" s="103">
        <f t="shared" si="2"/>
        <v>146</v>
      </c>
      <c r="Q161" s="103" t="s">
        <v>8</v>
      </c>
      <c r="R16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474-SEN-14045</v>
      </c>
      <c r="S161" s="121">
        <v>0</v>
      </c>
      <c r="T161" s="121">
        <v>1</v>
      </c>
      <c r="U161" s="121">
        <v>0</v>
      </c>
      <c r="V161" s="121">
        <f>MouserListTable1218[[#This Row],['#/Unit]]*FilterSpecs!$C$3+MouserListTable1218[[#This Row],[Extra]]</f>
        <v>1</v>
      </c>
      <c r="W161" s="121">
        <f>IF(MouserListTable1218[[#This Row],[Tag]]=FilterSpecs!$F$7,MouserListTable1218[[#This Row],[Price (USD)]],0)</f>
        <v>0</v>
      </c>
      <c r="X161" s="121">
        <f>MouserListTable1218[[#This Row],[Tot '#]]*MouserListTable1218[[#This Row],[Price (USD)]]</f>
        <v>12.95</v>
      </c>
    </row>
    <row r="162" spans="1:24" s="146" customFormat="1" x14ac:dyDescent="0.3">
      <c r="A162" s="103" t="s">
        <v>894</v>
      </c>
      <c r="B162" s="103" t="s">
        <v>898</v>
      </c>
      <c r="C162" s="103" t="s">
        <v>8</v>
      </c>
      <c r="D162" s="106" t="str">
        <f>IF(MouserListTable1218[[#This Row],[Vendor]]=FilterSpecs!$A$8,MouserListTable1218[[#This Row],[Mouser SKU]], MouserListTable1218[[#This Row],[Supplier SKU]])</f>
        <v>BOB-08891</v>
      </c>
      <c r="E162" s="121">
        <f>MouserListTable1218[[#This Row],[Tot '#]]-MouserListTable1218[[#This Row],['# Initial]]</f>
        <v>1</v>
      </c>
      <c r="F162" s="121">
        <f>MouserListTable1218[[#This Row],['#/Unit]]*FilterSpecs!$B$3+MouserListTable1218[[#This Row],[Extra Initial]]</f>
        <v>0</v>
      </c>
      <c r="G162" s="103" t="s">
        <v>692</v>
      </c>
      <c r="H162" s="103" t="s">
        <v>693</v>
      </c>
      <c r="I162" s="103" t="s">
        <v>694</v>
      </c>
      <c r="J162" s="103">
        <v>1</v>
      </c>
      <c r="K162" s="157">
        <v>0.95</v>
      </c>
      <c r="L162" s="103" t="s">
        <v>1910</v>
      </c>
      <c r="M162" s="106"/>
      <c r="N162" s="157">
        <f>MouserListTable1218[[#This Row],['# Initial]]*MouserListTable1218[[#This Row],[Price (USD)]]</f>
        <v>0</v>
      </c>
      <c r="O162" s="106" t="s">
        <v>691</v>
      </c>
      <c r="P162" s="103">
        <f t="shared" si="2"/>
        <v>147</v>
      </c>
      <c r="Q162" s="103" t="s">
        <v>8</v>
      </c>
      <c r="R16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474-BOB-08891</v>
      </c>
      <c r="S162" s="121">
        <v>0</v>
      </c>
      <c r="T162" s="121">
        <v>1</v>
      </c>
      <c r="U162" s="121">
        <v>0</v>
      </c>
      <c r="V162" s="121">
        <f>MouserListTable1218[[#This Row],['#/Unit]]*FilterSpecs!$C$3+MouserListTable1218[[#This Row],[Extra]]</f>
        <v>1</v>
      </c>
      <c r="W162" s="121">
        <f>IF(MouserListTable1218[[#This Row],[Tag]]=FilterSpecs!$F$7,MouserListTable1218[[#This Row],[Price (USD)]],0)</f>
        <v>0</v>
      </c>
      <c r="X162" s="121">
        <f>MouserListTable1218[[#This Row],[Tot '#]]*MouserListTable1218[[#This Row],[Price (USD)]]</f>
        <v>0.95</v>
      </c>
    </row>
    <row r="163" spans="1:24" s="146" customFormat="1" x14ac:dyDescent="0.3">
      <c r="A163" s="103" t="s">
        <v>894</v>
      </c>
      <c r="B163" s="103" t="s">
        <v>898</v>
      </c>
      <c r="C163" s="103" t="s">
        <v>8</v>
      </c>
      <c r="D163" s="106" t="str">
        <f>IF(MouserListTable1218[[#This Row],[Vendor]]=FilterSpecs!$A$8,MouserListTable1218[[#This Row],[Mouser SKU]], MouserListTable1218[[#This Row],[Supplier SKU]])</f>
        <v>SEN-09403</v>
      </c>
      <c r="E163" s="121">
        <f>MouserListTable1218[[#This Row],[Tot '#]]-MouserListTable1218[[#This Row],['# Initial]]</f>
        <v>1</v>
      </c>
      <c r="F163" s="121">
        <f>MouserListTable1218[[#This Row],['#/Unit]]*FilterSpecs!$B$3+MouserListTable1218[[#This Row],[Extra Initial]]</f>
        <v>0</v>
      </c>
      <c r="G163" s="103" t="s">
        <v>696</v>
      </c>
      <c r="H163" s="103" t="s">
        <v>697</v>
      </c>
      <c r="I163" s="103" t="s">
        <v>698</v>
      </c>
      <c r="J163" s="103">
        <v>1</v>
      </c>
      <c r="K163" s="157">
        <v>7.25</v>
      </c>
      <c r="L163" s="103" t="s">
        <v>1910</v>
      </c>
      <c r="M163" s="106"/>
      <c r="N163" s="157">
        <f>MouserListTable1218[[#This Row],['# Initial]]*MouserListTable1218[[#This Row],[Price (USD)]]</f>
        <v>0</v>
      </c>
      <c r="O163" s="106" t="s">
        <v>695</v>
      </c>
      <c r="P163" s="103">
        <f t="shared" si="2"/>
        <v>148</v>
      </c>
      <c r="Q163" s="103" t="s">
        <v>8</v>
      </c>
      <c r="R16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474-SEN-09403</v>
      </c>
      <c r="S163" s="121">
        <v>0</v>
      </c>
      <c r="T163" s="121">
        <v>1</v>
      </c>
      <c r="U163" s="121">
        <v>0</v>
      </c>
      <c r="V163" s="121">
        <f>MouserListTable1218[[#This Row],['#/Unit]]*FilterSpecs!$C$3+MouserListTable1218[[#This Row],[Extra]]</f>
        <v>1</v>
      </c>
      <c r="W163" s="121">
        <f>IF(MouserListTable1218[[#This Row],[Tag]]=FilterSpecs!$F$7,MouserListTable1218[[#This Row],[Price (USD)]],0)</f>
        <v>0</v>
      </c>
      <c r="X163" s="121">
        <f>MouserListTable1218[[#This Row],[Tot '#]]*MouserListTable1218[[#This Row],[Price (USD)]]</f>
        <v>7.25</v>
      </c>
    </row>
    <row r="164" spans="1:24" s="146" customFormat="1" x14ac:dyDescent="0.3">
      <c r="A164" s="126" t="s">
        <v>894</v>
      </c>
      <c r="B164" s="126" t="s">
        <v>898</v>
      </c>
      <c r="C164" s="126" t="s">
        <v>8</v>
      </c>
      <c r="D164" s="106" t="str">
        <f>IF(MouserListTable1218[[#This Row],[Vendor]]=FilterSpecs!$A$8,MouserListTable1218[[#This Row],[Mouser SKU]], MouserListTable1218[[#This Row],[Supplier SKU]])</f>
        <v>SEN-12055</v>
      </c>
      <c r="E164" s="121">
        <f>MouserListTable1218[[#This Row],[Tot '#]]-MouserListTable1218[[#This Row],['# Initial]]</f>
        <v>0</v>
      </c>
      <c r="F164" s="121">
        <f>MouserListTable1218[[#This Row],['#/Unit]]*FilterSpecs!$B$3+MouserListTable1218[[#This Row],[Extra Initial]]</f>
        <v>0</v>
      </c>
      <c r="G164" s="103" t="s">
        <v>828</v>
      </c>
      <c r="H164" s="103" t="s">
        <v>829</v>
      </c>
      <c r="I164" s="103" t="s">
        <v>212</v>
      </c>
      <c r="J164" s="103">
        <v>1</v>
      </c>
      <c r="K164" s="157">
        <v>5.95</v>
      </c>
      <c r="L164" s="103" t="s">
        <v>2487</v>
      </c>
      <c r="N164" s="157">
        <f>MouserListTable1218[[#This Row],['# Initial]]*MouserListTable1218[[#This Row],[Price (USD)]]</f>
        <v>0</v>
      </c>
      <c r="O164" s="106" t="s">
        <v>827</v>
      </c>
      <c r="P164" s="103">
        <f t="shared" si="2"/>
        <v>149</v>
      </c>
      <c r="Q164" s="103" t="s">
        <v>8</v>
      </c>
      <c r="R16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474-SEN-12055</v>
      </c>
      <c r="S164" s="121">
        <v>0</v>
      </c>
      <c r="T164" s="121">
        <v>0</v>
      </c>
      <c r="U164" s="121">
        <v>0</v>
      </c>
      <c r="V164" s="121">
        <f>MouserListTable1218[[#This Row],['#/Unit]]*FilterSpecs!$C$3+MouserListTable1218[[#This Row],[Extra]]</f>
        <v>0</v>
      </c>
      <c r="W164" s="121">
        <f>IF(MouserListTable1218[[#This Row],[Tag]]=FilterSpecs!$F$7,MouserListTable1218[[#This Row],[Price (USD)]],0)</f>
        <v>0</v>
      </c>
      <c r="X164" s="121">
        <f>MouserListTable1218[[#This Row],[Tot '#]]*MouserListTable1218[[#This Row],[Price (USD)]]</f>
        <v>0</v>
      </c>
    </row>
    <row r="165" spans="1:24" s="146" customFormat="1" x14ac:dyDescent="0.3">
      <c r="A165" s="103" t="s">
        <v>894</v>
      </c>
      <c r="B165" s="103" t="s">
        <v>898</v>
      </c>
      <c r="C165" s="103" t="s">
        <v>8</v>
      </c>
      <c r="D165" s="106" t="str">
        <f>IF(MouserListTable1218[[#This Row],[Vendor]]=FilterSpecs!$A$8,MouserListTable1218[[#This Row],[Mouser SKU]], MouserListTable1218[[#This Row],[Supplier SKU]])</f>
        <v>BOB-08688</v>
      </c>
      <c r="E165" s="121">
        <f>MouserListTable1218[[#This Row],[Tot '#]]-MouserListTable1218[[#This Row],['# Initial]]</f>
        <v>2</v>
      </c>
      <c r="F165" s="121">
        <f>MouserListTable1218[[#This Row],['#/Unit]]*FilterSpecs!$B$3+MouserListTable1218[[#This Row],[Extra Initial]]</f>
        <v>0</v>
      </c>
      <c r="G165" s="103" t="s">
        <v>831</v>
      </c>
      <c r="H165" s="103" t="s">
        <v>832</v>
      </c>
      <c r="I165" s="103" t="s">
        <v>220</v>
      </c>
      <c r="J165" s="103">
        <v>1</v>
      </c>
      <c r="K165" s="157">
        <v>3.95</v>
      </c>
      <c r="L165" s="103" t="s">
        <v>1910</v>
      </c>
      <c r="M165" s="106"/>
      <c r="N165" s="157">
        <f>MouserListTable1218[[#This Row],['# Initial]]*MouserListTable1218[[#This Row],[Price (USD)]]</f>
        <v>0</v>
      </c>
      <c r="O165" s="106" t="s">
        <v>830</v>
      </c>
      <c r="P165" s="103">
        <f t="shared" si="2"/>
        <v>150</v>
      </c>
      <c r="Q165" s="103" t="s">
        <v>8</v>
      </c>
      <c r="R16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474-BOB-08688</v>
      </c>
      <c r="S165" s="121">
        <v>0</v>
      </c>
      <c r="T165" s="121">
        <v>2</v>
      </c>
      <c r="U165" s="121">
        <v>0</v>
      </c>
      <c r="V165" s="121">
        <f>MouserListTable1218[[#This Row],['#/Unit]]*FilterSpecs!$C$3+MouserListTable1218[[#This Row],[Extra]]</f>
        <v>2</v>
      </c>
      <c r="W165" s="121">
        <f>IF(MouserListTable1218[[#This Row],[Tag]]=FilterSpecs!$F$7,MouserListTable1218[[#This Row],[Price (USD)]],0)</f>
        <v>0</v>
      </c>
      <c r="X165" s="121">
        <f>MouserListTable1218[[#This Row],[Tot '#]]*MouserListTable1218[[#This Row],[Price (USD)]]</f>
        <v>7.9</v>
      </c>
    </row>
    <row r="166" spans="1:24" s="146" customFormat="1" x14ac:dyDescent="0.3">
      <c r="A166" s="103" t="s">
        <v>894</v>
      </c>
      <c r="B166" s="103" t="s">
        <v>13</v>
      </c>
      <c r="C166" s="103" t="s">
        <v>8</v>
      </c>
      <c r="D166" s="106" t="str">
        <f>IF(MouserListTable1218[[#This Row],[Vendor]]=FilterSpecs!$A$8,MouserListTable1218[[#This Row],[Mouser SKU]], MouserListTable1218[[#This Row],[Supplier SKU]])</f>
        <v>WRL-13677</v>
      </c>
      <c r="E166" s="121">
        <f>MouserListTable1218[[#This Row],[Tot '#]]-MouserListTable1218[[#This Row],['# Initial]]</f>
        <v>3</v>
      </c>
      <c r="F166" s="121">
        <f>MouserListTable1218[[#This Row],['#/Unit]]*FilterSpecs!$B$3+MouserListTable1218[[#This Row],[Extra Initial]]</f>
        <v>0</v>
      </c>
      <c r="G166" s="103" t="s">
        <v>257</v>
      </c>
      <c r="H166" s="103" t="s">
        <v>258</v>
      </c>
      <c r="I166" s="103" t="s">
        <v>259</v>
      </c>
      <c r="J166" s="103">
        <v>1</v>
      </c>
      <c r="K166" s="157">
        <v>14.95</v>
      </c>
      <c r="L166" s="103" t="s">
        <v>1910</v>
      </c>
      <c r="M166" s="106"/>
      <c r="N166" s="157">
        <f>MouserListTable1218[[#This Row],['# Initial]]*MouserListTable1218[[#This Row],[Price (USD)]]</f>
        <v>0</v>
      </c>
      <c r="O166" s="106" t="s">
        <v>256</v>
      </c>
      <c r="P166" s="103">
        <f t="shared" si="2"/>
        <v>151</v>
      </c>
      <c r="Q166" s="103" t="s">
        <v>8</v>
      </c>
      <c r="R16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474-WRL-13677</v>
      </c>
      <c r="S166" s="121">
        <v>0</v>
      </c>
      <c r="T166" s="121">
        <v>3</v>
      </c>
      <c r="U166" s="121">
        <v>0</v>
      </c>
      <c r="V166" s="121">
        <f>MouserListTable1218[[#This Row],['#/Unit]]*FilterSpecs!$C$3+MouserListTable1218[[#This Row],[Extra]]</f>
        <v>3</v>
      </c>
      <c r="W166" s="121">
        <f>IF(MouserListTable1218[[#This Row],[Tag]]=FilterSpecs!$F$7,MouserListTable1218[[#This Row],[Price (USD)]],0)</f>
        <v>0</v>
      </c>
      <c r="X166" s="121">
        <f>MouserListTable1218[[#This Row],[Tot '#]]*MouserListTable1218[[#This Row],[Price (USD)]]</f>
        <v>44.849999999999994</v>
      </c>
    </row>
    <row r="167" spans="1:24" s="146" customFormat="1" x14ac:dyDescent="0.3">
      <c r="A167" s="126" t="s">
        <v>894</v>
      </c>
      <c r="B167" s="103" t="s">
        <v>13</v>
      </c>
      <c r="C167" s="103" t="s">
        <v>8</v>
      </c>
      <c r="D167" s="106" t="str">
        <f>IF(MouserListTable1218[[#This Row],[Vendor]]=FilterSpecs!$A$8,MouserListTable1218[[#This Row],[Mouser SKU]], MouserListTable1218[[#This Row],[Supplier SKU]])</f>
        <v>WRL-13678</v>
      </c>
      <c r="E167" s="121">
        <f>MouserListTable1218[[#This Row],[Tot '#]]-MouserListTable1218[[#This Row],['# Initial]]</f>
        <v>0</v>
      </c>
      <c r="F167" s="121">
        <f>MouserListTable1218[[#This Row],['#/Unit]]*FilterSpecs!$B$3+MouserListTable1218[[#This Row],[Extra Initial]]</f>
        <v>0</v>
      </c>
      <c r="G167" s="103" t="s">
        <v>261</v>
      </c>
      <c r="H167" s="103" t="s">
        <v>262</v>
      </c>
      <c r="I167" s="103" t="s">
        <v>263</v>
      </c>
      <c r="J167" s="103">
        <v>1</v>
      </c>
      <c r="K167" s="157">
        <v>6.95</v>
      </c>
      <c r="L167" s="103" t="s">
        <v>1913</v>
      </c>
      <c r="N167" s="157">
        <f>MouserListTable1218[[#This Row],['# Initial]]*MouserListTable1218[[#This Row],[Price (USD)]]</f>
        <v>0</v>
      </c>
      <c r="O167" s="106" t="s">
        <v>260</v>
      </c>
      <c r="P167" s="103">
        <f>IF($P166="List #",1,$P166+1)</f>
        <v>152</v>
      </c>
      <c r="Q167" s="103" t="s">
        <v>8</v>
      </c>
      <c r="R16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474-WRL-13678</v>
      </c>
      <c r="S167" s="121">
        <v>0</v>
      </c>
      <c r="T167" s="121">
        <v>0</v>
      </c>
      <c r="U167" s="121">
        <v>0</v>
      </c>
      <c r="V167" s="121">
        <f>MouserListTable1218[[#This Row],['#/Unit]]*FilterSpecs!$C$3+MouserListTable1218[[#This Row],[Extra]]</f>
        <v>0</v>
      </c>
      <c r="W167" s="121">
        <f>IF(MouserListTable1218[[#This Row],[Tag]]=FilterSpecs!$F$7,MouserListTable1218[[#This Row],[Price (USD)]],0)</f>
        <v>0</v>
      </c>
      <c r="X167" s="121">
        <f>MouserListTable1218[[#This Row],[Tot '#]]*MouserListTable1218[[#This Row],[Price (USD)]]</f>
        <v>0</v>
      </c>
    </row>
    <row r="168" spans="1:24" s="146" customFormat="1" x14ac:dyDescent="0.3">
      <c r="A168" s="126" t="s">
        <v>894</v>
      </c>
      <c r="B168" s="103" t="s">
        <v>13</v>
      </c>
      <c r="C168" s="103" t="s">
        <v>2573</v>
      </c>
      <c r="D168" s="160" t="str">
        <f>IF(MouserListTable1218[[#This Row],[Vendor]]=FilterSpecs!$A$8,MouserListTable1218[[#This Row],[Mouser SKU]], MouserListTable1218[[#This Row],[Supplier SKU]])</f>
        <v>OPT-UP-WF-002</v>
      </c>
      <c r="E168" s="121">
        <f>MouserListTable1218[[#This Row],[Tot '#]]-MouserListTable1218[[#This Row],['# Initial]]</f>
        <v>0</v>
      </c>
      <c r="F168" s="121">
        <f>MouserListTable1218[[#This Row],['#/Unit]]*FilterSpecs!$B$3+MouserListTable1218[[#This Row],[Extra Initial]]</f>
        <v>0</v>
      </c>
      <c r="G168" s="103"/>
      <c r="H168" s="103"/>
      <c r="I168" s="103" t="s">
        <v>2572</v>
      </c>
      <c r="J168" s="103"/>
      <c r="K168" s="157">
        <v>9.99</v>
      </c>
      <c r="L168" s="121" t="s">
        <v>1910</v>
      </c>
      <c r="M168" s="103" t="s">
        <v>2576</v>
      </c>
      <c r="N168" s="157">
        <f>MouserListTable1218[[#This Row],['# Initial]]*MouserListTable1218[[#This Row],[Price (USD)]]</f>
        <v>0</v>
      </c>
      <c r="O168" s="106" t="s">
        <v>2574</v>
      </c>
      <c r="P168" s="121">
        <f t="shared" ref="P168" si="3">IF($P167="List #",1,$P167+1)</f>
        <v>153</v>
      </c>
      <c r="Q168" s="103" t="s">
        <v>2573</v>
      </c>
      <c r="R16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409-OPT-UP-WF-002</v>
      </c>
      <c r="S168" s="121">
        <v>0</v>
      </c>
      <c r="T168" s="121">
        <v>0</v>
      </c>
      <c r="U168" s="121">
        <v>0</v>
      </c>
      <c r="V168" s="121">
        <f>MouserListTable1218[[#This Row],['#/Unit]]*FilterSpecs!$C$3+MouserListTable1218[[#This Row],[Extra]]</f>
        <v>0</v>
      </c>
      <c r="W168" s="121">
        <f>IF(MouserListTable1218[[#This Row],[Tag]]=FilterSpecs!$F$7,MouserListTable1218[[#This Row],[Price (USD)]],0)</f>
        <v>0</v>
      </c>
      <c r="X168" s="121">
        <f>MouserListTable1218[[#This Row],[Tot '#]]*MouserListTable1218[[#This Row],[Price (USD)]]</f>
        <v>0</v>
      </c>
    </row>
    <row r="169" spans="1:24" s="146" customFormat="1" x14ac:dyDescent="0.3">
      <c r="A169" s="126" t="s">
        <v>894</v>
      </c>
      <c r="B169" s="126" t="s">
        <v>13</v>
      </c>
      <c r="C169" s="103" t="s">
        <v>1898</v>
      </c>
      <c r="D169" s="160">
        <f>IF(MouserListTable1218[[#This Row],[Vendor]]=FilterSpecs!$A$8,MouserListTable1218[[#This Row],[Mouser SKU]], MouserListTable1218[[#This Row],[Supplier SKU]])</f>
        <v>2810</v>
      </c>
      <c r="E169" s="121">
        <f>MouserListTable1218[[#This Row],[Tot '#]]-MouserListTable1218[[#This Row],['# Initial]]</f>
        <v>0</v>
      </c>
      <c r="F169" s="121">
        <f>MouserListTable1218[[#This Row],['#/Unit]]*FilterSpecs!$B$3+MouserListTable1218[[#This Row],[Extra Initial]]</f>
        <v>0</v>
      </c>
      <c r="G169" s="103"/>
      <c r="H169" s="103"/>
      <c r="I169" s="103" t="s">
        <v>2570</v>
      </c>
      <c r="J169" s="103"/>
      <c r="K169" s="157">
        <v>11.99</v>
      </c>
      <c r="L169" s="121" t="s">
        <v>1910</v>
      </c>
      <c r="M169" s="103" t="s">
        <v>2577</v>
      </c>
      <c r="N169" s="157">
        <f>MouserListTable1218[[#This Row],['# Initial]]*MouserListTable1218[[#This Row],[Price (USD)]]</f>
        <v>0</v>
      </c>
      <c r="O169" s="106">
        <v>2810</v>
      </c>
      <c r="P169" s="121">
        <f>IF($P167="List #",1,$P167+1)</f>
        <v>153</v>
      </c>
      <c r="Q169" s="103" t="s">
        <v>1898</v>
      </c>
      <c r="R16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485-2810</v>
      </c>
      <c r="S169" s="121">
        <v>0</v>
      </c>
      <c r="T169" s="121">
        <v>0</v>
      </c>
      <c r="U169" s="121">
        <v>0</v>
      </c>
      <c r="V169" s="121">
        <f>MouserListTable1218[[#This Row],['#/Unit]]*FilterSpecs!$C$3+MouserListTable1218[[#This Row],[Extra]]</f>
        <v>0</v>
      </c>
      <c r="W169" s="121">
        <f>IF(MouserListTable1218[[#This Row],[Tag]]=FilterSpecs!$F$7,MouserListTable1218[[#This Row],[Price (USD)]],0)</f>
        <v>0</v>
      </c>
      <c r="X169" s="121">
        <f>MouserListTable1218[[#This Row],[Tot '#]]*MouserListTable1218[[#This Row],[Price (USD)]]</f>
        <v>0</v>
      </c>
    </row>
    <row r="170" spans="1:24" s="146" customFormat="1" x14ac:dyDescent="0.3">
      <c r="A170" s="126" t="s">
        <v>894</v>
      </c>
      <c r="B170" s="126" t="s">
        <v>13</v>
      </c>
      <c r="C170" s="103" t="s">
        <v>1898</v>
      </c>
      <c r="D170" s="160">
        <f>IF(MouserListTable1218[[#This Row],[Vendor]]=FilterSpecs!$A$8,MouserListTable1218[[#This Row],[Mouser SKU]], MouserListTable1218[[#This Row],[Supplier SKU]])</f>
        <v>2649</v>
      </c>
      <c r="E170" s="121">
        <f>MouserListTable1218[[#This Row],[Tot '#]]-MouserListTable1218[[#This Row],['# Initial]]</f>
        <v>0</v>
      </c>
      <c r="F170" s="121">
        <f>MouserListTable1218[[#This Row],['#/Unit]]*FilterSpecs!$B$3+MouserListTable1218[[#This Row],[Extra Initial]]</f>
        <v>5</v>
      </c>
      <c r="G170" s="103"/>
      <c r="H170" s="103"/>
      <c r="I170" s="103" t="s">
        <v>2571</v>
      </c>
      <c r="J170" s="103"/>
      <c r="K170" s="157">
        <v>19.95</v>
      </c>
      <c r="L170" s="121" t="s">
        <v>1911</v>
      </c>
      <c r="M170" s="103" t="s">
        <v>2578</v>
      </c>
      <c r="N170" s="157">
        <f>MouserListTable1218[[#This Row],['# Initial]]*MouserListTable1218[[#This Row],[Price (USD)]]</f>
        <v>99.75</v>
      </c>
      <c r="O170" s="106">
        <v>2649</v>
      </c>
      <c r="P170" s="121">
        <f>IF($P167="List #",1,$P167+1)</f>
        <v>153</v>
      </c>
      <c r="Q170" s="103" t="s">
        <v>1898</v>
      </c>
      <c r="R17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485-2649</v>
      </c>
      <c r="S170" s="121">
        <v>1</v>
      </c>
      <c r="T170" s="121">
        <v>0</v>
      </c>
      <c r="U170" s="121">
        <v>0</v>
      </c>
      <c r="V170" s="121">
        <f>MouserListTable1218[[#This Row],['#/Unit]]*FilterSpecs!$C$3+MouserListTable1218[[#This Row],[Extra]]</f>
        <v>5</v>
      </c>
      <c r="W170" s="121">
        <f>IF(MouserListTable1218[[#This Row],[Tag]]=FilterSpecs!$F$7,MouserListTable1218[[#This Row],[Price (USD)]],0)</f>
        <v>19.95</v>
      </c>
      <c r="X170" s="121">
        <f>MouserListTable1218[[#This Row],[Tot '#]]*MouserListTable1218[[#This Row],[Price (USD)]]</f>
        <v>99.75</v>
      </c>
    </row>
    <row r="171" spans="1:24" s="144" customFormat="1" x14ac:dyDescent="0.3">
      <c r="A171" s="126" t="s">
        <v>894</v>
      </c>
      <c r="B171" s="126" t="s">
        <v>13</v>
      </c>
      <c r="C171" s="126" t="s">
        <v>8</v>
      </c>
      <c r="D171" s="106" t="str">
        <f>IF(MouserListTable1218[[#This Row],[Vendor]]=FilterSpecs!$A$8,MouserListTable1218[[#This Row],[Mouser SKU]], MouserListTable1218[[#This Row],[Supplier SKU]])</f>
        <v>WRL-12579</v>
      </c>
      <c r="E171" s="121">
        <f>MouserListTable1218[[#This Row],[Tot '#]]-MouserListTable1218[[#This Row],['# Initial]]</f>
        <v>0</v>
      </c>
      <c r="F171" s="121">
        <f>MouserListTable1218[[#This Row],['#/Unit]]*FilterSpecs!$B$3+MouserListTable1218[[#This Row],[Extra Initial]]</f>
        <v>0</v>
      </c>
      <c r="G171" s="103" t="s">
        <v>2532</v>
      </c>
      <c r="H171" s="103" t="s">
        <v>2533</v>
      </c>
      <c r="I171" s="103" t="s">
        <v>2534</v>
      </c>
      <c r="J171" s="106">
        <v>1</v>
      </c>
      <c r="K171" s="157">
        <v>34.950000000000003</v>
      </c>
      <c r="L171" s="103" t="s">
        <v>1910</v>
      </c>
      <c r="M171" s="103"/>
      <c r="N171" s="157">
        <f>MouserListTable1218[[#This Row],['# Initial]]*MouserListTable1218[[#This Row],[Price (USD)]]</f>
        <v>0</v>
      </c>
      <c r="O171" s="106" t="s">
        <v>2531</v>
      </c>
      <c r="P171" s="103">
        <f>IF($P167="List #",1,$P167+1)</f>
        <v>153</v>
      </c>
      <c r="Q171" s="103" t="s">
        <v>8</v>
      </c>
      <c r="R17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474-WRL-12579</v>
      </c>
      <c r="S171" s="121">
        <v>0</v>
      </c>
      <c r="T171" s="121">
        <v>0</v>
      </c>
      <c r="U171" s="121">
        <v>0</v>
      </c>
      <c r="V171" s="121">
        <f>MouserListTable1218[[#This Row],['#/Unit]]*FilterSpecs!$C$3+MouserListTable1218[[#This Row],[Extra]]</f>
        <v>0</v>
      </c>
      <c r="W171" s="121">
        <f>IF(MouserListTable1218[[#This Row],[Tag]]=FilterSpecs!$F$7,MouserListTable1218[[#This Row],[Price (USD)]],0)</f>
        <v>0</v>
      </c>
      <c r="X171" s="121">
        <f>MouserListTable1218[[#This Row],[Tot '#]]*MouserListTable1218[[#This Row],[Price (USD)]]</f>
        <v>0</v>
      </c>
    </row>
    <row r="172" spans="1:24" s="144" customFormat="1" x14ac:dyDescent="0.3">
      <c r="A172" s="126" t="s">
        <v>894</v>
      </c>
      <c r="B172" s="126" t="s">
        <v>13</v>
      </c>
      <c r="C172" s="126" t="s">
        <v>8</v>
      </c>
      <c r="D172" s="106" t="str">
        <f>IF(MouserListTable1218[[#This Row],[Vendor]]=FilterSpecs!$A$8,MouserListTable1218[[#This Row],[Mouser SKU]], MouserListTable1218[[#This Row],[Supplier SKU]])</f>
        <v>WRL-11048</v>
      </c>
      <c r="E172" s="121">
        <f>MouserListTable1218[[#This Row],[Tot '#]]-MouserListTable1218[[#This Row],['# Initial]]</f>
        <v>0</v>
      </c>
      <c r="F172" s="121">
        <f>MouserListTable1218[[#This Row],['#/Unit]]*FilterSpecs!$B$3+MouserListTable1218[[#This Row],[Extra Initial]]</f>
        <v>0</v>
      </c>
      <c r="G172" s="103" t="s">
        <v>2536</v>
      </c>
      <c r="H172" s="103" t="s">
        <v>2537</v>
      </c>
      <c r="I172" s="103" t="s">
        <v>2538</v>
      </c>
      <c r="J172" s="106">
        <v>1</v>
      </c>
      <c r="K172" s="157">
        <v>34.950000000000003</v>
      </c>
      <c r="L172" s="103" t="s">
        <v>1910</v>
      </c>
      <c r="M172" s="103"/>
      <c r="N172" s="157">
        <f>MouserListTable1218[[#This Row],['# Initial]]*MouserListTable1218[[#This Row],[Price (USD)]]</f>
        <v>0</v>
      </c>
      <c r="O172" s="106" t="s">
        <v>2535</v>
      </c>
      <c r="P172" s="103">
        <f t="shared" si="2"/>
        <v>154</v>
      </c>
      <c r="Q172" s="103" t="s">
        <v>8</v>
      </c>
      <c r="R17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474-WRL-11048</v>
      </c>
      <c r="S172" s="121">
        <v>0</v>
      </c>
      <c r="T172" s="121">
        <v>0</v>
      </c>
      <c r="U172" s="121">
        <v>0</v>
      </c>
      <c r="V172" s="121">
        <f>MouserListTable1218[[#This Row],['#/Unit]]*FilterSpecs!$C$3+MouserListTable1218[[#This Row],[Extra]]</f>
        <v>0</v>
      </c>
      <c r="W172" s="121">
        <f>IF(MouserListTable1218[[#This Row],[Tag]]=FilterSpecs!$F$7,MouserListTable1218[[#This Row],[Price (USD)]],0)</f>
        <v>0</v>
      </c>
      <c r="X172" s="121">
        <f>MouserListTable1218[[#This Row],[Tot '#]]*MouserListTable1218[[#This Row],[Price (USD)]]</f>
        <v>0</v>
      </c>
    </row>
    <row r="173" spans="1:24" s="144" customFormat="1" x14ac:dyDescent="0.3">
      <c r="A173" s="103" t="s">
        <v>894</v>
      </c>
      <c r="B173" s="103" t="s">
        <v>13</v>
      </c>
      <c r="C173" s="103" t="s">
        <v>8</v>
      </c>
      <c r="D173" s="106" t="str">
        <f>IF(MouserListTable1218[[#This Row],[Vendor]]=FilterSpecs!$A$8,MouserListTable1218[[#This Row],[Mouser SKU]], MouserListTable1218[[#This Row],[Supplier SKU]])</f>
        <v>WRL-11320</v>
      </c>
      <c r="E173" s="121">
        <f>MouserListTable1218[[#This Row],[Tot '#]]-MouserListTable1218[[#This Row],['# Initial]]</f>
        <v>0</v>
      </c>
      <c r="F173" s="121">
        <f>MouserListTable1218[[#This Row],['#/Unit]]*FilterSpecs!$B$3+MouserListTable1218[[#This Row],[Extra Initial]]</f>
        <v>5</v>
      </c>
      <c r="G173" s="103" t="s">
        <v>2540</v>
      </c>
      <c r="H173" s="103" t="s">
        <v>2541</v>
      </c>
      <c r="I173" s="103" t="s">
        <v>2542</v>
      </c>
      <c r="J173" s="106"/>
      <c r="K173" s="157">
        <v>4.95</v>
      </c>
      <c r="L173" s="103" t="s">
        <v>1911</v>
      </c>
      <c r="M173" s="106"/>
      <c r="N173" s="157">
        <f>MouserListTable1218[[#This Row],['# Initial]]*MouserListTable1218[[#This Row],[Price (USD)]]</f>
        <v>24.75</v>
      </c>
      <c r="O173" s="106" t="s">
        <v>2539</v>
      </c>
      <c r="P173" s="103">
        <f t="shared" si="2"/>
        <v>155</v>
      </c>
      <c r="Q173" s="103" t="s">
        <v>8</v>
      </c>
      <c r="R17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474-WRL-11320</v>
      </c>
      <c r="S173" s="121">
        <v>1</v>
      </c>
      <c r="T173" s="121">
        <v>0</v>
      </c>
      <c r="U173" s="121">
        <v>0</v>
      </c>
      <c r="V173" s="121">
        <f>MouserListTable1218[[#This Row],['#/Unit]]*FilterSpecs!$C$3+MouserListTable1218[[#This Row],[Extra]]</f>
        <v>5</v>
      </c>
      <c r="W173" s="121">
        <f>IF(MouserListTable1218[[#This Row],[Tag]]=FilterSpecs!$F$7,MouserListTable1218[[#This Row],[Price (USD)]],0)</f>
        <v>4.95</v>
      </c>
      <c r="X173" s="121">
        <f>MouserListTable1218[[#This Row],[Tot '#]]*MouserListTable1218[[#This Row],[Price (USD)]]</f>
        <v>24.75</v>
      </c>
    </row>
    <row r="174" spans="1:24" s="144" customFormat="1" x14ac:dyDescent="0.3">
      <c r="A174" s="103" t="s">
        <v>894</v>
      </c>
      <c r="B174" s="103" t="s">
        <v>13</v>
      </c>
      <c r="C174" s="103" t="s">
        <v>8</v>
      </c>
      <c r="D174" s="106" t="str">
        <f>IF(MouserListTable1218[[#This Row],[Vendor]]=FilterSpecs!$A$8,MouserListTable1218[[#This Row],[Mouser SKU]], MouserListTable1218[[#This Row],[Supplier SKU]])</f>
        <v>WRL-13287</v>
      </c>
      <c r="E174" s="121">
        <f>MouserListTable1218[[#This Row],[Tot '#]]-MouserListTable1218[[#This Row],['# Initial]]</f>
        <v>0</v>
      </c>
      <c r="F174" s="121">
        <f>MouserListTable1218[[#This Row],['#/Unit]]*FilterSpecs!$B$3+MouserListTable1218[[#This Row],[Extra Initial]]</f>
        <v>5</v>
      </c>
      <c r="G174" s="103" t="s">
        <v>2544</v>
      </c>
      <c r="H174" s="103" t="s">
        <v>2545</v>
      </c>
      <c r="I174" s="106" t="s">
        <v>2546</v>
      </c>
      <c r="J174" s="106">
        <v>1</v>
      </c>
      <c r="K174" s="157">
        <v>14.95</v>
      </c>
      <c r="L174" s="103" t="s">
        <v>1911</v>
      </c>
      <c r="M174" s="106"/>
      <c r="N174" s="157">
        <f>MouserListTable1218[[#This Row],['# Initial]]*MouserListTable1218[[#This Row],[Price (USD)]]</f>
        <v>74.75</v>
      </c>
      <c r="O174" s="106" t="s">
        <v>2543</v>
      </c>
      <c r="P174" s="103">
        <f t="shared" si="2"/>
        <v>156</v>
      </c>
      <c r="Q174" s="103" t="s">
        <v>8</v>
      </c>
      <c r="R17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474-WRL-13287</v>
      </c>
      <c r="S174" s="121">
        <v>1</v>
      </c>
      <c r="T174" s="121">
        <v>0</v>
      </c>
      <c r="U174" s="121">
        <v>0</v>
      </c>
      <c r="V174" s="121">
        <f>MouserListTable1218[[#This Row],['#/Unit]]*FilterSpecs!$C$3+MouserListTable1218[[#This Row],[Extra]]</f>
        <v>5</v>
      </c>
      <c r="W174" s="121">
        <f>IF(MouserListTable1218[[#This Row],[Tag]]=FilterSpecs!$F$7,MouserListTable1218[[#This Row],[Price (USD)]],0)</f>
        <v>14.95</v>
      </c>
      <c r="X174" s="121">
        <f>MouserListTable1218[[#This Row],[Tot '#]]*MouserListTable1218[[#This Row],[Price (USD)]]</f>
        <v>74.75</v>
      </c>
    </row>
    <row r="175" spans="1:24" s="146" customFormat="1" x14ac:dyDescent="0.3">
      <c r="A175" s="103" t="s">
        <v>895</v>
      </c>
      <c r="B175" s="103" t="s">
        <v>1606</v>
      </c>
      <c r="C175" s="103" t="s">
        <v>8</v>
      </c>
      <c r="D175" s="106" t="str">
        <f>IF(MouserListTable1218[[#This Row],[Vendor]]=FilterSpecs!$A$8,MouserListTable1218[[#This Row],[Mouser SKU]], MouserListTable1218[[#This Row],[Supplier SKU]])</f>
        <v>KIT-11591</v>
      </c>
      <c r="E175" s="121">
        <f>MouserListTable1218[[#This Row],[Tot '#]]-MouserListTable1218[[#This Row],['# Initial]]</f>
        <v>1</v>
      </c>
      <c r="F175" s="121">
        <f>MouserListTable1218[[#This Row],['#/Unit]]*FilterSpecs!$B$3+MouserListTable1218[[#This Row],[Extra Initial]]</f>
        <v>0</v>
      </c>
      <c r="G175" s="103" t="s">
        <v>1548</v>
      </c>
      <c r="H175" s="103" t="s">
        <v>1549</v>
      </c>
      <c r="I175" s="103" t="s">
        <v>1550</v>
      </c>
      <c r="J175" s="103">
        <v>1</v>
      </c>
      <c r="K175" s="157">
        <v>9.9499999999999993</v>
      </c>
      <c r="L175" s="103" t="s">
        <v>1913</v>
      </c>
      <c r="M175" s="106"/>
      <c r="N175" s="157">
        <f>MouserListTable1218[[#This Row],['# Initial]]*MouserListTable1218[[#This Row],[Price (USD)]]</f>
        <v>0</v>
      </c>
      <c r="O175" s="106" t="s">
        <v>1547</v>
      </c>
      <c r="P175" s="103">
        <f t="shared" si="2"/>
        <v>157</v>
      </c>
      <c r="Q175" s="103" t="s">
        <v>8</v>
      </c>
      <c r="R17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474-KIT-11591</v>
      </c>
      <c r="S175" s="121">
        <v>0</v>
      </c>
      <c r="T175" s="121">
        <v>1</v>
      </c>
      <c r="U175" s="121">
        <v>0</v>
      </c>
      <c r="V175" s="121">
        <f>MouserListTable1218[[#This Row],['#/Unit]]*FilterSpecs!$C$3+MouserListTable1218[[#This Row],[Extra]]</f>
        <v>1</v>
      </c>
      <c r="W175" s="121">
        <f>IF(MouserListTable1218[[#This Row],[Tag]]=FilterSpecs!$F$7,MouserListTable1218[[#This Row],[Price (USD)]],0)</f>
        <v>0</v>
      </c>
      <c r="X175" s="121">
        <f>MouserListTable1218[[#This Row],[Tot '#]]*MouserListTable1218[[#This Row],[Price (USD)]]</f>
        <v>9.9499999999999993</v>
      </c>
    </row>
    <row r="176" spans="1:24" s="146" customFormat="1" x14ac:dyDescent="0.3">
      <c r="A176" s="103" t="s">
        <v>895</v>
      </c>
      <c r="B176" s="103" t="s">
        <v>1606</v>
      </c>
      <c r="C176" s="103" t="s">
        <v>8</v>
      </c>
      <c r="D176" s="106" t="str">
        <f>IF(MouserListTable1218[[#This Row],[Vendor]]=FilterSpecs!$A$8,MouserListTable1218[[#This Row],[Mouser SKU]], MouserListTable1218[[#This Row],[Supplier SKU]])</f>
        <v>DEV-09215</v>
      </c>
      <c r="E176" s="121">
        <f>MouserListTable1218[[#This Row],[Tot '#]]-MouserListTable1218[[#This Row],['# Initial]]</f>
        <v>1</v>
      </c>
      <c r="F176" s="121">
        <f>MouserListTable1218[[#This Row],['#/Unit]]*FilterSpecs!$B$3+MouserListTable1218[[#This Row],[Extra Initial]]</f>
        <v>0</v>
      </c>
      <c r="G176" s="103" t="s">
        <v>1544</v>
      </c>
      <c r="H176" s="103" t="s">
        <v>1545</v>
      </c>
      <c r="I176" s="103" t="s">
        <v>1546</v>
      </c>
      <c r="J176" s="103">
        <v>1</v>
      </c>
      <c r="K176" s="157">
        <v>1.95</v>
      </c>
      <c r="L176" s="103" t="s">
        <v>1910</v>
      </c>
      <c r="M176" s="106"/>
      <c r="N176" s="157">
        <f>MouserListTable1218[[#This Row],['# Initial]]*MouserListTable1218[[#This Row],[Price (USD)]]</f>
        <v>0</v>
      </c>
      <c r="O176" s="106" t="s">
        <v>1543</v>
      </c>
      <c r="P176" s="103">
        <f t="shared" si="2"/>
        <v>158</v>
      </c>
      <c r="Q176" s="103" t="s">
        <v>8</v>
      </c>
      <c r="R17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474-DEV-09215</v>
      </c>
      <c r="S176" s="121">
        <v>0</v>
      </c>
      <c r="T176" s="121">
        <v>1</v>
      </c>
      <c r="U176" s="121">
        <v>0</v>
      </c>
      <c r="V176" s="121">
        <f>MouserListTable1218[[#This Row],['#/Unit]]*FilterSpecs!$C$3+MouserListTable1218[[#This Row],[Extra]]</f>
        <v>1</v>
      </c>
      <c r="W176" s="121">
        <f>IF(MouserListTable1218[[#This Row],[Tag]]=FilterSpecs!$F$7,MouserListTable1218[[#This Row],[Price (USD)]],0)</f>
        <v>0</v>
      </c>
      <c r="X176" s="121">
        <f>MouserListTable1218[[#This Row],[Tot '#]]*MouserListTable1218[[#This Row],[Price (USD)]]</f>
        <v>1.95</v>
      </c>
    </row>
    <row r="177" spans="1:24" s="146" customFormat="1" x14ac:dyDescent="0.3">
      <c r="A177" s="103" t="s">
        <v>895</v>
      </c>
      <c r="B177" s="103" t="s">
        <v>16</v>
      </c>
      <c r="C177" s="103" t="s">
        <v>8</v>
      </c>
      <c r="D177" s="106" t="str">
        <f>IF(MouserListTable1218[[#This Row],[Vendor]]=FilterSpecs!$A$8,MouserListTable1218[[#This Row],[Mouser SKU]], MouserListTable1218[[#This Row],[Supplier SKU]])</f>
        <v>BOB-12009</v>
      </c>
      <c r="E177" s="121">
        <f>MouserListTable1218[[#This Row],[Tot '#]]-MouserListTable1218[[#This Row],['# Initial]]</f>
        <v>0</v>
      </c>
      <c r="F177" s="121">
        <f>MouserListTable1218[[#This Row],['#/Unit]]*FilterSpecs!$B$3+MouserListTable1218[[#This Row],[Extra Initial]]</f>
        <v>10</v>
      </c>
      <c r="G177" s="103" t="s">
        <v>265</v>
      </c>
      <c r="H177" s="103" t="s">
        <v>266</v>
      </c>
      <c r="I177" s="103" t="s">
        <v>267</v>
      </c>
      <c r="J177" s="103">
        <v>1</v>
      </c>
      <c r="K177" s="157">
        <v>2.8</v>
      </c>
      <c r="L177" s="103" t="s">
        <v>1911</v>
      </c>
      <c r="M177" s="103"/>
      <c r="N177" s="157">
        <f>MouserListTable1218[[#This Row],['# Initial]]*MouserListTable1218[[#This Row],[Price (USD)]]</f>
        <v>28</v>
      </c>
      <c r="O177" s="106" t="s">
        <v>264</v>
      </c>
      <c r="P177" s="103">
        <f t="shared" si="2"/>
        <v>159</v>
      </c>
      <c r="Q177" s="103" t="s">
        <v>8</v>
      </c>
      <c r="R17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474-BOB-12009</v>
      </c>
      <c r="S177" s="121">
        <v>2</v>
      </c>
      <c r="T177" s="121">
        <v>0</v>
      </c>
      <c r="U177" s="121">
        <v>0</v>
      </c>
      <c r="V177" s="121">
        <f>MouserListTable1218[[#This Row],['#/Unit]]*FilterSpecs!$C$3+MouserListTable1218[[#This Row],[Extra]]</f>
        <v>10</v>
      </c>
      <c r="W177" s="121">
        <f>IF(MouserListTable1218[[#This Row],[Tag]]=FilterSpecs!$F$7,MouserListTable1218[[#This Row],[Price (USD)]],0)</f>
        <v>2.8</v>
      </c>
      <c r="X177" s="121">
        <f>MouserListTable1218[[#This Row],[Tot '#]]*MouserListTable1218[[#This Row],[Price (USD)]]</f>
        <v>28</v>
      </c>
    </row>
    <row r="178" spans="1:24" s="146" customFormat="1" x14ac:dyDescent="0.3">
      <c r="A178" s="103" t="s">
        <v>895</v>
      </c>
      <c r="B178" s="103" t="s">
        <v>16</v>
      </c>
      <c r="C178" s="103" t="s">
        <v>8</v>
      </c>
      <c r="D178" s="106" t="str">
        <f>IF(MouserListTable1218[[#This Row],[Vendor]]=FilterSpecs!$A$8,MouserListTable1218[[#This Row],[Mouser SKU]], MouserListTable1218[[#This Row],[Supplier SKU]])</f>
        <v>BOB-11955</v>
      </c>
      <c r="E178" s="121">
        <f>MouserListTable1218[[#This Row],[Tot '#]]-MouserListTable1218[[#This Row],['# Initial]]</f>
        <v>2</v>
      </c>
      <c r="F178" s="121">
        <f>MouserListTable1218[[#This Row],['#/Unit]]*FilterSpecs!$B$3+MouserListTable1218[[#This Row],[Extra Initial]]</f>
        <v>0</v>
      </c>
      <c r="G178" s="103" t="s">
        <v>294</v>
      </c>
      <c r="H178" s="103" t="s">
        <v>295</v>
      </c>
      <c r="I178" s="103" t="s">
        <v>296</v>
      </c>
      <c r="J178" s="103">
        <v>1</v>
      </c>
      <c r="K178" s="157">
        <v>6.95</v>
      </c>
      <c r="L178" s="103" t="s">
        <v>1910</v>
      </c>
      <c r="M178" s="103"/>
      <c r="N178" s="157">
        <f>MouserListTable1218[[#This Row],['# Initial]]*MouserListTable1218[[#This Row],[Price (USD)]]</f>
        <v>0</v>
      </c>
      <c r="O178" s="106" t="s">
        <v>293</v>
      </c>
      <c r="P178" s="103">
        <f t="shared" si="2"/>
        <v>160</v>
      </c>
      <c r="Q178" s="103" t="s">
        <v>8</v>
      </c>
      <c r="R17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474-BOB-11955</v>
      </c>
      <c r="S178" s="121">
        <v>0</v>
      </c>
      <c r="T178" s="121">
        <v>2</v>
      </c>
      <c r="U178" s="121">
        <v>0</v>
      </c>
      <c r="V178" s="121">
        <f>MouserListTable1218[[#This Row],['#/Unit]]*FilterSpecs!$C$3+MouserListTable1218[[#This Row],[Extra]]</f>
        <v>2</v>
      </c>
      <c r="W178" s="121">
        <f>IF(MouserListTable1218[[#This Row],[Tag]]=FilterSpecs!$F$7,MouserListTable1218[[#This Row],[Price (USD)]],0)</f>
        <v>0</v>
      </c>
      <c r="X178" s="121">
        <f>MouserListTable1218[[#This Row],[Tot '#]]*MouserListTable1218[[#This Row],[Price (USD)]]</f>
        <v>13.9</v>
      </c>
    </row>
    <row r="179" spans="1:24" s="146" customFormat="1" x14ac:dyDescent="0.3">
      <c r="A179" s="103" t="s">
        <v>895</v>
      </c>
      <c r="B179" s="103" t="s">
        <v>16</v>
      </c>
      <c r="C179" s="103" t="s">
        <v>8</v>
      </c>
      <c r="D179" s="106" t="str">
        <f>IF(MouserListTable1218[[#This Row],[Vendor]]=FilterSpecs!$A$8,MouserListTable1218[[#This Row],[Mouser SKU]], MouserListTable1218[[#This Row],[Supplier SKU]])</f>
        <v>BOB-11771</v>
      </c>
      <c r="E179" s="121">
        <f>MouserListTable1218[[#This Row],[Tot '#]]-MouserListTable1218[[#This Row],['# Initial]]</f>
        <v>0</v>
      </c>
      <c r="F179" s="121">
        <f>MouserListTable1218[[#This Row],['#/Unit]]*FilterSpecs!$B$3+MouserListTable1218[[#This Row],[Extra Initial]]</f>
        <v>5</v>
      </c>
      <c r="G179" s="103" t="s">
        <v>298</v>
      </c>
      <c r="H179" s="103" t="s">
        <v>299</v>
      </c>
      <c r="I179" s="103" t="s">
        <v>216</v>
      </c>
      <c r="J179" s="103">
        <v>1</v>
      </c>
      <c r="K179" s="157">
        <v>3.95</v>
      </c>
      <c r="L179" s="103" t="s">
        <v>1911</v>
      </c>
      <c r="M179" s="103"/>
      <c r="N179" s="157">
        <f>MouserListTable1218[[#This Row],['# Initial]]*MouserListTable1218[[#This Row],[Price (USD)]]</f>
        <v>19.75</v>
      </c>
      <c r="O179" s="106" t="s">
        <v>297</v>
      </c>
      <c r="P179" s="103">
        <f t="shared" si="2"/>
        <v>161</v>
      </c>
      <c r="Q179" s="103" t="s">
        <v>8</v>
      </c>
      <c r="R17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474-BOB-11771</v>
      </c>
      <c r="S179" s="121">
        <v>1</v>
      </c>
      <c r="T179" s="121">
        <v>0</v>
      </c>
      <c r="U179" s="121">
        <v>0</v>
      </c>
      <c r="V179" s="121">
        <f>MouserListTable1218[[#This Row],['#/Unit]]*FilterSpecs!$C$3+MouserListTable1218[[#This Row],[Extra]]</f>
        <v>5</v>
      </c>
      <c r="W179" s="121">
        <f>IF(MouserListTable1218[[#This Row],[Tag]]=FilterSpecs!$F$7,MouserListTable1218[[#This Row],[Price (USD)]],0)</f>
        <v>3.95</v>
      </c>
      <c r="X179" s="121">
        <f>MouserListTable1218[[#This Row],[Tot '#]]*MouserListTable1218[[#This Row],[Price (USD)]]</f>
        <v>19.75</v>
      </c>
    </row>
    <row r="180" spans="1:24" s="146" customFormat="1" x14ac:dyDescent="0.3">
      <c r="A180" s="103" t="s">
        <v>895</v>
      </c>
      <c r="B180" s="103" t="s">
        <v>16</v>
      </c>
      <c r="C180" s="103" t="s">
        <v>8</v>
      </c>
      <c r="D180" s="106" t="str">
        <f>IF(MouserListTable1218[[#This Row],[Vendor]]=FilterSpecs!$A$8,MouserListTable1218[[#This Row],[Mouser SKU]], MouserListTable1218[[#This Row],[Supplier SKU]])</f>
        <v>BOB-12918</v>
      </c>
      <c r="E180" s="121">
        <f>MouserListTable1218[[#This Row],[Tot '#]]-MouserListTable1218[[#This Row],['# Initial]]</f>
        <v>0</v>
      </c>
      <c r="F180" s="121">
        <f>MouserListTable1218[[#This Row],['#/Unit]]*FilterSpecs!$B$3+MouserListTable1218[[#This Row],[Extra Initial]]</f>
        <v>5</v>
      </c>
      <c r="G180" s="103" t="s">
        <v>345</v>
      </c>
      <c r="H180" s="103" t="s">
        <v>346</v>
      </c>
      <c r="I180" s="103" t="s">
        <v>213</v>
      </c>
      <c r="J180" s="103">
        <v>1</v>
      </c>
      <c r="K180" s="157">
        <v>4.95</v>
      </c>
      <c r="L180" s="103" t="s">
        <v>1911</v>
      </c>
      <c r="M180" s="103"/>
      <c r="N180" s="157">
        <f>MouserListTable1218[[#This Row],['# Initial]]*MouserListTable1218[[#This Row],[Price (USD)]]</f>
        <v>24.75</v>
      </c>
      <c r="O180" s="106" t="s">
        <v>344</v>
      </c>
      <c r="P180" s="103">
        <f t="shared" si="2"/>
        <v>162</v>
      </c>
      <c r="Q180" s="103" t="s">
        <v>8</v>
      </c>
      <c r="R18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474-BOB-12918</v>
      </c>
      <c r="S180" s="121">
        <v>1</v>
      </c>
      <c r="T180" s="121">
        <v>0</v>
      </c>
      <c r="U180" s="121">
        <v>0</v>
      </c>
      <c r="V180" s="121">
        <f>MouserListTable1218[[#This Row],['#/Unit]]*FilterSpecs!$C$3+MouserListTable1218[[#This Row],[Extra]]</f>
        <v>5</v>
      </c>
      <c r="W180" s="121">
        <f>IF(MouserListTable1218[[#This Row],[Tag]]=FilterSpecs!$F$7,MouserListTable1218[[#This Row],[Price (USD)]],0)</f>
        <v>4.95</v>
      </c>
      <c r="X180" s="121">
        <f>MouserListTable1218[[#This Row],[Tot '#]]*MouserListTable1218[[#This Row],[Price (USD)]]</f>
        <v>24.75</v>
      </c>
    </row>
    <row r="181" spans="1:24" s="146" customFormat="1" x14ac:dyDescent="0.3">
      <c r="A181" s="126" t="s">
        <v>895</v>
      </c>
      <c r="B181" s="126" t="s">
        <v>16</v>
      </c>
      <c r="C181" s="106" t="s">
        <v>1898</v>
      </c>
      <c r="D181" s="106" t="str">
        <f>IF(MouserListTable1218[[#This Row],[Vendor]]=FilterSpecs!$A$8,MouserListTable1218[[#This Row],[Mouser SKU]], MouserListTable1218[[#This Row],[Supplier SKU]])</f>
        <v>935</v>
      </c>
      <c r="E181" s="121">
        <f>MouserListTable1218[[#This Row],[Tot '#]]-MouserListTable1218[[#This Row],['# Initial]]</f>
        <v>0</v>
      </c>
      <c r="F181" s="121">
        <f>MouserListTable1218[[#This Row],['#/Unit]]*FilterSpecs!$B$3+MouserListTable1218[[#This Row],[Extra Initial]]</f>
        <v>0</v>
      </c>
      <c r="G181" s="103"/>
      <c r="H181" s="103"/>
      <c r="I181" s="146" t="s">
        <v>2156</v>
      </c>
      <c r="K181" s="158">
        <v>4.95</v>
      </c>
      <c r="L181" s="146" t="s">
        <v>1910</v>
      </c>
      <c r="N181" s="157">
        <f>MouserListTable1218[[#This Row],['# Initial]]*MouserListTable1218[[#This Row],[Price (USD)]]</f>
        <v>0</v>
      </c>
      <c r="O181" s="106" t="s">
        <v>2155</v>
      </c>
      <c r="P181" s="103">
        <f t="shared" si="2"/>
        <v>163</v>
      </c>
      <c r="Q181" s="103" t="s">
        <v>1898</v>
      </c>
      <c r="R18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485-935</v>
      </c>
      <c r="S181" s="121">
        <v>0</v>
      </c>
      <c r="T181" s="121">
        <v>0</v>
      </c>
      <c r="U181" s="121">
        <v>0</v>
      </c>
      <c r="V181" s="121">
        <f>MouserListTable1218[[#This Row],['#/Unit]]*FilterSpecs!$C$3+MouserListTable1218[[#This Row],[Extra]]</f>
        <v>0</v>
      </c>
      <c r="W181" s="121">
        <f>IF(MouserListTable1218[[#This Row],[Tag]]=FilterSpecs!$F$7,MouserListTable1218[[#This Row],[Price (USD)]],0)</f>
        <v>0</v>
      </c>
      <c r="X181" s="121">
        <f>MouserListTable1218[[#This Row],[Tot '#]]*MouserListTable1218[[#This Row],[Price (USD)]]</f>
        <v>0</v>
      </c>
    </row>
    <row r="182" spans="1:24" s="144" customFormat="1" x14ac:dyDescent="0.3">
      <c r="A182" s="103" t="s">
        <v>895</v>
      </c>
      <c r="B182" s="126" t="s">
        <v>16</v>
      </c>
      <c r="C182" s="103" t="s">
        <v>1898</v>
      </c>
      <c r="D182" s="106" t="str">
        <f>IF(MouserListTable1218[[#This Row],[Vendor]]=FilterSpecs!$A$8,MouserListTable1218[[#This Row],[Mouser SKU]], MouserListTable1218[[#This Row],[Supplier SKU]])</f>
        <v>1895</v>
      </c>
      <c r="E182" s="121">
        <f>MouserListTable1218[[#This Row],[Tot '#]]-MouserListTable1218[[#This Row],['# Initial]]</f>
        <v>0</v>
      </c>
      <c r="F182" s="121">
        <f>MouserListTable1218[[#This Row],['#/Unit]]*FilterSpecs!$B$3+MouserListTable1218[[#This Row],[Extra Initial]]</f>
        <v>0</v>
      </c>
      <c r="G182" s="103"/>
      <c r="H182" s="103"/>
      <c r="I182" s="126" t="s">
        <v>2357</v>
      </c>
      <c r="J182" s="146"/>
      <c r="K182" s="158">
        <v>9.9499999999999993</v>
      </c>
      <c r="L182" s="126" t="s">
        <v>1910</v>
      </c>
      <c r="M182" s="146"/>
      <c r="N182" s="157">
        <f>MouserListTable1218[[#This Row],['# Initial]]*MouserListTable1218[[#This Row],[Price (USD)]]</f>
        <v>0</v>
      </c>
      <c r="O182" s="106" t="s">
        <v>2356</v>
      </c>
      <c r="P182" s="103">
        <f t="shared" si="2"/>
        <v>164</v>
      </c>
      <c r="Q182" s="103" t="s">
        <v>1898</v>
      </c>
      <c r="R18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485-1895</v>
      </c>
      <c r="S182" s="121">
        <v>0</v>
      </c>
      <c r="T182" s="121">
        <v>0</v>
      </c>
      <c r="U182" s="121">
        <v>0</v>
      </c>
      <c r="V182" s="121">
        <f>MouserListTable1218[[#This Row],['#/Unit]]*FilterSpecs!$C$3+MouserListTable1218[[#This Row],[Extra]]</f>
        <v>0</v>
      </c>
      <c r="W182" s="121">
        <f>IF(MouserListTable1218[[#This Row],[Tag]]=FilterSpecs!$F$7,MouserListTable1218[[#This Row],[Price (USD)]],0)</f>
        <v>0</v>
      </c>
      <c r="X182" s="121">
        <f>MouserListTable1218[[#This Row],[Tot '#]]*MouserListTable1218[[#This Row],[Price (USD)]]</f>
        <v>0</v>
      </c>
    </row>
    <row r="183" spans="1:24" s="144" customFormat="1" x14ac:dyDescent="0.3">
      <c r="A183" s="103" t="s">
        <v>895</v>
      </c>
      <c r="B183" s="126" t="s">
        <v>16</v>
      </c>
      <c r="C183" s="103" t="s">
        <v>1898</v>
      </c>
      <c r="D183" s="106" t="str">
        <f>IF(MouserListTable1218[[#This Row],[Vendor]]=FilterSpecs!$A$8,MouserListTable1218[[#This Row],[Mouser SKU]], MouserListTable1218[[#This Row],[Supplier SKU]])</f>
        <v>1897</v>
      </c>
      <c r="E183" s="121">
        <f>MouserListTable1218[[#This Row],[Tot '#]]-MouserListTable1218[[#This Row],['# Initial]]</f>
        <v>0</v>
      </c>
      <c r="F183" s="121">
        <f>MouserListTable1218[[#This Row],['#/Unit]]*FilterSpecs!$B$3+MouserListTable1218[[#This Row],[Extra Initial]]</f>
        <v>0</v>
      </c>
      <c r="G183" s="103"/>
      <c r="H183" s="103"/>
      <c r="I183" s="126" t="s">
        <v>2359</v>
      </c>
      <c r="J183" s="146"/>
      <c r="K183" s="158">
        <v>5.95</v>
      </c>
      <c r="L183" s="126" t="s">
        <v>1910</v>
      </c>
      <c r="M183" s="146"/>
      <c r="N183" s="157">
        <f>MouserListTable1218[[#This Row],['# Initial]]*MouserListTable1218[[#This Row],[Price (USD)]]</f>
        <v>0</v>
      </c>
      <c r="O183" s="106" t="s">
        <v>2358</v>
      </c>
      <c r="P183" s="103">
        <f t="shared" si="2"/>
        <v>165</v>
      </c>
      <c r="Q183" s="103" t="s">
        <v>1898</v>
      </c>
      <c r="R18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485-1897</v>
      </c>
      <c r="S183" s="121">
        <v>0</v>
      </c>
      <c r="T183" s="121">
        <v>0</v>
      </c>
      <c r="U183" s="121">
        <v>0</v>
      </c>
      <c r="V183" s="121">
        <f>MouserListTable1218[[#This Row],['#/Unit]]*FilterSpecs!$C$3+MouserListTable1218[[#This Row],[Extra]]</f>
        <v>0</v>
      </c>
      <c r="W183" s="121">
        <f>IF(MouserListTable1218[[#This Row],[Tag]]=FilterSpecs!$F$7,MouserListTable1218[[#This Row],[Price (USD)]],0)</f>
        <v>0</v>
      </c>
      <c r="X183" s="121">
        <f>MouserListTable1218[[#This Row],[Tot '#]]*MouserListTable1218[[#This Row],[Price (USD)]]</f>
        <v>0</v>
      </c>
    </row>
    <row r="184" spans="1:24" s="146" customFormat="1" x14ac:dyDescent="0.3">
      <c r="A184" s="103" t="s">
        <v>895</v>
      </c>
      <c r="B184" s="103" t="s">
        <v>899</v>
      </c>
      <c r="C184" s="103" t="s">
        <v>8</v>
      </c>
      <c r="D184" s="106" t="str">
        <f>IF(MouserListTable1218[[#This Row],[Vendor]]=FilterSpecs!$A$8,MouserListTable1218[[#This Row],[Mouser SKU]], MouserListTable1218[[#This Row],[Supplier SKU]])</f>
        <v>PRT-14425</v>
      </c>
      <c r="E184" s="121">
        <f>MouserListTable1218[[#This Row],[Tot '#]]-MouserListTable1218[[#This Row],['# Initial]]</f>
        <v>0</v>
      </c>
      <c r="F184" s="121">
        <f>MouserListTable1218[[#This Row],['#/Unit]]*FilterSpecs!$B$3+MouserListTable1218[[#This Row],[Extra Initial]]</f>
        <v>0</v>
      </c>
      <c r="G184" s="103" t="s">
        <v>237</v>
      </c>
      <c r="H184" s="103" t="s">
        <v>238</v>
      </c>
      <c r="I184" s="103" t="s">
        <v>239</v>
      </c>
      <c r="J184" s="103"/>
      <c r="K184" s="157">
        <v>1.5</v>
      </c>
      <c r="L184" s="103" t="s">
        <v>1911</v>
      </c>
      <c r="M184" s="103"/>
      <c r="N184" s="157">
        <f>MouserListTable1218[[#This Row],['# Initial]]*MouserListTable1218[[#This Row],[Price (USD)]]</f>
        <v>0</v>
      </c>
      <c r="O184" s="106" t="s">
        <v>236</v>
      </c>
      <c r="P184" s="103">
        <f t="shared" si="2"/>
        <v>166</v>
      </c>
      <c r="Q184" s="103" t="s">
        <v>8</v>
      </c>
      <c r="R18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474-PRT-14425</v>
      </c>
      <c r="S184" s="121">
        <v>0</v>
      </c>
      <c r="T184" s="121">
        <v>0</v>
      </c>
      <c r="U184" s="121">
        <v>0</v>
      </c>
      <c r="V184" s="121">
        <f>MouserListTable1218[[#This Row],['#/Unit]]*FilterSpecs!$C$3+MouserListTable1218[[#This Row],[Extra]]</f>
        <v>0</v>
      </c>
      <c r="W184" s="121">
        <f>IF(MouserListTable1218[[#This Row],[Tag]]=FilterSpecs!$F$7,MouserListTable1218[[#This Row],[Price (USD)]],0)</f>
        <v>1.5</v>
      </c>
      <c r="X184" s="121">
        <f>MouserListTable1218[[#This Row],[Tot '#]]*MouserListTable1218[[#This Row],[Price (USD)]]</f>
        <v>0</v>
      </c>
    </row>
    <row r="185" spans="1:24" s="146" customFormat="1" x14ac:dyDescent="0.3">
      <c r="A185" s="103" t="s">
        <v>895</v>
      </c>
      <c r="B185" s="103" t="s">
        <v>899</v>
      </c>
      <c r="C185" s="103" t="s">
        <v>8</v>
      </c>
      <c r="D185" s="106" t="str">
        <f>IF(MouserListTable1218[[#This Row],[Vendor]]=FilterSpecs!$A$8,MouserListTable1218[[#This Row],[Mouser SKU]], MouserListTable1218[[#This Row],[Supplier SKU]])</f>
        <v>SPX-14291</v>
      </c>
      <c r="E185" s="121">
        <f>MouserListTable1218[[#This Row],[Tot '#]]-MouserListTable1218[[#This Row],['# Initial]]</f>
        <v>1</v>
      </c>
      <c r="F185" s="121">
        <f>MouserListTable1218[[#This Row],['#/Unit]]*FilterSpecs!$B$3+MouserListTable1218[[#This Row],[Extra Initial]]</f>
        <v>0</v>
      </c>
      <c r="G185" s="103" t="s">
        <v>241</v>
      </c>
      <c r="H185" s="103" t="s">
        <v>242</v>
      </c>
      <c r="I185" s="103" t="s">
        <v>243</v>
      </c>
      <c r="J185" s="103">
        <v>1</v>
      </c>
      <c r="K185" s="157">
        <v>14.95</v>
      </c>
      <c r="L185" s="103" t="s">
        <v>1912</v>
      </c>
      <c r="M185" s="103"/>
      <c r="N185" s="157">
        <f>MouserListTable1218[[#This Row],['# Initial]]*MouserListTable1218[[#This Row],[Price (USD)]]</f>
        <v>0</v>
      </c>
      <c r="O185" s="106" t="s">
        <v>240</v>
      </c>
      <c r="P185" s="103">
        <f t="shared" si="2"/>
        <v>167</v>
      </c>
      <c r="Q185" s="103" t="s">
        <v>8</v>
      </c>
      <c r="R18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474-SPX-14291</v>
      </c>
      <c r="S185" s="121">
        <v>0</v>
      </c>
      <c r="T185" s="121">
        <v>1</v>
      </c>
      <c r="U185" s="121">
        <v>0</v>
      </c>
      <c r="V185" s="121">
        <f>MouserListTable1218[[#This Row],['#/Unit]]*FilterSpecs!$C$3+MouserListTable1218[[#This Row],[Extra]]</f>
        <v>1</v>
      </c>
      <c r="W185" s="121">
        <f>IF(MouserListTable1218[[#This Row],[Tag]]=FilterSpecs!$F$7,MouserListTable1218[[#This Row],[Price (USD)]],0)</f>
        <v>0</v>
      </c>
      <c r="X185" s="121">
        <f>MouserListTable1218[[#This Row],[Tot '#]]*MouserListTable1218[[#This Row],[Price (USD)]]</f>
        <v>14.95</v>
      </c>
    </row>
    <row r="186" spans="1:24" s="146" customFormat="1" x14ac:dyDescent="0.3">
      <c r="A186" s="126" t="s">
        <v>895</v>
      </c>
      <c r="B186" s="126" t="s">
        <v>899</v>
      </c>
      <c r="C186" s="126" t="s">
        <v>8</v>
      </c>
      <c r="D186" s="106" t="str">
        <f>IF(MouserListTable1218[[#This Row],[Vendor]]=FilterSpecs!$A$8,MouserListTable1218[[#This Row],[Mouser SKU]], MouserListTable1218[[#This Row],[Supplier SKU]])</f>
        <v>SPX-14286</v>
      </c>
      <c r="E186" s="121">
        <f>MouserListTable1218[[#This Row],[Tot '#]]-MouserListTable1218[[#This Row],['# Initial]]</f>
        <v>0</v>
      </c>
      <c r="F186" s="121">
        <f>MouserListTable1218[[#This Row],['#/Unit]]*FilterSpecs!$B$3+MouserListTable1218[[#This Row],[Extra Initial]]</f>
        <v>0</v>
      </c>
      <c r="G186" s="103" t="s">
        <v>364</v>
      </c>
      <c r="H186" s="103" t="s">
        <v>365</v>
      </c>
      <c r="I186" s="103" t="s">
        <v>366</v>
      </c>
      <c r="J186" s="103">
        <v>1</v>
      </c>
      <c r="K186" s="157">
        <v>2.95</v>
      </c>
      <c r="L186" s="103" t="s">
        <v>2487</v>
      </c>
      <c r="M186" s="103"/>
      <c r="N186" s="157">
        <f>MouserListTable1218[[#This Row],['# Initial]]*MouserListTable1218[[#This Row],[Price (USD)]]</f>
        <v>0</v>
      </c>
      <c r="O186" s="106" t="s">
        <v>363</v>
      </c>
      <c r="P186" s="103">
        <f t="shared" si="2"/>
        <v>168</v>
      </c>
      <c r="Q186" s="103" t="s">
        <v>8</v>
      </c>
      <c r="R18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474-SPX-14286</v>
      </c>
      <c r="S186" s="121">
        <v>0</v>
      </c>
      <c r="T186" s="121">
        <v>0</v>
      </c>
      <c r="U186" s="121">
        <v>0</v>
      </c>
      <c r="V186" s="121">
        <f>MouserListTable1218[[#This Row],['#/Unit]]*FilterSpecs!$C$3+MouserListTable1218[[#This Row],[Extra]]</f>
        <v>0</v>
      </c>
      <c r="W186" s="121">
        <f>IF(MouserListTable1218[[#This Row],[Tag]]=FilterSpecs!$F$7,MouserListTable1218[[#This Row],[Price (USD)]],0)</f>
        <v>0</v>
      </c>
      <c r="X186" s="121">
        <f>MouserListTable1218[[#This Row],[Tot '#]]*MouserListTable1218[[#This Row],[Price (USD)]]</f>
        <v>0</v>
      </c>
    </row>
    <row r="187" spans="1:24" s="146" customFormat="1" x14ac:dyDescent="0.3">
      <c r="A187" s="126" t="s">
        <v>895</v>
      </c>
      <c r="B187" s="126" t="s">
        <v>899</v>
      </c>
      <c r="C187" s="126" t="s">
        <v>8</v>
      </c>
      <c r="D187" s="106" t="str">
        <f>IF(MouserListTable1218[[#This Row],[Vendor]]=FilterSpecs!$A$8,MouserListTable1218[[#This Row],[Mouser SKU]], MouserListTable1218[[#This Row],[Supplier SKU]])</f>
        <v>SPX-14257</v>
      </c>
      <c r="E187" s="121">
        <f>MouserListTable1218[[#This Row],[Tot '#]]-MouserListTable1218[[#This Row],['# Initial]]</f>
        <v>0</v>
      </c>
      <c r="F187" s="121">
        <f>MouserListTable1218[[#This Row],['#/Unit]]*FilterSpecs!$B$3+MouserListTable1218[[#This Row],[Extra Initial]]</f>
        <v>0</v>
      </c>
      <c r="G187" s="103" t="s">
        <v>1186</v>
      </c>
      <c r="H187" s="103" t="s">
        <v>1187</v>
      </c>
      <c r="I187" s="103" t="s">
        <v>1188</v>
      </c>
      <c r="J187" s="103">
        <v>1</v>
      </c>
      <c r="K187" s="157">
        <v>9.9499999999999993</v>
      </c>
      <c r="L187" s="103" t="s">
        <v>2487</v>
      </c>
      <c r="N187" s="157">
        <f>MouserListTable1218[[#This Row],['# Initial]]*MouserListTable1218[[#This Row],[Price (USD)]]</f>
        <v>0</v>
      </c>
      <c r="O187" s="106" t="s">
        <v>1185</v>
      </c>
      <c r="P187" s="103">
        <f t="shared" si="2"/>
        <v>169</v>
      </c>
      <c r="Q187" s="103" t="s">
        <v>8</v>
      </c>
      <c r="R18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474-SPX-14257</v>
      </c>
      <c r="S187" s="121">
        <v>0</v>
      </c>
      <c r="T187" s="121">
        <v>0</v>
      </c>
      <c r="U187" s="121">
        <v>0</v>
      </c>
      <c r="V187" s="121">
        <f>MouserListTable1218[[#This Row],['#/Unit]]*FilterSpecs!$C$3+MouserListTable1218[[#This Row],[Extra]]</f>
        <v>0</v>
      </c>
      <c r="W187" s="121">
        <f>IF(MouserListTable1218[[#This Row],[Tag]]=FilterSpecs!$F$7,MouserListTable1218[[#This Row],[Price (USD)]],0)</f>
        <v>0</v>
      </c>
      <c r="X187" s="121">
        <f>MouserListTable1218[[#This Row],[Tot '#]]*MouserListTable1218[[#This Row],[Price (USD)]]</f>
        <v>0</v>
      </c>
    </row>
    <row r="188" spans="1:24" s="146" customFormat="1" x14ac:dyDescent="0.3">
      <c r="A188" s="103" t="s">
        <v>895</v>
      </c>
      <c r="B188" s="103" t="s">
        <v>899</v>
      </c>
      <c r="C188" s="103" t="s">
        <v>8</v>
      </c>
      <c r="D188" s="106" t="str">
        <f>IF(MouserListTable1218[[#This Row],[Vendor]]=FilterSpecs!$A$8,MouserListTable1218[[#This Row],[Mouser SKU]], MouserListTable1218[[#This Row],[Supplier SKU]])</f>
        <v>SPX-14293</v>
      </c>
      <c r="E188" s="121">
        <f>MouserListTable1218[[#This Row],[Tot '#]]-MouserListTable1218[[#This Row],['# Initial]]</f>
        <v>1</v>
      </c>
      <c r="F188" s="121">
        <f>MouserListTable1218[[#This Row],['#/Unit]]*FilterSpecs!$B$3+MouserListTable1218[[#This Row],[Extra Initial]]</f>
        <v>0</v>
      </c>
      <c r="G188" s="103" t="s">
        <v>1190</v>
      </c>
      <c r="H188" s="103" t="s">
        <v>1191</v>
      </c>
      <c r="I188" s="103" t="s">
        <v>1192</v>
      </c>
      <c r="J188" s="103">
        <v>1</v>
      </c>
      <c r="K188" s="157">
        <v>14.95</v>
      </c>
      <c r="L188" s="103" t="s">
        <v>1912</v>
      </c>
      <c r="M188" s="106"/>
      <c r="N188" s="157">
        <f>MouserListTable1218[[#This Row],['# Initial]]*MouserListTable1218[[#This Row],[Price (USD)]]</f>
        <v>0</v>
      </c>
      <c r="O188" s="106" t="s">
        <v>1189</v>
      </c>
      <c r="P188" s="103">
        <f t="shared" si="2"/>
        <v>170</v>
      </c>
      <c r="Q188" s="103" t="s">
        <v>8</v>
      </c>
      <c r="R18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474-SPX-14293</v>
      </c>
      <c r="S188" s="121">
        <v>0</v>
      </c>
      <c r="T188" s="121">
        <v>1</v>
      </c>
      <c r="U188" s="121">
        <v>0</v>
      </c>
      <c r="V188" s="121">
        <f>MouserListTable1218[[#This Row],['#/Unit]]*FilterSpecs!$C$3+MouserListTable1218[[#This Row],[Extra]]</f>
        <v>1</v>
      </c>
      <c r="W188" s="121">
        <f>IF(MouserListTable1218[[#This Row],[Tag]]=FilterSpecs!$F$7,MouserListTable1218[[#This Row],[Price (USD)]],0)</f>
        <v>0</v>
      </c>
      <c r="X188" s="121">
        <f>MouserListTable1218[[#This Row],[Tot '#]]*MouserListTable1218[[#This Row],[Price (USD)]]</f>
        <v>14.95</v>
      </c>
    </row>
    <row r="189" spans="1:24" s="146" customFormat="1" x14ac:dyDescent="0.3">
      <c r="A189" s="126" t="s">
        <v>895</v>
      </c>
      <c r="B189" s="126" t="s">
        <v>899</v>
      </c>
      <c r="C189" s="126" t="s">
        <v>8</v>
      </c>
      <c r="D189" s="106" t="str">
        <f>IF(MouserListTable1218[[#This Row],[Vendor]]=FilterSpecs!$A$8,MouserListTable1218[[#This Row],[Mouser SKU]], MouserListTable1218[[#This Row],[Supplier SKU]])</f>
        <v>SPX-14289</v>
      </c>
      <c r="E189" s="121">
        <f>MouserListTable1218[[#This Row],[Tot '#]]-MouserListTable1218[[#This Row],['# Initial]]</f>
        <v>0</v>
      </c>
      <c r="F189" s="121">
        <f>MouserListTable1218[[#This Row],['#/Unit]]*FilterSpecs!$B$3+MouserListTable1218[[#This Row],[Extra Initial]]</f>
        <v>0</v>
      </c>
      <c r="G189" s="103" t="s">
        <v>1828</v>
      </c>
      <c r="H189" s="103" t="s">
        <v>1829</v>
      </c>
      <c r="I189" s="103" t="s">
        <v>1830</v>
      </c>
      <c r="J189" s="103">
        <v>1</v>
      </c>
      <c r="K189" s="157">
        <v>39.950000000000003</v>
      </c>
      <c r="L189" s="103" t="s">
        <v>2487</v>
      </c>
      <c r="N189" s="157">
        <f>MouserListTable1218[[#This Row],['# Initial]]*MouserListTable1218[[#This Row],[Price (USD)]]</f>
        <v>0</v>
      </c>
      <c r="O189" s="106" t="s">
        <v>1827</v>
      </c>
      <c r="P189" s="103">
        <f t="shared" si="2"/>
        <v>171</v>
      </c>
      <c r="Q189" s="103" t="s">
        <v>8</v>
      </c>
      <c r="R18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474-SPX-14289</v>
      </c>
      <c r="S189" s="121">
        <v>0</v>
      </c>
      <c r="T189" s="121">
        <v>0</v>
      </c>
      <c r="U189" s="121">
        <v>0</v>
      </c>
      <c r="V189" s="121">
        <f>MouserListTable1218[[#This Row],['#/Unit]]*FilterSpecs!$C$3+MouserListTable1218[[#This Row],[Extra]]</f>
        <v>0</v>
      </c>
      <c r="W189" s="121">
        <f>IF(MouserListTable1218[[#This Row],[Tag]]=FilterSpecs!$F$7,MouserListTable1218[[#This Row],[Price (USD)]],0)</f>
        <v>0</v>
      </c>
      <c r="X189" s="121">
        <f>MouserListTable1218[[#This Row],[Tot '#]]*MouserListTable1218[[#This Row],[Price (USD)]]</f>
        <v>0</v>
      </c>
    </row>
    <row r="190" spans="1:24" s="146" customFormat="1" x14ac:dyDescent="0.3">
      <c r="A190" s="126" t="s">
        <v>895</v>
      </c>
      <c r="B190" s="126" t="s">
        <v>899</v>
      </c>
      <c r="C190" s="126" t="s">
        <v>8</v>
      </c>
      <c r="D190" s="106" t="str">
        <f>IF(MouserListTable1218[[#This Row],[Vendor]]=FilterSpecs!$A$8,MouserListTable1218[[#This Row],[Mouser SKU]], MouserListTable1218[[#This Row],[Supplier SKU]])</f>
        <v>SPX-14269</v>
      </c>
      <c r="E190" s="121">
        <f>MouserListTable1218[[#This Row],[Tot '#]]-MouserListTable1218[[#This Row],['# Initial]]</f>
        <v>0</v>
      </c>
      <c r="F190" s="121">
        <f>MouserListTable1218[[#This Row],['#/Unit]]*FilterSpecs!$B$3+MouserListTable1218[[#This Row],[Extra Initial]]</f>
        <v>0</v>
      </c>
      <c r="G190" s="103" t="s">
        <v>1788</v>
      </c>
      <c r="H190" s="103" t="s">
        <v>1789</v>
      </c>
      <c r="I190" s="103" t="s">
        <v>1790</v>
      </c>
      <c r="J190" s="103">
        <v>1</v>
      </c>
      <c r="K190" s="157">
        <v>14.95</v>
      </c>
      <c r="L190" s="103" t="s">
        <v>2487</v>
      </c>
      <c r="N190" s="157">
        <f>MouserListTable1218[[#This Row],['# Initial]]*MouserListTable1218[[#This Row],[Price (USD)]]</f>
        <v>0</v>
      </c>
      <c r="O190" s="106" t="s">
        <v>1787</v>
      </c>
      <c r="P190" s="103">
        <f t="shared" si="2"/>
        <v>172</v>
      </c>
      <c r="Q190" s="103" t="s">
        <v>8</v>
      </c>
      <c r="R19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474-SPX-14269</v>
      </c>
      <c r="S190" s="121">
        <v>0</v>
      </c>
      <c r="T190" s="121">
        <v>0</v>
      </c>
      <c r="U190" s="121">
        <v>0</v>
      </c>
      <c r="V190" s="121">
        <f>MouserListTable1218[[#This Row],['#/Unit]]*FilterSpecs!$C$3+MouserListTable1218[[#This Row],[Extra]]</f>
        <v>0</v>
      </c>
      <c r="W190" s="121">
        <f>IF(MouserListTable1218[[#This Row],[Tag]]=FilterSpecs!$F$7,MouserListTable1218[[#This Row],[Price (USD)]],0)</f>
        <v>0</v>
      </c>
      <c r="X190" s="121">
        <f>MouserListTable1218[[#This Row],[Tot '#]]*MouserListTable1218[[#This Row],[Price (USD)]]</f>
        <v>0</v>
      </c>
    </row>
    <row r="191" spans="1:24" s="146" customFormat="1" x14ac:dyDescent="0.3">
      <c r="A191" s="103" t="s">
        <v>895</v>
      </c>
      <c r="B191" s="103" t="s">
        <v>899</v>
      </c>
      <c r="C191" s="103" t="s">
        <v>8</v>
      </c>
      <c r="D191" s="106" t="str">
        <f>IF(MouserListTable1218[[#This Row],[Vendor]]=FilterSpecs!$A$8,MouserListTable1218[[#This Row],[Mouser SKU]], MouserListTable1218[[#This Row],[Supplier SKU]])</f>
        <v>PRT-14426</v>
      </c>
      <c r="E191" s="121">
        <f>MouserListTable1218[[#This Row],[Tot '#]]-MouserListTable1218[[#This Row],['# Initial]]</f>
        <v>0</v>
      </c>
      <c r="F191" s="121">
        <f>MouserListTable1218[[#This Row],['#/Unit]]*FilterSpecs!$B$3+MouserListTable1218[[#This Row],[Extra Initial]]</f>
        <v>0</v>
      </c>
      <c r="G191" s="103" t="s">
        <v>273</v>
      </c>
      <c r="H191" s="103" t="s">
        <v>274</v>
      </c>
      <c r="I191" s="103" t="s">
        <v>275</v>
      </c>
      <c r="J191" s="103"/>
      <c r="K191" s="157">
        <v>0.95</v>
      </c>
      <c r="L191" s="103" t="s">
        <v>1911</v>
      </c>
      <c r="M191" s="103"/>
      <c r="N191" s="157">
        <f>MouserListTable1218[[#This Row],['# Initial]]*MouserListTable1218[[#This Row],[Price (USD)]]</f>
        <v>0</v>
      </c>
      <c r="O191" s="106" t="s">
        <v>272</v>
      </c>
      <c r="P191" s="103">
        <f t="shared" si="2"/>
        <v>173</v>
      </c>
      <c r="Q191" s="103" t="s">
        <v>8</v>
      </c>
      <c r="R19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474-PRT-14426</v>
      </c>
      <c r="S191" s="121">
        <v>0</v>
      </c>
      <c r="T191" s="121">
        <v>0</v>
      </c>
      <c r="U191" s="121">
        <v>0</v>
      </c>
      <c r="V191" s="121">
        <f>MouserListTable1218[[#This Row],['#/Unit]]*FilterSpecs!$C$3+MouserListTable1218[[#This Row],[Extra]]</f>
        <v>0</v>
      </c>
      <c r="W191" s="121">
        <f>IF(MouserListTable1218[[#This Row],[Tag]]=FilterSpecs!$F$7,MouserListTable1218[[#This Row],[Price (USD)]],0)</f>
        <v>0.95</v>
      </c>
      <c r="X191" s="121">
        <f>MouserListTable1218[[#This Row],[Tot '#]]*MouserListTable1218[[#This Row],[Price (USD)]]</f>
        <v>0</v>
      </c>
    </row>
    <row r="192" spans="1:24" s="146" customFormat="1" x14ac:dyDescent="0.3">
      <c r="A192" s="103" t="s">
        <v>895</v>
      </c>
      <c r="B192" s="103" t="s">
        <v>899</v>
      </c>
      <c r="C192" s="103" t="s">
        <v>8</v>
      </c>
      <c r="D192" s="106" t="str">
        <f>IF(MouserListTable1218[[#This Row],[Vendor]]=FilterSpecs!$A$8,MouserListTable1218[[#This Row],[Mouser SKU]], MouserListTable1218[[#This Row],[Supplier SKU]])</f>
        <v>PRT-14427</v>
      </c>
      <c r="E192" s="121">
        <f>MouserListTable1218[[#This Row],[Tot '#]]-MouserListTable1218[[#This Row],['# Initial]]</f>
        <v>0</v>
      </c>
      <c r="F192" s="121">
        <f>MouserListTable1218[[#This Row],['#/Unit]]*FilterSpecs!$B$3+MouserListTable1218[[#This Row],[Extra Initial]]</f>
        <v>0</v>
      </c>
      <c r="G192" s="103" t="s">
        <v>277</v>
      </c>
      <c r="H192" s="103" t="s">
        <v>278</v>
      </c>
      <c r="I192" s="103" t="s">
        <v>279</v>
      </c>
      <c r="J192" s="103"/>
      <c r="K192" s="157">
        <v>1.5</v>
      </c>
      <c r="L192" s="103" t="s">
        <v>1911</v>
      </c>
      <c r="M192" s="103"/>
      <c r="N192" s="157">
        <f>MouserListTable1218[[#This Row],['# Initial]]*MouserListTable1218[[#This Row],[Price (USD)]]</f>
        <v>0</v>
      </c>
      <c r="O192" s="106" t="s">
        <v>276</v>
      </c>
      <c r="P192" s="103">
        <f t="shared" si="2"/>
        <v>174</v>
      </c>
      <c r="Q192" s="103" t="s">
        <v>8</v>
      </c>
      <c r="R19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474-PRT-14427</v>
      </c>
      <c r="S192" s="121">
        <v>0</v>
      </c>
      <c r="T192" s="121">
        <v>0</v>
      </c>
      <c r="U192" s="121">
        <v>0</v>
      </c>
      <c r="V192" s="121">
        <f>MouserListTable1218[[#This Row],['#/Unit]]*FilterSpecs!$C$3+MouserListTable1218[[#This Row],[Extra]]</f>
        <v>0</v>
      </c>
      <c r="W192" s="121">
        <f>IF(MouserListTable1218[[#This Row],[Tag]]=FilterSpecs!$F$7,MouserListTable1218[[#This Row],[Price (USD)]],0)</f>
        <v>1.5</v>
      </c>
      <c r="X192" s="121">
        <f>MouserListTable1218[[#This Row],[Tot '#]]*MouserListTable1218[[#This Row],[Price (USD)]]</f>
        <v>0</v>
      </c>
    </row>
    <row r="193" spans="1:24" s="146" customFormat="1" x14ac:dyDescent="0.3">
      <c r="A193" s="103" t="s">
        <v>895</v>
      </c>
      <c r="B193" s="103" t="s">
        <v>899</v>
      </c>
      <c r="C193" s="103" t="s">
        <v>8</v>
      </c>
      <c r="D193" s="106" t="str">
        <f>IF(MouserListTable1218[[#This Row],[Vendor]]=FilterSpecs!$A$8,MouserListTable1218[[#This Row],[Mouser SKU]], MouserListTable1218[[#This Row],[Supplier SKU]])</f>
        <v>PRT-14428</v>
      </c>
      <c r="E193" s="121">
        <f>MouserListTable1218[[#This Row],[Tot '#]]-MouserListTable1218[[#This Row],['# Initial]]</f>
        <v>0</v>
      </c>
      <c r="F193" s="121">
        <f>MouserListTable1218[[#This Row],['#/Unit]]*FilterSpecs!$B$3+MouserListTable1218[[#This Row],[Extra Initial]]</f>
        <v>0</v>
      </c>
      <c r="G193" s="103" t="s">
        <v>269</v>
      </c>
      <c r="H193" s="103" t="s">
        <v>270</v>
      </c>
      <c r="I193" s="103" t="s">
        <v>271</v>
      </c>
      <c r="J193" s="103"/>
      <c r="K193" s="157">
        <v>1.5</v>
      </c>
      <c r="L193" s="103" t="s">
        <v>1911</v>
      </c>
      <c r="M193" s="103"/>
      <c r="N193" s="157">
        <f>MouserListTable1218[[#This Row],['# Initial]]*MouserListTable1218[[#This Row],[Price (USD)]]</f>
        <v>0</v>
      </c>
      <c r="O193" s="106" t="s">
        <v>268</v>
      </c>
      <c r="P193" s="103">
        <f t="shared" si="2"/>
        <v>175</v>
      </c>
      <c r="Q193" s="103" t="s">
        <v>8</v>
      </c>
      <c r="R19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474-PRT-14428</v>
      </c>
      <c r="S193" s="121">
        <v>0</v>
      </c>
      <c r="T193" s="121">
        <v>0</v>
      </c>
      <c r="U193" s="121">
        <v>0</v>
      </c>
      <c r="V193" s="121">
        <f>MouserListTable1218[[#This Row],['#/Unit]]*FilterSpecs!$C$3+MouserListTable1218[[#This Row],[Extra]]</f>
        <v>0</v>
      </c>
      <c r="W193" s="121">
        <f>IF(MouserListTable1218[[#This Row],[Tag]]=FilterSpecs!$F$7,MouserListTable1218[[#This Row],[Price (USD)]],0)</f>
        <v>1.5</v>
      </c>
      <c r="X193" s="121">
        <f>MouserListTable1218[[#This Row],[Tot '#]]*MouserListTable1218[[#This Row],[Price (USD)]]</f>
        <v>0</v>
      </c>
    </row>
    <row r="194" spans="1:24" s="146" customFormat="1" x14ac:dyDescent="0.3">
      <c r="A194" s="103" t="s">
        <v>895</v>
      </c>
      <c r="B194" s="103" t="s">
        <v>899</v>
      </c>
      <c r="C194" s="103" t="s">
        <v>8</v>
      </c>
      <c r="D194" s="106" t="str">
        <f>IF(MouserListTable1218[[#This Row],[Vendor]]=FilterSpecs!$A$8,MouserListTable1218[[#This Row],[Mouser SKU]], MouserListTable1218[[#This Row],[Supplier SKU]])</f>
        <v>PRT-14429</v>
      </c>
      <c r="E194" s="121">
        <f>MouserListTable1218[[#This Row],[Tot '#]]-MouserListTable1218[[#This Row],['# Initial]]</f>
        <v>1</v>
      </c>
      <c r="F194" s="121">
        <f>MouserListTable1218[[#This Row],['#/Unit]]*FilterSpecs!$B$3+MouserListTable1218[[#This Row],[Extra Initial]]</f>
        <v>0</v>
      </c>
      <c r="G194" s="103" t="s">
        <v>1824</v>
      </c>
      <c r="H194" s="103" t="s">
        <v>1825</v>
      </c>
      <c r="I194" s="103" t="s">
        <v>1826</v>
      </c>
      <c r="J194" s="103"/>
      <c r="K194" s="157">
        <v>1.95</v>
      </c>
      <c r="L194" s="103" t="s">
        <v>1910</v>
      </c>
      <c r="M194" s="106"/>
      <c r="N194" s="157">
        <f>MouserListTable1218[[#This Row],['# Initial]]*MouserListTable1218[[#This Row],[Price (USD)]]</f>
        <v>0</v>
      </c>
      <c r="O194" s="106" t="s">
        <v>1823</v>
      </c>
      <c r="P194" s="103">
        <f t="shared" si="2"/>
        <v>176</v>
      </c>
      <c r="Q194" s="103" t="s">
        <v>8</v>
      </c>
      <c r="R19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474-PRT-14429</v>
      </c>
      <c r="S194" s="121">
        <v>0</v>
      </c>
      <c r="T194" s="121">
        <v>1</v>
      </c>
      <c r="U194" s="121">
        <v>0</v>
      </c>
      <c r="V194" s="121">
        <f>MouserListTable1218[[#This Row],['#/Unit]]*FilterSpecs!$C$3+MouserListTable1218[[#This Row],[Extra]]</f>
        <v>1</v>
      </c>
      <c r="W194" s="121">
        <f>IF(MouserListTable1218[[#This Row],[Tag]]=FilterSpecs!$F$7,MouserListTable1218[[#This Row],[Price (USD)]],0)</f>
        <v>0</v>
      </c>
      <c r="X194" s="121">
        <f>MouserListTable1218[[#This Row],[Tot '#]]*MouserListTable1218[[#This Row],[Price (USD)]]</f>
        <v>1.95</v>
      </c>
    </row>
    <row r="195" spans="1:24" s="146" customFormat="1" x14ac:dyDescent="0.3">
      <c r="A195" s="103" t="s">
        <v>895</v>
      </c>
      <c r="B195" s="103" t="s">
        <v>899</v>
      </c>
      <c r="C195" s="103" t="s">
        <v>8</v>
      </c>
      <c r="D195" s="106" t="str">
        <f>IF(MouserListTable1218[[#This Row],[Vendor]]=FilterSpecs!$A$8,MouserListTable1218[[#This Row],[Mouser SKU]], MouserListTable1218[[#This Row],[Supplier SKU]])</f>
        <v>SPX-14323</v>
      </c>
      <c r="E195" s="121">
        <f>MouserListTable1218[[#This Row],[Tot '#]]-MouserListTable1218[[#This Row],['# Initial]]</f>
        <v>2</v>
      </c>
      <c r="F195" s="121">
        <f>MouserListTable1218[[#This Row],['#/Unit]]*FilterSpecs!$B$3+MouserListTable1218[[#This Row],[Extra Initial]]</f>
        <v>0</v>
      </c>
      <c r="G195" s="103" t="s">
        <v>736</v>
      </c>
      <c r="H195" s="103" t="s">
        <v>737</v>
      </c>
      <c r="I195" s="103" t="s">
        <v>738</v>
      </c>
      <c r="J195" s="103"/>
      <c r="K195" s="157">
        <v>2.95</v>
      </c>
      <c r="L195" s="103" t="s">
        <v>1913</v>
      </c>
      <c r="M195" s="103"/>
      <c r="N195" s="157">
        <f>MouserListTable1218[[#This Row],['# Initial]]*MouserListTable1218[[#This Row],[Price (USD)]]</f>
        <v>0</v>
      </c>
      <c r="O195" s="106" t="s">
        <v>735</v>
      </c>
      <c r="P195" s="103">
        <f t="shared" si="2"/>
        <v>177</v>
      </c>
      <c r="Q195" s="103" t="s">
        <v>8</v>
      </c>
      <c r="R19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474-SPX-14323</v>
      </c>
      <c r="S195" s="121">
        <v>0</v>
      </c>
      <c r="T195" s="121">
        <v>2</v>
      </c>
      <c r="U195" s="121">
        <v>0</v>
      </c>
      <c r="V195" s="121">
        <f>MouserListTable1218[[#This Row],['#/Unit]]*FilterSpecs!$C$3+MouserListTable1218[[#This Row],[Extra]]</f>
        <v>2</v>
      </c>
      <c r="W195" s="121">
        <f>IF(MouserListTable1218[[#This Row],[Tag]]=FilterSpecs!$F$7,MouserListTable1218[[#This Row],[Price (USD)]],0)</f>
        <v>0</v>
      </c>
      <c r="X195" s="121">
        <f>MouserListTable1218[[#This Row],[Tot '#]]*MouserListTable1218[[#This Row],[Price (USD)]]</f>
        <v>5.9</v>
      </c>
    </row>
    <row r="196" spans="1:24" s="144" customFormat="1" x14ac:dyDescent="0.3">
      <c r="A196" s="103" t="s">
        <v>895</v>
      </c>
      <c r="B196" s="103" t="s">
        <v>899</v>
      </c>
      <c r="C196" s="103" t="s">
        <v>8</v>
      </c>
      <c r="D196" s="106" t="str">
        <f>IF(MouserListTable1218[[#This Row],[Vendor]]=FilterSpecs!$A$8,MouserListTable1218[[#This Row],[Mouser SKU]], MouserListTable1218[[#This Row],[Supplier SKU]])</f>
        <v>SPX-14324</v>
      </c>
      <c r="E196" s="121">
        <f>MouserListTable1218[[#This Row],[Tot '#]]-MouserListTable1218[[#This Row],['# Initial]]</f>
        <v>1</v>
      </c>
      <c r="F196" s="121">
        <f>MouserListTable1218[[#This Row],['#/Unit]]*FilterSpecs!$B$3+MouserListTable1218[[#This Row],[Extra Initial]]</f>
        <v>0</v>
      </c>
      <c r="G196" s="103" t="s">
        <v>1808</v>
      </c>
      <c r="H196" s="103" t="s">
        <v>1809</v>
      </c>
      <c r="I196" s="103" t="s">
        <v>1810</v>
      </c>
      <c r="J196" s="103"/>
      <c r="K196" s="157">
        <v>2.95</v>
      </c>
      <c r="L196" s="103" t="s">
        <v>1910</v>
      </c>
      <c r="M196" s="106"/>
      <c r="N196" s="157">
        <f>MouserListTable1218[[#This Row],['# Initial]]*MouserListTable1218[[#This Row],[Price (USD)]]</f>
        <v>0</v>
      </c>
      <c r="O196" s="106" t="s">
        <v>1807</v>
      </c>
      <c r="P196" s="103">
        <f t="shared" si="2"/>
        <v>178</v>
      </c>
      <c r="Q196" s="103" t="s">
        <v>8</v>
      </c>
      <c r="R19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474-SPX-14324</v>
      </c>
      <c r="S196" s="121">
        <v>0</v>
      </c>
      <c r="T196" s="121">
        <v>1</v>
      </c>
      <c r="U196" s="121">
        <v>0</v>
      </c>
      <c r="V196" s="121">
        <f>MouserListTable1218[[#This Row],['#/Unit]]*FilterSpecs!$C$3+MouserListTable1218[[#This Row],[Extra]]</f>
        <v>1</v>
      </c>
      <c r="W196" s="121">
        <f>IF(MouserListTable1218[[#This Row],[Tag]]=FilterSpecs!$F$7,MouserListTable1218[[#This Row],[Price (USD)]],0)</f>
        <v>0</v>
      </c>
      <c r="X196" s="121">
        <f>MouserListTable1218[[#This Row],[Tot '#]]*MouserListTable1218[[#This Row],[Price (USD)]]</f>
        <v>2.95</v>
      </c>
    </row>
    <row r="197" spans="1:24" s="144" customFormat="1" x14ac:dyDescent="0.3">
      <c r="A197" s="103" t="s">
        <v>895</v>
      </c>
      <c r="B197" s="103" t="s">
        <v>1607</v>
      </c>
      <c r="C197" s="103" t="s">
        <v>8</v>
      </c>
      <c r="D197" s="106" t="str">
        <f>IF(MouserListTable1218[[#This Row],[Vendor]]=FilterSpecs!$A$8,MouserListTable1218[[#This Row],[Mouser SKU]], MouserListTable1218[[#This Row],[Supplier SKU]])</f>
        <v>DEV-11723</v>
      </c>
      <c r="E197" s="121">
        <f>MouserListTable1218[[#This Row],[Tot '#]]-MouserListTable1218[[#This Row],['# Initial]]</f>
        <v>1</v>
      </c>
      <c r="F197" s="121">
        <f>MouserListTable1218[[#This Row],['#/Unit]]*FilterSpecs!$B$3+MouserListTable1218[[#This Row],[Extra Initial]]</f>
        <v>0</v>
      </c>
      <c r="G197" s="103" t="s">
        <v>1109</v>
      </c>
      <c r="H197" s="103" t="s">
        <v>1110</v>
      </c>
      <c r="I197" s="103" t="s">
        <v>1111</v>
      </c>
      <c r="J197" s="103"/>
      <c r="K197" s="157">
        <v>24.95</v>
      </c>
      <c r="L197" s="103" t="s">
        <v>1910</v>
      </c>
      <c r="M197" s="106"/>
      <c r="N197" s="157">
        <f>MouserListTable1218[[#This Row],['# Initial]]*MouserListTable1218[[#This Row],[Price (USD)]]</f>
        <v>0</v>
      </c>
      <c r="O197" s="106" t="s">
        <v>1108</v>
      </c>
      <c r="P197" s="103">
        <f t="shared" si="2"/>
        <v>179</v>
      </c>
      <c r="Q197" s="103" t="s">
        <v>8</v>
      </c>
      <c r="R19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474-DEV-11723</v>
      </c>
      <c r="S197" s="121">
        <v>0</v>
      </c>
      <c r="T197" s="121">
        <v>1</v>
      </c>
      <c r="U197" s="121">
        <v>0</v>
      </c>
      <c r="V197" s="121">
        <f>MouserListTable1218[[#This Row],['#/Unit]]*FilterSpecs!$C$3+MouserListTable1218[[#This Row],[Extra]]</f>
        <v>1</v>
      </c>
      <c r="W197" s="121">
        <f>IF(MouserListTable1218[[#This Row],[Tag]]=FilterSpecs!$F$7,MouserListTable1218[[#This Row],[Price (USD)]],0)</f>
        <v>0</v>
      </c>
      <c r="X197" s="121">
        <f>MouserListTable1218[[#This Row],[Tot '#]]*MouserListTable1218[[#This Row],[Price (USD)]]</f>
        <v>24.95</v>
      </c>
    </row>
    <row r="198" spans="1:24" s="144" customFormat="1" x14ac:dyDescent="0.3">
      <c r="A198" s="103" t="s">
        <v>895</v>
      </c>
      <c r="B198" s="103" t="s">
        <v>1607</v>
      </c>
      <c r="C198" s="103" t="s">
        <v>8</v>
      </c>
      <c r="D198" s="106" t="str">
        <f>IF(MouserListTable1218[[#This Row],[Vendor]]=FilterSpecs!$A$8,MouserListTable1218[[#This Row],[Mouser SKU]], MouserListTable1218[[#This Row],[Supplier SKU]])</f>
        <v>BOB-09056</v>
      </c>
      <c r="E198" s="121">
        <f>MouserListTable1218[[#This Row],[Tot '#]]-MouserListTable1218[[#This Row],['# Initial]]</f>
        <v>1</v>
      </c>
      <c r="F198" s="121">
        <f>MouserListTable1218[[#This Row],['#/Unit]]*FilterSpecs!$B$3+MouserListTable1218[[#This Row],[Extra Initial]]</f>
        <v>5</v>
      </c>
      <c r="G198" s="103" t="s">
        <v>494</v>
      </c>
      <c r="H198" s="103" t="s">
        <v>495</v>
      </c>
      <c r="I198" s="103" t="s">
        <v>218</v>
      </c>
      <c r="J198" s="103">
        <v>1</v>
      </c>
      <c r="K198" s="157">
        <v>4.95</v>
      </c>
      <c r="L198" s="103" t="s">
        <v>1911</v>
      </c>
      <c r="M198" s="103"/>
      <c r="N198" s="157">
        <f>MouserListTable1218[[#This Row],['# Initial]]*MouserListTable1218[[#This Row],[Price (USD)]]</f>
        <v>24.75</v>
      </c>
      <c r="O198" s="106" t="s">
        <v>493</v>
      </c>
      <c r="P198" s="103">
        <f t="shared" si="2"/>
        <v>180</v>
      </c>
      <c r="Q198" s="103" t="s">
        <v>8</v>
      </c>
      <c r="R19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474-BOB-09056</v>
      </c>
      <c r="S198" s="121">
        <v>1</v>
      </c>
      <c r="T198" s="121">
        <v>1</v>
      </c>
      <c r="U198" s="121">
        <v>0</v>
      </c>
      <c r="V198" s="121">
        <f>MouserListTable1218[[#This Row],['#/Unit]]*FilterSpecs!$C$3+MouserListTable1218[[#This Row],[Extra]]</f>
        <v>6</v>
      </c>
      <c r="W198" s="121">
        <f>IF(MouserListTable1218[[#This Row],[Tag]]=FilterSpecs!$F$7,MouserListTable1218[[#This Row],[Price (USD)]],0)</f>
        <v>4.95</v>
      </c>
      <c r="X198" s="121">
        <f>MouserListTable1218[[#This Row],[Tot '#]]*MouserListTable1218[[#This Row],[Price (USD)]]</f>
        <v>29.700000000000003</v>
      </c>
    </row>
    <row r="199" spans="1:24" s="144" customFormat="1" x14ac:dyDescent="0.3">
      <c r="A199" s="103" t="s">
        <v>895</v>
      </c>
      <c r="B199" s="103" t="s">
        <v>1607</v>
      </c>
      <c r="C199" s="103" t="s">
        <v>1898</v>
      </c>
      <c r="D199" s="106" t="str">
        <f>IF(MouserListTable1218[[#This Row],[Vendor]]=FilterSpecs!$A$8,MouserListTable1218[[#This Row],[Mouser SKU]], MouserListTable1218[[#This Row],[Supplier SKU]])</f>
        <v>2717</v>
      </c>
      <c r="E199" s="121">
        <f>MouserListTable1218[[#This Row],[Tot '#]]-MouserListTable1218[[#This Row],['# Initial]]</f>
        <v>0</v>
      </c>
      <c r="F199" s="121">
        <f>MouserListTable1218[[#This Row],['#/Unit]]*FilterSpecs!$B$3+MouserListTable1218[[#This Row],[Extra Initial]]</f>
        <v>0</v>
      </c>
      <c r="G199" s="103"/>
      <c r="H199" s="103"/>
      <c r="I199" s="126" t="s">
        <v>2365</v>
      </c>
      <c r="J199" s="146"/>
      <c r="K199" s="158">
        <v>6.95</v>
      </c>
      <c r="L199" s="126" t="s">
        <v>1910</v>
      </c>
      <c r="M199" s="146"/>
      <c r="N199" s="157">
        <f>MouserListTable1218[[#This Row],['# Initial]]*MouserListTable1218[[#This Row],[Price (USD)]]</f>
        <v>0</v>
      </c>
      <c r="O199" s="106" t="s">
        <v>2364</v>
      </c>
      <c r="P199" s="103">
        <f t="shared" si="2"/>
        <v>181</v>
      </c>
      <c r="Q199" s="103" t="s">
        <v>1898</v>
      </c>
      <c r="R19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485-2717</v>
      </c>
      <c r="S199" s="121">
        <v>0</v>
      </c>
      <c r="T199" s="121">
        <v>0</v>
      </c>
      <c r="U199" s="121">
        <v>0</v>
      </c>
      <c r="V199" s="121">
        <f>MouserListTable1218[[#This Row],['#/Unit]]*FilterSpecs!$C$3+MouserListTable1218[[#This Row],[Extra]]</f>
        <v>0</v>
      </c>
      <c r="W199" s="121">
        <f>IF(MouserListTable1218[[#This Row],[Tag]]=FilterSpecs!$F$7,MouserListTable1218[[#This Row],[Price (USD)]],0)</f>
        <v>0</v>
      </c>
      <c r="X199" s="121">
        <f>MouserListTable1218[[#This Row],[Tot '#]]*MouserListTable1218[[#This Row],[Price (USD)]]</f>
        <v>0</v>
      </c>
    </row>
    <row r="200" spans="1:24" s="144" customFormat="1" x14ac:dyDescent="0.3">
      <c r="A200" s="103" t="s">
        <v>895</v>
      </c>
      <c r="B200" s="103" t="s">
        <v>1607</v>
      </c>
      <c r="C200" s="103" t="s">
        <v>8</v>
      </c>
      <c r="D200" s="106" t="str">
        <f>IF(MouserListTable1218[[#This Row],[Vendor]]=FilterSpecs!$A$8,MouserListTable1218[[#This Row],[Mouser SKU]], MouserListTable1218[[#This Row],[Supplier SKU]])</f>
        <v>BOB-09118</v>
      </c>
      <c r="E200" s="121">
        <f>MouserListTable1218[[#This Row],[Tot '#]]-MouserListTable1218[[#This Row],['# Initial]]</f>
        <v>3</v>
      </c>
      <c r="F200" s="121">
        <f>MouserListTable1218[[#This Row],['#/Unit]]*FilterSpecs!$B$3+MouserListTable1218[[#This Row],[Extra Initial]]</f>
        <v>5</v>
      </c>
      <c r="G200" s="103" t="s">
        <v>497</v>
      </c>
      <c r="H200" s="103" t="s">
        <v>498</v>
      </c>
      <c r="I200" s="103" t="s">
        <v>214</v>
      </c>
      <c r="J200" s="103">
        <v>1</v>
      </c>
      <c r="K200" s="157">
        <v>4.95</v>
      </c>
      <c r="L200" s="103" t="s">
        <v>1911</v>
      </c>
      <c r="M200" s="103"/>
      <c r="N200" s="157">
        <f>MouserListTable1218[[#This Row],['# Initial]]*MouserListTable1218[[#This Row],[Price (USD)]]</f>
        <v>24.75</v>
      </c>
      <c r="O200" s="106" t="s">
        <v>496</v>
      </c>
      <c r="P200" s="103">
        <f t="shared" si="2"/>
        <v>182</v>
      </c>
      <c r="Q200" s="103" t="s">
        <v>8</v>
      </c>
      <c r="R20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474-BOB-09118</v>
      </c>
      <c r="S200" s="121">
        <v>1</v>
      </c>
      <c r="T200" s="121">
        <v>3</v>
      </c>
      <c r="U200" s="121">
        <v>0</v>
      </c>
      <c r="V200" s="121">
        <f>MouserListTable1218[[#This Row],['#/Unit]]*FilterSpecs!$C$3+MouserListTable1218[[#This Row],[Extra]]</f>
        <v>8</v>
      </c>
      <c r="W200" s="121">
        <f>IF(MouserListTable1218[[#This Row],[Tag]]=FilterSpecs!$F$7,MouserListTable1218[[#This Row],[Price (USD)]],0)</f>
        <v>4.95</v>
      </c>
      <c r="X200" s="121">
        <f>MouserListTable1218[[#This Row],[Tot '#]]*MouserListTable1218[[#This Row],[Price (USD)]]</f>
        <v>39.6</v>
      </c>
    </row>
    <row r="201" spans="1:24" s="144" customFormat="1" x14ac:dyDescent="0.3">
      <c r="A201" s="103" t="s">
        <v>895</v>
      </c>
      <c r="B201" s="103" t="s">
        <v>1607</v>
      </c>
      <c r="C201" s="103" t="s">
        <v>1898</v>
      </c>
      <c r="D201" s="106" t="str">
        <f>IF(MouserListTable1218[[#This Row],[Vendor]]=FilterSpecs!$A$8,MouserListTable1218[[#This Row],[Mouser SKU]], MouserListTable1218[[#This Row],[Supplier SKU]])</f>
        <v>1085</v>
      </c>
      <c r="E201" s="121">
        <f>MouserListTable1218[[#This Row],[Tot '#]]-MouserListTable1218[[#This Row],['# Initial]]</f>
        <v>0</v>
      </c>
      <c r="F201" s="121">
        <f>MouserListTable1218[[#This Row],['#/Unit]]*FilterSpecs!$B$3+MouserListTable1218[[#This Row],[Extra Initial]]</f>
        <v>0</v>
      </c>
      <c r="G201" s="103"/>
      <c r="H201" s="103"/>
      <c r="I201" s="126" t="s">
        <v>2361</v>
      </c>
      <c r="J201" s="146"/>
      <c r="K201" s="158">
        <v>14.95</v>
      </c>
      <c r="L201" s="126" t="s">
        <v>1910</v>
      </c>
      <c r="M201" s="146"/>
      <c r="N201" s="157">
        <f>MouserListTable1218[[#This Row],['# Initial]]*MouserListTable1218[[#This Row],[Price (USD)]]</f>
        <v>0</v>
      </c>
      <c r="O201" s="106" t="s">
        <v>2360</v>
      </c>
      <c r="P201" s="103">
        <f t="shared" si="2"/>
        <v>183</v>
      </c>
      <c r="Q201" s="103" t="s">
        <v>1898</v>
      </c>
      <c r="R20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485-1085</v>
      </c>
      <c r="S201" s="121">
        <v>0</v>
      </c>
      <c r="T201" s="121">
        <v>0</v>
      </c>
      <c r="U201" s="121">
        <v>0</v>
      </c>
      <c r="V201" s="121">
        <f>MouserListTable1218[[#This Row],['#/Unit]]*FilterSpecs!$C$3+MouserListTable1218[[#This Row],[Extra]]</f>
        <v>0</v>
      </c>
      <c r="W201" s="121">
        <f>IF(MouserListTable1218[[#This Row],[Tag]]=FilterSpecs!$F$7,MouserListTable1218[[#This Row],[Price (USD)]],0)</f>
        <v>0</v>
      </c>
      <c r="X201" s="121">
        <f>MouserListTable1218[[#This Row],[Tot '#]]*MouserListTable1218[[#This Row],[Price (USD)]]</f>
        <v>0</v>
      </c>
    </row>
    <row r="202" spans="1:24" s="144" customFormat="1" x14ac:dyDescent="0.3">
      <c r="A202" s="103" t="s">
        <v>895</v>
      </c>
      <c r="B202" s="103" t="s">
        <v>1607</v>
      </c>
      <c r="C202" s="103" t="s">
        <v>1898</v>
      </c>
      <c r="D202" s="106" t="str">
        <f>IF(MouserListTable1218[[#This Row],[Vendor]]=FilterSpecs!$A$8,MouserListTable1218[[#This Row],[Mouser SKU]], MouserListTable1218[[#This Row],[Supplier SKU]])</f>
        <v>856</v>
      </c>
      <c r="E202" s="121">
        <f>MouserListTable1218[[#This Row],[Tot '#]]-MouserListTable1218[[#This Row],['# Initial]]</f>
        <v>0</v>
      </c>
      <c r="F202" s="121">
        <f>MouserListTable1218[[#This Row],['#/Unit]]*FilterSpecs!$B$3+MouserListTable1218[[#This Row],[Extra Initial]]</f>
        <v>0</v>
      </c>
      <c r="G202" s="103"/>
      <c r="H202" s="103"/>
      <c r="I202" s="126" t="s">
        <v>2363</v>
      </c>
      <c r="J202" s="146"/>
      <c r="K202" s="158">
        <v>3.75</v>
      </c>
      <c r="L202" s="126" t="s">
        <v>1910</v>
      </c>
      <c r="M202" s="146"/>
      <c r="N202" s="157">
        <f>MouserListTable1218[[#This Row],['# Initial]]*MouserListTable1218[[#This Row],[Price (USD)]]</f>
        <v>0</v>
      </c>
      <c r="O202" s="106" t="s">
        <v>2362</v>
      </c>
      <c r="P202" s="103">
        <f t="shared" si="2"/>
        <v>184</v>
      </c>
      <c r="Q202" s="103" t="s">
        <v>1898</v>
      </c>
      <c r="R20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485-856</v>
      </c>
      <c r="S202" s="121">
        <v>0</v>
      </c>
      <c r="T202" s="121">
        <v>0</v>
      </c>
      <c r="U202" s="121">
        <v>0</v>
      </c>
      <c r="V202" s="121">
        <f>MouserListTable1218[[#This Row],['#/Unit]]*FilterSpecs!$C$3+MouserListTable1218[[#This Row],[Extra]]</f>
        <v>0</v>
      </c>
      <c r="W202" s="121">
        <f>IF(MouserListTable1218[[#This Row],[Tag]]=FilterSpecs!$F$7,MouserListTable1218[[#This Row],[Price (USD)]],0)</f>
        <v>0</v>
      </c>
      <c r="X202" s="121">
        <f>MouserListTable1218[[#This Row],[Tot '#]]*MouserListTable1218[[#This Row],[Price (USD)]]</f>
        <v>0</v>
      </c>
    </row>
    <row r="203" spans="1:24" s="144" customFormat="1" x14ac:dyDescent="0.3">
      <c r="A203" s="126" t="s">
        <v>895</v>
      </c>
      <c r="B203" s="126" t="s">
        <v>2041</v>
      </c>
      <c r="C203" s="126" t="s">
        <v>8</v>
      </c>
      <c r="D203" s="106" t="str">
        <f>IF(MouserListTable1218[[#This Row],[Vendor]]=FilterSpecs!$A$8,MouserListTable1218[[#This Row],[Mouser SKU]], MouserListTable1218[[#This Row],[Supplier SKU]])</f>
        <v>CAB-11604</v>
      </c>
      <c r="E203" s="121">
        <f>MouserListTable1218[[#This Row],[Tot '#]]-MouserListTable1218[[#This Row],['# Initial]]</f>
        <v>0</v>
      </c>
      <c r="F203" s="121">
        <f>MouserListTable1218[[#This Row],['#/Unit]]*FilterSpecs!$B$3+MouserListTable1218[[#This Row],[Extra Initial]]</f>
        <v>0</v>
      </c>
      <c r="G203" s="103" t="s">
        <v>1504</v>
      </c>
      <c r="H203" s="103" t="s">
        <v>1505</v>
      </c>
      <c r="I203" s="103" t="s">
        <v>1506</v>
      </c>
      <c r="J203" s="103">
        <v>1</v>
      </c>
      <c r="K203" s="157">
        <v>2.95</v>
      </c>
      <c r="L203" s="103" t="s">
        <v>1910</v>
      </c>
      <c r="M203" s="146"/>
      <c r="N203" s="157">
        <f>MouserListTable1218[[#This Row],['# Initial]]*MouserListTable1218[[#This Row],[Price (USD)]]</f>
        <v>0</v>
      </c>
      <c r="O203" s="106" t="s">
        <v>1503</v>
      </c>
      <c r="P203" s="103">
        <f t="shared" si="2"/>
        <v>185</v>
      </c>
      <c r="Q203" s="103" t="s">
        <v>8</v>
      </c>
      <c r="R20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474-CAB-11604</v>
      </c>
      <c r="S203" s="121">
        <v>0</v>
      </c>
      <c r="T203" s="121">
        <v>0</v>
      </c>
      <c r="U203" s="121">
        <v>0</v>
      </c>
      <c r="V203" s="121">
        <f>MouserListTable1218[[#This Row],['#/Unit]]*FilterSpecs!$C$3+MouserListTable1218[[#This Row],[Extra]]</f>
        <v>0</v>
      </c>
      <c r="W203" s="121">
        <f>IF(MouserListTable1218[[#This Row],[Tag]]=FilterSpecs!$F$7,MouserListTable1218[[#This Row],[Price (USD)]],0)</f>
        <v>0</v>
      </c>
      <c r="X203" s="121">
        <f>MouserListTable1218[[#This Row],[Tot '#]]*MouserListTable1218[[#This Row],[Price (USD)]]</f>
        <v>0</v>
      </c>
    </row>
    <row r="204" spans="1:24" s="144" customFormat="1" x14ac:dyDescent="0.3">
      <c r="A204" s="126" t="s">
        <v>895</v>
      </c>
      <c r="B204" s="126" t="s">
        <v>2041</v>
      </c>
      <c r="C204" s="126" t="s">
        <v>8</v>
      </c>
      <c r="D204" s="106" t="str">
        <f>IF(MouserListTable1218[[#This Row],[Vendor]]=FilterSpecs!$A$8,MouserListTable1218[[#This Row],[Mouser SKU]], MouserListTable1218[[#This Row],[Supplier SKU]])</f>
        <v>CAB-14276</v>
      </c>
      <c r="E204" s="121">
        <f>MouserListTable1218[[#This Row],[Tot '#]]-MouserListTable1218[[#This Row],['# Initial]]</f>
        <v>0</v>
      </c>
      <c r="F204" s="121">
        <f>MouserListTable1218[[#This Row],['#/Unit]]*FilterSpecs!$B$3+MouserListTable1218[[#This Row],[Extra Initial]]</f>
        <v>0</v>
      </c>
      <c r="G204" s="103" t="s">
        <v>1516</v>
      </c>
      <c r="H204" s="103" t="s">
        <v>1517</v>
      </c>
      <c r="I204" s="103" t="s">
        <v>1518</v>
      </c>
      <c r="J204" s="103"/>
      <c r="K204" s="157">
        <v>2.95</v>
      </c>
      <c r="L204" s="103" t="s">
        <v>1910</v>
      </c>
      <c r="M204" s="146"/>
      <c r="N204" s="157">
        <f>MouserListTable1218[[#This Row],['# Initial]]*MouserListTable1218[[#This Row],[Price (USD)]]</f>
        <v>0</v>
      </c>
      <c r="O204" s="106" t="s">
        <v>1515</v>
      </c>
      <c r="P204" s="103">
        <f t="shared" si="2"/>
        <v>186</v>
      </c>
      <c r="Q204" s="103" t="s">
        <v>8</v>
      </c>
      <c r="R20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474-CAB-14276</v>
      </c>
      <c r="S204" s="121">
        <v>0</v>
      </c>
      <c r="T204" s="121">
        <v>0</v>
      </c>
      <c r="U204" s="121">
        <v>0</v>
      </c>
      <c r="V204" s="121">
        <f>MouserListTable1218[[#This Row],['#/Unit]]*FilterSpecs!$C$3+MouserListTable1218[[#This Row],[Extra]]</f>
        <v>0</v>
      </c>
      <c r="W204" s="121">
        <f>IF(MouserListTable1218[[#This Row],[Tag]]=FilterSpecs!$F$7,MouserListTable1218[[#This Row],[Price (USD)]],0)</f>
        <v>0</v>
      </c>
      <c r="X204" s="121">
        <f>MouserListTable1218[[#This Row],[Tot '#]]*MouserListTable1218[[#This Row],[Price (USD)]]</f>
        <v>0</v>
      </c>
    </row>
    <row r="205" spans="1:24" s="144" customFormat="1" x14ac:dyDescent="0.3">
      <c r="A205" s="126" t="s">
        <v>895</v>
      </c>
      <c r="B205" s="126" t="s">
        <v>2041</v>
      </c>
      <c r="C205" s="126" t="s">
        <v>1898</v>
      </c>
      <c r="D205" s="106" t="str">
        <f>IF(MouserListTable1218[[#This Row],[Vendor]]=FilterSpecs!$A$8,MouserListTable1218[[#This Row],[Mouser SKU]], MouserListTable1218[[#This Row],[Supplier SKU]])</f>
        <v>1099</v>
      </c>
      <c r="E205" s="121">
        <f>MouserListTable1218[[#This Row],[Tot '#]]-MouserListTable1218[[#This Row],['# Initial]]</f>
        <v>0</v>
      </c>
      <c r="F205" s="121">
        <f>MouserListTable1218[[#This Row],['#/Unit]]*FilterSpecs!$B$3+MouserListTable1218[[#This Row],[Extra Initial]]</f>
        <v>0</v>
      </c>
      <c r="G205" s="103"/>
      <c r="H205" s="103"/>
      <c r="I205" s="103" t="s">
        <v>2371</v>
      </c>
      <c r="J205" s="103"/>
      <c r="K205" s="157">
        <v>2.5</v>
      </c>
      <c r="L205" s="103" t="s">
        <v>1910</v>
      </c>
      <c r="M205" s="146"/>
      <c r="N205" s="157">
        <f>MouserListTable1218[[#This Row],['# Initial]]*MouserListTable1218[[#This Row],[Price (USD)]]</f>
        <v>0</v>
      </c>
      <c r="O205" s="106" t="s">
        <v>2370</v>
      </c>
      <c r="P205" s="103">
        <f t="shared" si="2"/>
        <v>187</v>
      </c>
      <c r="Q205" s="103" t="s">
        <v>1898</v>
      </c>
      <c r="R20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485-1099</v>
      </c>
      <c r="S205" s="121">
        <v>0</v>
      </c>
      <c r="T205" s="121">
        <v>0</v>
      </c>
      <c r="U205" s="121">
        <v>0</v>
      </c>
      <c r="V205" s="121">
        <f>MouserListTable1218[[#This Row],['#/Unit]]*FilterSpecs!$C$3+MouserListTable1218[[#This Row],[Extra]]</f>
        <v>0</v>
      </c>
      <c r="W205" s="121">
        <f>IF(MouserListTable1218[[#This Row],[Tag]]=FilterSpecs!$F$7,MouserListTable1218[[#This Row],[Price (USD)]],0)</f>
        <v>0</v>
      </c>
      <c r="X205" s="121">
        <f>MouserListTable1218[[#This Row],[Tot '#]]*MouserListTable1218[[#This Row],[Price (USD)]]</f>
        <v>0</v>
      </c>
    </row>
    <row r="206" spans="1:24" s="144" customFormat="1" x14ac:dyDescent="0.3">
      <c r="A206" s="103" t="s">
        <v>895</v>
      </c>
      <c r="B206" s="103" t="s">
        <v>2041</v>
      </c>
      <c r="C206" s="103" t="s">
        <v>1898</v>
      </c>
      <c r="D206" s="106" t="str">
        <f>IF(MouserListTable1218[[#This Row],[Vendor]]=FilterSpecs!$A$8,MouserListTable1218[[#This Row],[Mouser SKU]], MouserListTable1218[[#This Row],[Supplier SKU]])</f>
        <v>2910</v>
      </c>
      <c r="E206" s="121">
        <f>MouserListTable1218[[#This Row],[Tot '#]]-MouserListTable1218[[#This Row],['# Initial]]</f>
        <v>0</v>
      </c>
      <c r="F206" s="121">
        <f>MouserListTable1218[[#This Row],['#/Unit]]*FilterSpecs!$B$3+MouserListTable1218[[#This Row],[Extra Initial]]</f>
        <v>5</v>
      </c>
      <c r="G206" s="103"/>
      <c r="H206" s="103"/>
      <c r="I206" s="103" t="s">
        <v>2367</v>
      </c>
      <c r="J206" s="103"/>
      <c r="K206" s="157">
        <v>2.95</v>
      </c>
      <c r="L206" s="103" t="s">
        <v>1911</v>
      </c>
      <c r="M206" s="106"/>
      <c r="N206" s="157">
        <f>MouserListTable1218[[#This Row],['# Initial]]*MouserListTable1218[[#This Row],[Price (USD)]]</f>
        <v>14.75</v>
      </c>
      <c r="O206" s="106" t="s">
        <v>2366</v>
      </c>
      <c r="P206" s="103">
        <f t="shared" ref="P206:P269" si="4">IF($P205="List #",1,$P205+1)</f>
        <v>188</v>
      </c>
      <c r="Q206" s="103" t="s">
        <v>1898</v>
      </c>
      <c r="R20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485-2910</v>
      </c>
      <c r="S206" s="121">
        <v>1</v>
      </c>
      <c r="T206" s="121">
        <v>0</v>
      </c>
      <c r="U206" s="121">
        <v>0</v>
      </c>
      <c r="V206" s="121">
        <f>MouserListTable1218[[#This Row],['#/Unit]]*FilterSpecs!$C$3+MouserListTable1218[[#This Row],[Extra]]</f>
        <v>5</v>
      </c>
      <c r="W206" s="121">
        <f>IF(MouserListTable1218[[#This Row],[Tag]]=FilterSpecs!$F$7,MouserListTable1218[[#This Row],[Price (USD)]],0)</f>
        <v>2.95</v>
      </c>
      <c r="X206" s="121">
        <f>MouserListTable1218[[#This Row],[Tot '#]]*MouserListTable1218[[#This Row],[Price (USD)]]</f>
        <v>14.75</v>
      </c>
    </row>
    <row r="207" spans="1:24" s="144" customFormat="1" x14ac:dyDescent="0.3">
      <c r="A207" s="103" t="s">
        <v>895</v>
      </c>
      <c r="B207" s="103" t="s">
        <v>2041</v>
      </c>
      <c r="C207" s="103" t="s">
        <v>8</v>
      </c>
      <c r="D207" s="106" t="str">
        <f>IF(MouserListTable1218[[#This Row],[Vendor]]=FilterSpecs!$A$8,MouserListTable1218[[#This Row],[Mouser SKU]], MouserListTable1218[[#This Row],[Supplier SKU]])</f>
        <v>CAB-12977</v>
      </c>
      <c r="E207" s="121">
        <f>MouserListTable1218[[#This Row],[Tot '#]]-MouserListTable1218[[#This Row],['# Initial]]</f>
        <v>1</v>
      </c>
      <c r="F207" s="121">
        <f>MouserListTable1218[[#This Row],['#/Unit]]*FilterSpecs!$B$3+MouserListTable1218[[#This Row],[Extra Initial]]</f>
        <v>0</v>
      </c>
      <c r="G207" s="103" t="s">
        <v>245</v>
      </c>
      <c r="H207" s="103" t="s">
        <v>246</v>
      </c>
      <c r="I207" s="103" t="s">
        <v>247</v>
      </c>
      <c r="J207" s="103"/>
      <c r="K207" s="157">
        <v>9.9499999999999993</v>
      </c>
      <c r="L207" s="103" t="s">
        <v>1910</v>
      </c>
      <c r="M207" s="103"/>
      <c r="N207" s="157">
        <f>MouserListTable1218[[#This Row],['# Initial]]*MouserListTable1218[[#This Row],[Price (USD)]]</f>
        <v>0</v>
      </c>
      <c r="O207" s="106" t="s">
        <v>244</v>
      </c>
      <c r="P207" s="103">
        <f t="shared" si="4"/>
        <v>189</v>
      </c>
      <c r="Q207" s="103" t="s">
        <v>8</v>
      </c>
      <c r="R20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474-CAB-12977</v>
      </c>
      <c r="S207" s="121">
        <v>0</v>
      </c>
      <c r="T207" s="121">
        <v>1</v>
      </c>
      <c r="U207" s="121">
        <v>0</v>
      </c>
      <c r="V207" s="121">
        <f>MouserListTable1218[[#This Row],['#/Unit]]*FilterSpecs!$C$3+MouserListTable1218[[#This Row],[Extra]]</f>
        <v>1</v>
      </c>
      <c r="W207" s="121">
        <f>IF(MouserListTable1218[[#This Row],[Tag]]=FilterSpecs!$F$7,MouserListTable1218[[#This Row],[Price (USD)]],0)</f>
        <v>0</v>
      </c>
      <c r="X207" s="121">
        <f>MouserListTable1218[[#This Row],[Tot '#]]*MouserListTable1218[[#This Row],[Price (USD)]]</f>
        <v>9.9499999999999993</v>
      </c>
    </row>
    <row r="208" spans="1:24" s="144" customFormat="1" x14ac:dyDescent="0.3">
      <c r="A208" s="103" t="s">
        <v>895</v>
      </c>
      <c r="B208" s="103" t="s">
        <v>2041</v>
      </c>
      <c r="C208" s="103" t="s">
        <v>1898</v>
      </c>
      <c r="D208" s="106" t="str">
        <f>IF(MouserListTable1218[[#This Row],[Vendor]]=FilterSpecs!$A$8,MouserListTable1218[[#This Row],[Mouser SKU]], MouserListTable1218[[#This Row],[Supplier SKU]])</f>
        <v>1620</v>
      </c>
      <c r="E208" s="121">
        <f>MouserListTable1218[[#This Row],[Tot '#]]-MouserListTable1218[[#This Row],['# Initial]]</f>
        <v>0</v>
      </c>
      <c r="F208" s="121">
        <f>MouserListTable1218[[#This Row],['#/Unit]]*FilterSpecs!$B$3+MouserListTable1218[[#This Row],[Extra Initial]]</f>
        <v>0</v>
      </c>
      <c r="G208" s="103"/>
      <c r="H208" s="103"/>
      <c r="I208" s="126" t="s">
        <v>2369</v>
      </c>
      <c r="J208" s="146"/>
      <c r="K208" s="158">
        <v>2.95</v>
      </c>
      <c r="L208" s="126" t="s">
        <v>1910</v>
      </c>
      <c r="M208" s="146"/>
      <c r="N208" s="157">
        <f>MouserListTable1218[[#This Row],['# Initial]]*MouserListTable1218[[#This Row],[Price (USD)]]</f>
        <v>0</v>
      </c>
      <c r="O208" s="106" t="s">
        <v>2368</v>
      </c>
      <c r="P208" s="103">
        <f t="shared" si="4"/>
        <v>190</v>
      </c>
      <c r="Q208" s="103" t="s">
        <v>1898</v>
      </c>
      <c r="R20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485-1620</v>
      </c>
      <c r="S208" s="121">
        <v>0</v>
      </c>
      <c r="T208" s="121">
        <v>0</v>
      </c>
      <c r="U208" s="121">
        <v>0</v>
      </c>
      <c r="V208" s="121">
        <f>MouserListTable1218[[#This Row],['#/Unit]]*FilterSpecs!$C$3+MouserListTable1218[[#This Row],[Extra]]</f>
        <v>0</v>
      </c>
      <c r="W208" s="121">
        <f>IF(MouserListTable1218[[#This Row],[Tag]]=FilterSpecs!$F$7,MouserListTable1218[[#This Row],[Price (USD)]],0)</f>
        <v>0</v>
      </c>
      <c r="X208" s="121">
        <f>MouserListTable1218[[#This Row],[Tot '#]]*MouserListTable1218[[#This Row],[Price (USD)]]</f>
        <v>0</v>
      </c>
    </row>
    <row r="209" spans="1:24" s="146" customFormat="1" x14ac:dyDescent="0.3">
      <c r="A209" s="103" t="s">
        <v>895</v>
      </c>
      <c r="B209" s="103" t="s">
        <v>2041</v>
      </c>
      <c r="C209" s="103" t="s">
        <v>8</v>
      </c>
      <c r="D209" s="106" t="str">
        <f>IF(MouserListTable1218[[#This Row],[Vendor]]=FilterSpecs!$A$8,MouserListTable1218[[#This Row],[Mouser SKU]], MouserListTable1218[[#This Row],[Supplier SKU]])</f>
        <v>CAB-12016</v>
      </c>
      <c r="E209" s="121">
        <f>MouserListTable1218[[#This Row],[Tot '#]]-MouserListTable1218[[#This Row],['# Initial]]</f>
        <v>0</v>
      </c>
      <c r="F209" s="121">
        <f>MouserListTable1218[[#This Row],['#/Unit]]*FilterSpecs!$B$3+MouserListTable1218[[#This Row],[Extra Initial]]</f>
        <v>1</v>
      </c>
      <c r="G209" s="103" t="s">
        <v>253</v>
      </c>
      <c r="H209" s="103" t="s">
        <v>254</v>
      </c>
      <c r="I209" s="103" t="s">
        <v>255</v>
      </c>
      <c r="K209" s="157">
        <v>6.97</v>
      </c>
      <c r="L209" s="103" t="s">
        <v>1910</v>
      </c>
      <c r="M209" s="106"/>
      <c r="N209" s="157">
        <f>MouserListTable1218[[#This Row],['# Initial]]*MouserListTable1218[[#This Row],[Price (USD)]]</f>
        <v>6.97</v>
      </c>
      <c r="O209" s="106" t="s">
        <v>252</v>
      </c>
      <c r="P209" s="103">
        <f t="shared" si="4"/>
        <v>191</v>
      </c>
      <c r="Q209" s="103" t="s">
        <v>8</v>
      </c>
      <c r="R20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474-CAB-12016</v>
      </c>
      <c r="S209" s="121">
        <v>0</v>
      </c>
      <c r="T209" s="121">
        <v>1</v>
      </c>
      <c r="U209" s="121">
        <v>1</v>
      </c>
      <c r="V209" s="121">
        <f>MouserListTable1218[[#This Row],['#/Unit]]*FilterSpecs!$C$3+MouserListTable1218[[#This Row],[Extra]]</f>
        <v>1</v>
      </c>
      <c r="W209" s="121">
        <f>IF(MouserListTable1218[[#This Row],[Tag]]=FilterSpecs!$F$7,MouserListTable1218[[#This Row],[Price (USD)]],0)</f>
        <v>0</v>
      </c>
      <c r="X209" s="121">
        <f>MouserListTable1218[[#This Row],[Tot '#]]*MouserListTable1218[[#This Row],[Price (USD)]]</f>
        <v>6.97</v>
      </c>
    </row>
    <row r="210" spans="1:24" s="146" customFormat="1" x14ac:dyDescent="0.3">
      <c r="A210" s="103" t="s">
        <v>895</v>
      </c>
      <c r="B210" s="103" t="s">
        <v>1604</v>
      </c>
      <c r="C210" s="103" t="s">
        <v>8</v>
      </c>
      <c r="D210" s="106" t="str">
        <f>IF(MouserListTable1218[[#This Row],[Vendor]]=FilterSpecs!$A$8,MouserListTable1218[[#This Row],[Mouser SKU]], MouserListTable1218[[#This Row],[Supplier SKU]])</f>
        <v>DEV-14050</v>
      </c>
      <c r="E210" s="121">
        <f>MouserListTable1218[[#This Row],[Tot '#]]-MouserListTable1218[[#This Row],['# Initial]]</f>
        <v>0</v>
      </c>
      <c r="F210" s="121">
        <f>MouserListTable1218[[#This Row],['#/Unit]]*FilterSpecs!$B$3+MouserListTable1218[[#This Row],[Extra Initial]]</f>
        <v>5</v>
      </c>
      <c r="G210" s="103" t="s">
        <v>281</v>
      </c>
      <c r="H210" s="103" t="s">
        <v>282</v>
      </c>
      <c r="I210" s="103" t="s">
        <v>224</v>
      </c>
      <c r="J210" s="103"/>
      <c r="K210" s="157">
        <v>6.95</v>
      </c>
      <c r="L210" s="103" t="s">
        <v>1911</v>
      </c>
      <c r="M210" s="103"/>
      <c r="N210" s="157">
        <f>MouserListTable1218[[#This Row],['# Initial]]*MouserListTable1218[[#This Row],[Price (USD)]]</f>
        <v>34.75</v>
      </c>
      <c r="O210" s="106" t="s">
        <v>280</v>
      </c>
      <c r="P210" s="103">
        <f t="shared" si="4"/>
        <v>192</v>
      </c>
      <c r="Q210" s="103" t="s">
        <v>8</v>
      </c>
      <c r="R21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474-DEV-14050</v>
      </c>
      <c r="S210" s="121">
        <v>1</v>
      </c>
      <c r="T210" s="121">
        <v>0</v>
      </c>
      <c r="U210" s="121">
        <v>0</v>
      </c>
      <c r="V210" s="121">
        <f>MouserListTable1218[[#This Row],['#/Unit]]*FilterSpecs!$C$3+MouserListTable1218[[#This Row],[Extra]]</f>
        <v>5</v>
      </c>
      <c r="W210" s="121">
        <f>IF(MouserListTable1218[[#This Row],[Tag]]=FilterSpecs!$F$7,MouserListTable1218[[#This Row],[Price (USD)]],0)</f>
        <v>6.95</v>
      </c>
      <c r="X210" s="121">
        <f>MouserListTable1218[[#This Row],[Tot '#]]*MouserListTable1218[[#This Row],[Price (USD)]]</f>
        <v>34.75</v>
      </c>
    </row>
    <row r="211" spans="1:24" s="146" customFormat="1" x14ac:dyDescent="0.3">
      <c r="A211" s="103" t="s">
        <v>895</v>
      </c>
      <c r="B211" s="103" t="s">
        <v>1604</v>
      </c>
      <c r="C211" s="103" t="s">
        <v>8</v>
      </c>
      <c r="D211" s="106" t="str">
        <f>IF(MouserListTable1218[[#This Row],[Vendor]]=FilterSpecs!$A$8,MouserListTable1218[[#This Row],[Mouser SKU]], MouserListTable1218[[#This Row],[Supplier SKU]])</f>
        <v>BOB-13830</v>
      </c>
      <c r="E211" s="121">
        <f>MouserListTable1218[[#This Row],[Tot '#]]-MouserListTable1218[[#This Row],['# Initial]]</f>
        <v>0</v>
      </c>
      <c r="F211" s="121">
        <f>MouserListTable1218[[#This Row],['#/Unit]]*FilterSpecs!$B$3+MouserListTable1218[[#This Row],[Extra Initial]]</f>
        <v>5</v>
      </c>
      <c r="G211" s="103" t="s">
        <v>284</v>
      </c>
      <c r="H211" s="103" t="s">
        <v>285</v>
      </c>
      <c r="I211" s="103" t="s">
        <v>210</v>
      </c>
      <c r="J211" s="103">
        <v>1</v>
      </c>
      <c r="K211" s="157">
        <v>12.95</v>
      </c>
      <c r="L211" s="103" t="s">
        <v>1911</v>
      </c>
      <c r="M211" s="103"/>
      <c r="N211" s="157">
        <f>MouserListTable1218[[#This Row],['# Initial]]*MouserListTable1218[[#This Row],[Price (USD)]]</f>
        <v>64.75</v>
      </c>
      <c r="O211" s="106" t="s">
        <v>283</v>
      </c>
      <c r="P211" s="103">
        <f t="shared" si="4"/>
        <v>193</v>
      </c>
      <c r="Q211" s="103" t="s">
        <v>8</v>
      </c>
      <c r="R21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474-BOB-13830</v>
      </c>
      <c r="S211" s="121">
        <v>1</v>
      </c>
      <c r="T211" s="121">
        <v>0</v>
      </c>
      <c r="U211" s="121">
        <v>0</v>
      </c>
      <c r="V211" s="121">
        <f>MouserListTable1218[[#This Row],['#/Unit]]*FilterSpecs!$C$3+MouserListTable1218[[#This Row],[Extra]]</f>
        <v>5</v>
      </c>
      <c r="W211" s="121">
        <f>IF(MouserListTable1218[[#This Row],[Tag]]=FilterSpecs!$F$7,MouserListTable1218[[#This Row],[Price (USD)]],0)</f>
        <v>12.95</v>
      </c>
      <c r="X211" s="121">
        <f>MouserListTable1218[[#This Row],[Tot '#]]*MouserListTable1218[[#This Row],[Price (USD)]]</f>
        <v>64.75</v>
      </c>
    </row>
    <row r="212" spans="1:24" s="146" customFormat="1" x14ac:dyDescent="0.3">
      <c r="A212" s="126" t="s">
        <v>895</v>
      </c>
      <c r="B212" s="126" t="s">
        <v>1604</v>
      </c>
      <c r="C212" s="126" t="s">
        <v>8</v>
      </c>
      <c r="D212" s="106" t="str">
        <f>IF(MouserListTable1218[[#This Row],[Vendor]]=FilterSpecs!$A$8,MouserListTable1218[[#This Row],[Mouser SKU]], MouserListTable1218[[#This Row],[Supplier SKU]])</f>
        <v>BOB-12731</v>
      </c>
      <c r="E212" s="121">
        <f>MouserListTable1218[[#This Row],[Tot '#]]-MouserListTable1218[[#This Row],['# Initial]]</f>
        <v>0</v>
      </c>
      <c r="F212" s="121">
        <f>MouserListTable1218[[#This Row],['#/Unit]]*FilterSpecs!$B$3+MouserListTable1218[[#This Row],[Extra Initial]]</f>
        <v>0</v>
      </c>
      <c r="G212" s="103" t="s">
        <v>930</v>
      </c>
      <c r="H212" s="103" t="s">
        <v>931</v>
      </c>
      <c r="I212" s="103" t="s">
        <v>932</v>
      </c>
      <c r="J212" s="103">
        <v>1</v>
      </c>
      <c r="K212" s="157">
        <v>14.95</v>
      </c>
      <c r="L212" s="103" t="s">
        <v>1910</v>
      </c>
      <c r="M212" s="103"/>
      <c r="N212" s="157">
        <f>MouserListTable1218[[#This Row],['# Initial]]*MouserListTable1218[[#This Row],[Price (USD)]]</f>
        <v>0</v>
      </c>
      <c r="O212" s="106" t="s">
        <v>929</v>
      </c>
      <c r="P212" s="103">
        <f t="shared" si="4"/>
        <v>194</v>
      </c>
      <c r="Q212" s="103" t="s">
        <v>8</v>
      </c>
      <c r="R21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474-BOB-12731</v>
      </c>
      <c r="S212" s="121">
        <v>0</v>
      </c>
      <c r="T212" s="121">
        <v>0</v>
      </c>
      <c r="U212" s="121">
        <v>0</v>
      </c>
      <c r="V212" s="121">
        <f>MouserListTable1218[[#This Row],['#/Unit]]*FilterSpecs!$C$3+MouserListTable1218[[#This Row],[Extra]]</f>
        <v>0</v>
      </c>
      <c r="W212" s="121">
        <f>IF(MouserListTable1218[[#This Row],[Tag]]=FilterSpecs!$F$7,MouserListTable1218[[#This Row],[Price (USD)]],0)</f>
        <v>0</v>
      </c>
      <c r="X212" s="121">
        <f>MouserListTable1218[[#This Row],[Tot '#]]*MouserListTable1218[[#This Row],[Price (USD)]]</f>
        <v>0</v>
      </c>
    </row>
    <row r="213" spans="1:24" s="146" customFormat="1" x14ac:dyDescent="0.3">
      <c r="A213" s="103" t="s">
        <v>895</v>
      </c>
      <c r="B213" s="103" t="s">
        <v>1604</v>
      </c>
      <c r="C213" s="103" t="s">
        <v>8</v>
      </c>
      <c r="D213" s="106" t="str">
        <f>IF(MouserListTable1218[[#This Row],[Vendor]]=FilterSpecs!$A$8,MouserListTable1218[[#This Row],[Mouser SKU]], MouserListTable1218[[#This Row],[Supplier SKU]])</f>
        <v>BOB-13263</v>
      </c>
      <c r="E213" s="121">
        <f>MouserListTable1218[[#This Row],[Tot '#]]-MouserListTable1218[[#This Row],['# Initial]]</f>
        <v>0</v>
      </c>
      <c r="F213" s="121">
        <f>MouserListTable1218[[#This Row],['#/Unit]]*FilterSpecs!$B$3+MouserListTable1218[[#This Row],[Extra Initial]]</f>
        <v>1</v>
      </c>
      <c r="G213" s="103" t="s">
        <v>1016</v>
      </c>
      <c r="H213" s="103" t="s">
        <v>1017</v>
      </c>
      <c r="I213" s="103" t="s">
        <v>1018</v>
      </c>
      <c r="J213" s="103">
        <v>1</v>
      </c>
      <c r="K213" s="157">
        <v>11.95</v>
      </c>
      <c r="L213" s="103" t="s">
        <v>1910</v>
      </c>
      <c r="M213" s="103"/>
      <c r="N213" s="157">
        <f>MouserListTable1218[[#This Row],['# Initial]]*MouserListTable1218[[#This Row],[Price (USD)]]</f>
        <v>11.95</v>
      </c>
      <c r="O213" s="106" t="s">
        <v>1015</v>
      </c>
      <c r="P213" s="103">
        <f t="shared" si="4"/>
        <v>195</v>
      </c>
      <c r="Q213" s="103" t="s">
        <v>8</v>
      </c>
      <c r="R21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474-BOB-13263</v>
      </c>
      <c r="S213" s="121">
        <v>0</v>
      </c>
      <c r="T213" s="121">
        <v>1</v>
      </c>
      <c r="U213" s="121">
        <v>1</v>
      </c>
      <c r="V213" s="121">
        <f>MouserListTable1218[[#This Row],['#/Unit]]*FilterSpecs!$C$3+MouserListTable1218[[#This Row],[Extra]]</f>
        <v>1</v>
      </c>
      <c r="W213" s="121">
        <f>IF(MouserListTable1218[[#This Row],[Tag]]=FilterSpecs!$F$7,MouserListTable1218[[#This Row],[Price (USD)]],0)</f>
        <v>0</v>
      </c>
      <c r="X213" s="121">
        <f>MouserListTable1218[[#This Row],[Tot '#]]*MouserListTable1218[[#This Row],[Price (USD)]]</f>
        <v>11.95</v>
      </c>
    </row>
    <row r="214" spans="1:24" s="146" customFormat="1" x14ac:dyDescent="0.3">
      <c r="A214" s="103" t="s">
        <v>895</v>
      </c>
      <c r="B214" s="103" t="s">
        <v>1604</v>
      </c>
      <c r="C214" s="103" t="s">
        <v>8</v>
      </c>
      <c r="D214" s="106" t="str">
        <f>IF(MouserListTable1218[[#This Row],[Vendor]]=FilterSpecs!$A$8,MouserListTable1218[[#This Row],[Mouser SKU]], MouserListTable1218[[#This Row],[Supplier SKU]])</f>
        <v>DEV-12935</v>
      </c>
      <c r="E214" s="121">
        <f>MouserListTable1218[[#This Row],[Tot '#]]-MouserListTable1218[[#This Row],['# Initial]]</f>
        <v>0</v>
      </c>
      <c r="F214" s="121">
        <f>MouserListTable1218[[#This Row],['#/Unit]]*FilterSpecs!$B$3+MouserListTable1218[[#This Row],[Extra Initial]]</f>
        <v>1</v>
      </c>
      <c r="G214" s="103" t="s">
        <v>1020</v>
      </c>
      <c r="H214" s="103" t="s">
        <v>1021</v>
      </c>
      <c r="I214" s="103" t="s">
        <v>1022</v>
      </c>
      <c r="J214" s="103">
        <v>1</v>
      </c>
      <c r="K214" s="157">
        <v>19.95</v>
      </c>
      <c r="L214" s="103" t="s">
        <v>1910</v>
      </c>
      <c r="M214" s="103"/>
      <c r="N214" s="157">
        <f>MouserListTable1218[[#This Row],['# Initial]]*MouserListTable1218[[#This Row],[Price (USD)]]</f>
        <v>19.95</v>
      </c>
      <c r="O214" s="106" t="s">
        <v>1019</v>
      </c>
      <c r="P214" s="103">
        <f t="shared" si="4"/>
        <v>196</v>
      </c>
      <c r="Q214" s="103" t="s">
        <v>8</v>
      </c>
      <c r="R21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474-DEV-12935</v>
      </c>
      <c r="S214" s="121">
        <v>0</v>
      </c>
      <c r="T214" s="121">
        <v>1</v>
      </c>
      <c r="U214" s="121">
        <v>1</v>
      </c>
      <c r="V214" s="121">
        <f>MouserListTable1218[[#This Row],['#/Unit]]*FilterSpecs!$C$3+MouserListTable1218[[#This Row],[Extra]]</f>
        <v>1</v>
      </c>
      <c r="W214" s="121">
        <f>IF(MouserListTable1218[[#This Row],[Tag]]=FilterSpecs!$F$7,MouserListTable1218[[#This Row],[Price (USD)]],0)</f>
        <v>0</v>
      </c>
      <c r="X214" s="121">
        <f>MouserListTable1218[[#This Row],[Tot '#]]*MouserListTable1218[[#This Row],[Price (USD)]]</f>
        <v>19.95</v>
      </c>
    </row>
    <row r="215" spans="1:24" s="146" customFormat="1" hidden="1" x14ac:dyDescent="0.3">
      <c r="A215" s="103" t="s">
        <v>1070</v>
      </c>
      <c r="B215" s="103" t="s">
        <v>1603</v>
      </c>
      <c r="C215" s="103" t="s">
        <v>8</v>
      </c>
      <c r="D215" s="106" t="str">
        <f>IF(MouserListTable1218[[#This Row],[Vendor]]=FilterSpecs!$A$8,MouserListTable1218[[#This Row],[Mouser SKU]], MouserListTable1218[[#This Row],[Supplier SKU]])</f>
        <v>PRT-12885</v>
      </c>
      <c r="E215" s="121">
        <f>MouserListTable1218[[#This Row],[Tot '#]]-MouserListTable1218[[#This Row],['# Initial]]</f>
        <v>1</v>
      </c>
      <c r="F215" s="121">
        <f>MouserListTable1218[[#This Row],['#/Unit]]*FilterSpecs!$B$3+MouserListTable1218[[#This Row],[Extra Initial]]</f>
        <v>0</v>
      </c>
      <c r="G215" s="103" t="s">
        <v>1528</v>
      </c>
      <c r="H215" s="103" t="s">
        <v>1529</v>
      </c>
      <c r="I215" s="103" t="s">
        <v>1530</v>
      </c>
      <c r="J215" s="103">
        <v>1</v>
      </c>
      <c r="K215" s="157">
        <v>24.95</v>
      </c>
      <c r="L215" s="103" t="s">
        <v>1914</v>
      </c>
      <c r="M215" s="106"/>
      <c r="N215" s="157">
        <f>MouserListTable1218[[#This Row],['# Initial]]*MouserListTable1218[[#This Row],[Price (USD)]]</f>
        <v>0</v>
      </c>
      <c r="O215" s="106" t="s">
        <v>1527</v>
      </c>
      <c r="P215" s="103">
        <f t="shared" si="4"/>
        <v>197</v>
      </c>
      <c r="Q215" s="103" t="s">
        <v>8</v>
      </c>
      <c r="R21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474-PRT-12885</v>
      </c>
      <c r="S215" s="121">
        <v>0</v>
      </c>
      <c r="T215" s="121">
        <v>1</v>
      </c>
      <c r="U215" s="121">
        <v>0</v>
      </c>
      <c r="V215" s="121">
        <f>MouserListTable1218[[#This Row],['#/Unit]]*FilterSpecs!$C$3+MouserListTable1218[[#This Row],[Extra]]</f>
        <v>1</v>
      </c>
      <c r="W215" s="121">
        <f>IF(MouserListTable1218[[#This Row],[Tag]]=FilterSpecs!$F$7,MouserListTable1218[[#This Row],[Price (USD)]],0)</f>
        <v>0</v>
      </c>
      <c r="X215" s="121">
        <f>MouserListTable1218[[#This Row],[Tot '#]]*MouserListTable1218[[#This Row],[Price (USD)]]</f>
        <v>24.95</v>
      </c>
    </row>
    <row r="216" spans="1:24" s="146" customFormat="1" hidden="1" x14ac:dyDescent="0.3">
      <c r="A216" s="103" t="s">
        <v>1070</v>
      </c>
      <c r="B216" s="103" t="s">
        <v>1013</v>
      </c>
      <c r="C216" s="103" t="s">
        <v>8</v>
      </c>
      <c r="D216" s="106" t="str">
        <f>IF(MouserListTable1218[[#This Row],[Vendor]]=FilterSpecs!$A$8,MouserListTable1218[[#This Row],[Mouser SKU]], MouserListTable1218[[#This Row],[Supplier SKU]])</f>
        <v>GPS-00177</v>
      </c>
      <c r="E216" s="121">
        <f>MouserListTable1218[[#This Row],[Tot '#]]-MouserListTable1218[[#This Row],['# Initial]]</f>
        <v>1</v>
      </c>
      <c r="F216" s="121">
        <f>MouserListTable1218[[#This Row],['#/Unit]]*FilterSpecs!$B$3+MouserListTable1218[[#This Row],[Extra Initial]]</f>
        <v>0</v>
      </c>
      <c r="G216" s="103" t="s">
        <v>950</v>
      </c>
      <c r="H216" s="103" t="s">
        <v>951</v>
      </c>
      <c r="I216" s="103" t="s">
        <v>952</v>
      </c>
      <c r="J216" s="103"/>
      <c r="K216" s="157">
        <v>11.95</v>
      </c>
      <c r="L216" s="103" t="s">
        <v>1914</v>
      </c>
      <c r="M216" s="103" t="s">
        <v>1063</v>
      </c>
      <c r="N216" s="157">
        <f>MouserListTable1218[[#This Row],['# Initial]]*MouserListTable1218[[#This Row],[Price (USD)]]</f>
        <v>0</v>
      </c>
      <c r="O216" s="106" t="s">
        <v>949</v>
      </c>
      <c r="P216" s="103">
        <f t="shared" si="4"/>
        <v>198</v>
      </c>
      <c r="Q216" s="103" t="s">
        <v>8</v>
      </c>
      <c r="R21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474-GPS-00177</v>
      </c>
      <c r="S216" s="121">
        <v>0</v>
      </c>
      <c r="T216" s="121">
        <v>1</v>
      </c>
      <c r="U216" s="121">
        <v>0</v>
      </c>
      <c r="V216" s="121">
        <f>MouserListTable1218[[#This Row],['#/Unit]]*FilterSpecs!$C$3+MouserListTable1218[[#This Row],[Extra]]</f>
        <v>1</v>
      </c>
      <c r="W216" s="121">
        <f>IF(MouserListTable1218[[#This Row],[Tag]]=FilterSpecs!$F$7,MouserListTable1218[[#This Row],[Price (USD)]],0)</f>
        <v>0</v>
      </c>
      <c r="X216" s="121">
        <f>MouserListTable1218[[#This Row],[Tot '#]]*MouserListTable1218[[#This Row],[Price (USD)]]</f>
        <v>11.95</v>
      </c>
    </row>
    <row r="217" spans="1:24" s="151" customFormat="1" hidden="1" x14ac:dyDescent="0.3">
      <c r="A217" s="103" t="s">
        <v>1070</v>
      </c>
      <c r="B217" s="103" t="s">
        <v>1013</v>
      </c>
      <c r="C217" s="103" t="s">
        <v>8</v>
      </c>
      <c r="D217" s="106" t="str">
        <f>IF(MouserListTable1218[[#This Row],[Vendor]]=FilterSpecs!$A$8,MouserListTable1218[[#This Row],[Mouser SKU]], MouserListTable1218[[#This Row],[Supplier SKU]])</f>
        <v>SPX-14416</v>
      </c>
      <c r="E217" s="121">
        <f>MouserListTable1218[[#This Row],[Tot '#]]-MouserListTable1218[[#This Row],['# Initial]]</f>
        <v>1</v>
      </c>
      <c r="F217" s="121">
        <f>MouserListTable1218[[#This Row],['#/Unit]]*FilterSpecs!$B$3+MouserListTable1218[[#This Row],[Extra Initial]]</f>
        <v>0</v>
      </c>
      <c r="G217" s="103" t="s">
        <v>970</v>
      </c>
      <c r="H217" s="103" t="s">
        <v>971</v>
      </c>
      <c r="I217" s="103" t="s">
        <v>972</v>
      </c>
      <c r="J217" s="103">
        <v>1</v>
      </c>
      <c r="K217" s="157">
        <v>49.95</v>
      </c>
      <c r="L217" s="103" t="s">
        <v>1914</v>
      </c>
      <c r="M217" s="103" t="s">
        <v>1056</v>
      </c>
      <c r="N217" s="157">
        <f>MouserListTable1218[[#This Row],['# Initial]]*MouserListTable1218[[#This Row],[Price (USD)]]</f>
        <v>0</v>
      </c>
      <c r="O217" s="106" t="s">
        <v>969</v>
      </c>
      <c r="P217" s="103">
        <f t="shared" si="4"/>
        <v>199</v>
      </c>
      <c r="Q217" s="103" t="s">
        <v>8</v>
      </c>
      <c r="R21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474-SPX-14416</v>
      </c>
      <c r="S217" s="121">
        <v>0</v>
      </c>
      <c r="T217" s="121">
        <v>1</v>
      </c>
      <c r="U217" s="121">
        <v>0</v>
      </c>
      <c r="V217" s="121">
        <f>MouserListTable1218[[#This Row],['#/Unit]]*FilterSpecs!$C$3+MouserListTable1218[[#This Row],[Extra]]</f>
        <v>1</v>
      </c>
      <c r="W217" s="121">
        <f>IF(MouserListTable1218[[#This Row],[Tag]]=FilterSpecs!$F$7,MouserListTable1218[[#This Row],[Price (USD)]],0)</f>
        <v>0</v>
      </c>
      <c r="X217" s="121">
        <f>MouserListTable1218[[#This Row],[Tot '#]]*MouserListTable1218[[#This Row],[Price (USD)]]</f>
        <v>49.95</v>
      </c>
    </row>
    <row r="218" spans="1:24" s="151" customFormat="1" hidden="1" x14ac:dyDescent="0.3">
      <c r="A218" s="126" t="s">
        <v>1070</v>
      </c>
      <c r="B218" s="155" t="s">
        <v>1013</v>
      </c>
      <c r="C218" s="155" t="s">
        <v>8</v>
      </c>
      <c r="D218" s="106" t="str">
        <f>IF(MouserListTable1218[[#This Row],[Vendor]]=FilterSpecs!$A$8,MouserListTable1218[[#This Row],[Mouser SKU]], MouserListTable1218[[#This Row],[Supplier SKU]])</f>
        <v>GPS-13750</v>
      </c>
      <c r="E218" s="121">
        <f>MouserListTable1218[[#This Row],[Tot '#]]-MouserListTable1218[[#This Row],['# Initial]]</f>
        <v>0</v>
      </c>
      <c r="F218" s="121">
        <f>MouserListTable1218[[#This Row],['#/Unit]]*FilterSpecs!$B$3+MouserListTable1218[[#This Row],[Extra Initial]]</f>
        <v>0</v>
      </c>
      <c r="G218" s="103" t="s">
        <v>990</v>
      </c>
      <c r="H218" s="103" t="s">
        <v>991</v>
      </c>
      <c r="I218" s="103" t="s">
        <v>992</v>
      </c>
      <c r="J218" s="103">
        <v>1</v>
      </c>
      <c r="K218" s="157">
        <v>44.95</v>
      </c>
      <c r="L218" s="103" t="s">
        <v>1914</v>
      </c>
      <c r="M218" s="103" t="s">
        <v>1057</v>
      </c>
      <c r="N218" s="157">
        <f>MouserListTable1218[[#This Row],['# Initial]]*MouserListTable1218[[#This Row],[Price (USD)]]</f>
        <v>0</v>
      </c>
      <c r="O218" s="106" t="s">
        <v>989</v>
      </c>
      <c r="P218" s="103">
        <f t="shared" si="4"/>
        <v>200</v>
      </c>
      <c r="Q218" s="152" t="s">
        <v>8</v>
      </c>
      <c r="R21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474-GPS-13750</v>
      </c>
      <c r="S218" s="121">
        <v>0</v>
      </c>
      <c r="T218" s="121">
        <v>0</v>
      </c>
      <c r="U218" s="121">
        <v>0</v>
      </c>
      <c r="V218" s="121">
        <f>MouserListTable1218[[#This Row],['#/Unit]]*FilterSpecs!$C$3+MouserListTable1218[[#This Row],[Extra]]</f>
        <v>0</v>
      </c>
      <c r="W218" s="121">
        <f>IF(MouserListTable1218[[#This Row],[Tag]]=FilterSpecs!$F$7,MouserListTable1218[[#This Row],[Price (USD)]],0)</f>
        <v>0</v>
      </c>
      <c r="X218" s="121">
        <f>MouserListTable1218[[#This Row],[Tot '#]]*MouserListTable1218[[#This Row],[Price (USD)]]</f>
        <v>0</v>
      </c>
    </row>
    <row r="219" spans="1:24" s="151" customFormat="1" hidden="1" x14ac:dyDescent="0.3">
      <c r="A219" s="103" t="s">
        <v>1070</v>
      </c>
      <c r="B219" s="103" t="s">
        <v>1013</v>
      </c>
      <c r="C219" s="103" t="s">
        <v>8</v>
      </c>
      <c r="D219" s="106" t="str">
        <f>IF(MouserListTable1218[[#This Row],[Vendor]]=FilterSpecs!$A$8,MouserListTable1218[[#This Row],[Mouser SKU]], MouserListTable1218[[#This Row],[Supplier SKU]])</f>
        <v>GPS-10920</v>
      </c>
      <c r="E219" s="121">
        <f>MouserListTable1218[[#This Row],[Tot '#]]-MouserListTable1218[[#This Row],['# Initial]]</f>
        <v>1</v>
      </c>
      <c r="F219" s="121">
        <f>MouserListTable1218[[#This Row],['#/Unit]]*FilterSpecs!$B$3+MouserListTable1218[[#This Row],[Extra Initial]]</f>
        <v>0</v>
      </c>
      <c r="G219" s="103" t="s">
        <v>954</v>
      </c>
      <c r="H219" s="103" t="s">
        <v>955</v>
      </c>
      <c r="I219" s="103" t="s">
        <v>956</v>
      </c>
      <c r="J219" s="103">
        <v>1</v>
      </c>
      <c r="K219" s="157">
        <v>59.95</v>
      </c>
      <c r="L219" s="103" t="s">
        <v>1914</v>
      </c>
      <c r="M219" s="103" t="s">
        <v>1057</v>
      </c>
      <c r="N219" s="157">
        <f>MouserListTable1218[[#This Row],['# Initial]]*MouserListTable1218[[#This Row],[Price (USD)]]</f>
        <v>0</v>
      </c>
      <c r="O219" s="106" t="s">
        <v>953</v>
      </c>
      <c r="P219" s="103">
        <f t="shared" si="4"/>
        <v>201</v>
      </c>
      <c r="Q219" s="103" t="s">
        <v>8</v>
      </c>
      <c r="R21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474-GPS-10920</v>
      </c>
      <c r="S219" s="121">
        <v>0</v>
      </c>
      <c r="T219" s="121">
        <v>1</v>
      </c>
      <c r="U219" s="121">
        <v>0</v>
      </c>
      <c r="V219" s="121">
        <f>MouserListTable1218[[#This Row],['#/Unit]]*FilterSpecs!$C$3+MouserListTable1218[[#This Row],[Extra]]</f>
        <v>1</v>
      </c>
      <c r="W219" s="121">
        <f>IF(MouserListTable1218[[#This Row],[Tag]]=FilterSpecs!$F$7,MouserListTable1218[[#This Row],[Price (USD)]],0)</f>
        <v>0</v>
      </c>
      <c r="X219" s="121">
        <f>MouserListTable1218[[#This Row],[Tot '#]]*MouserListTable1218[[#This Row],[Price (USD)]]</f>
        <v>59.95</v>
      </c>
    </row>
    <row r="220" spans="1:24" s="144" customFormat="1" hidden="1" x14ac:dyDescent="0.3">
      <c r="A220" s="103" t="s">
        <v>1070</v>
      </c>
      <c r="B220" s="103" t="s">
        <v>1013</v>
      </c>
      <c r="C220" s="103" t="s">
        <v>1898</v>
      </c>
      <c r="D220" s="106" t="str">
        <f>IF(MouserListTable1218[[#This Row],[Vendor]]=FilterSpecs!$A$8,MouserListTable1218[[#This Row],[Mouser SKU]], MouserListTable1218[[#This Row],[Supplier SKU]])</f>
        <v>1272</v>
      </c>
      <c r="E220" s="121">
        <f>MouserListTable1218[[#This Row],[Tot '#]]-MouserListTable1218[[#This Row],['# Initial]]</f>
        <v>0</v>
      </c>
      <c r="F220" s="121">
        <f>MouserListTable1218[[#This Row],['#/Unit]]*FilterSpecs!$B$3+MouserListTable1218[[#This Row],[Extra Initial]]</f>
        <v>0</v>
      </c>
      <c r="G220" s="103"/>
      <c r="H220" s="103"/>
      <c r="I220" s="103" t="s">
        <v>2095</v>
      </c>
      <c r="J220" s="103"/>
      <c r="K220" s="157">
        <v>44.95</v>
      </c>
      <c r="L220" s="103" t="s">
        <v>1910</v>
      </c>
      <c r="M220" s="146"/>
      <c r="N220" s="157">
        <f>MouserListTable1218[[#This Row],['# Initial]]*MouserListTable1218[[#This Row],[Price (USD)]]</f>
        <v>0</v>
      </c>
      <c r="O220" s="106" t="s">
        <v>2094</v>
      </c>
      <c r="P220" s="103">
        <f t="shared" si="4"/>
        <v>202</v>
      </c>
      <c r="Q220" s="103" t="s">
        <v>1898</v>
      </c>
      <c r="R22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485-1272</v>
      </c>
      <c r="S220" s="121">
        <v>0</v>
      </c>
      <c r="T220" s="121">
        <v>0</v>
      </c>
      <c r="U220" s="121">
        <v>0</v>
      </c>
      <c r="V220" s="121">
        <f>MouserListTable1218[[#This Row],['#/Unit]]*FilterSpecs!$C$3+MouserListTable1218[[#This Row],[Extra]]</f>
        <v>0</v>
      </c>
      <c r="W220" s="121">
        <f>IF(MouserListTable1218[[#This Row],[Tag]]=FilterSpecs!$F$7,MouserListTable1218[[#This Row],[Price (USD)]],0)</f>
        <v>0</v>
      </c>
      <c r="X220" s="121">
        <f>MouserListTable1218[[#This Row],[Tot '#]]*MouserListTable1218[[#This Row],[Price (USD)]]</f>
        <v>0</v>
      </c>
    </row>
    <row r="221" spans="1:24" s="144" customFormat="1" hidden="1" x14ac:dyDescent="0.3">
      <c r="A221" s="103" t="s">
        <v>1070</v>
      </c>
      <c r="B221" s="103" t="s">
        <v>2065</v>
      </c>
      <c r="C221" s="103" t="s">
        <v>1898</v>
      </c>
      <c r="D221" s="106" t="str">
        <f>IF(MouserListTable1218[[#This Row],[Vendor]]=FilterSpecs!$A$8,MouserListTable1218[[#This Row],[Mouser SKU]], MouserListTable1218[[#This Row],[Supplier SKU]])</f>
        <v>2468</v>
      </c>
      <c r="E221" s="121">
        <f>MouserListTable1218[[#This Row],[Tot '#]]-MouserListTable1218[[#This Row],['# Initial]]</f>
        <v>1</v>
      </c>
      <c r="F221" s="121">
        <f>MouserListTable1218[[#This Row],['#/Unit]]*FilterSpecs!$B$3+MouserListTable1218[[#This Row],[Extra Initial]]</f>
        <v>0</v>
      </c>
      <c r="G221" s="103"/>
      <c r="H221" s="103"/>
      <c r="I221" s="103" t="s">
        <v>2072</v>
      </c>
      <c r="J221" s="103"/>
      <c r="K221" s="157">
        <v>39.950000000000003</v>
      </c>
      <c r="L221" s="103" t="s">
        <v>1910</v>
      </c>
      <c r="M221" s="106"/>
      <c r="N221" s="157">
        <f>MouserListTable1218[[#This Row],['# Initial]]*MouserListTable1218[[#This Row],[Price (USD)]]</f>
        <v>0</v>
      </c>
      <c r="O221" s="106" t="s">
        <v>2073</v>
      </c>
      <c r="P221" s="103">
        <f t="shared" si="4"/>
        <v>203</v>
      </c>
      <c r="Q221" s="103" t="s">
        <v>1898</v>
      </c>
      <c r="R22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485-2468</v>
      </c>
      <c r="S221" s="121">
        <v>0</v>
      </c>
      <c r="T221" s="121">
        <v>1</v>
      </c>
      <c r="U221" s="121">
        <v>0</v>
      </c>
      <c r="V221" s="121">
        <f>MouserListTable1218[[#This Row],['#/Unit]]*FilterSpecs!$C$3+MouserListTable1218[[#This Row],[Extra]]</f>
        <v>1</v>
      </c>
      <c r="W221" s="121">
        <f>IF(MouserListTable1218[[#This Row],[Tag]]=FilterSpecs!$F$7,MouserListTable1218[[#This Row],[Price (USD)]],0)</f>
        <v>0</v>
      </c>
      <c r="X221" s="121">
        <f>MouserListTable1218[[#This Row],[Tot '#]]*MouserListTable1218[[#This Row],[Price (USD)]]</f>
        <v>39.950000000000003</v>
      </c>
    </row>
    <row r="222" spans="1:24" s="144" customFormat="1" hidden="1" x14ac:dyDescent="0.3">
      <c r="A222" s="103" t="s">
        <v>1070</v>
      </c>
      <c r="B222" s="103" t="s">
        <v>2065</v>
      </c>
      <c r="C222" s="103" t="s">
        <v>1898</v>
      </c>
      <c r="D222" s="106" t="str">
        <f>IF(MouserListTable1218[[#This Row],[Vendor]]=FilterSpecs!$A$8,MouserListTable1218[[#This Row],[Mouser SKU]], MouserListTable1218[[#This Row],[Supplier SKU]])</f>
        <v>2505</v>
      </c>
      <c r="E222" s="121">
        <f>MouserListTable1218[[#This Row],[Tot '#]]-MouserListTable1218[[#This Row],['# Initial]]</f>
        <v>1</v>
      </c>
      <c r="F222" s="121">
        <f>MouserListTable1218[[#This Row],['#/Unit]]*FilterSpecs!$B$3+MouserListTable1218[[#This Row],[Extra Initial]]</f>
        <v>0</v>
      </c>
      <c r="G222" s="103"/>
      <c r="H222" s="103"/>
      <c r="I222" s="103" t="s">
        <v>2070</v>
      </c>
      <c r="J222" s="146"/>
      <c r="K222" s="157">
        <v>9</v>
      </c>
      <c r="L222" s="103" t="s">
        <v>1910</v>
      </c>
      <c r="M222" s="106"/>
      <c r="N222" s="157">
        <f>MouserListTable1218[[#This Row],['# Initial]]*MouserListTable1218[[#This Row],[Price (USD)]]</f>
        <v>0</v>
      </c>
      <c r="O222" s="106" t="s">
        <v>2071</v>
      </c>
      <c r="P222" s="103">
        <f t="shared" si="4"/>
        <v>204</v>
      </c>
      <c r="Q222" s="103" t="s">
        <v>1898</v>
      </c>
      <c r="R22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485-2505</v>
      </c>
      <c r="S222" s="121">
        <v>0</v>
      </c>
      <c r="T222" s="121">
        <v>1</v>
      </c>
      <c r="U222" s="121">
        <v>0</v>
      </c>
      <c r="V222" s="121">
        <f>MouserListTable1218[[#This Row],['#/Unit]]*FilterSpecs!$C$3+MouserListTable1218[[#This Row],[Extra]]</f>
        <v>1</v>
      </c>
      <c r="W222" s="121">
        <f>IF(MouserListTable1218[[#This Row],[Tag]]=FilterSpecs!$F$7,MouserListTable1218[[#This Row],[Price (USD)]],0)</f>
        <v>0</v>
      </c>
      <c r="X222" s="121">
        <f>MouserListTable1218[[#This Row],[Tot '#]]*MouserListTable1218[[#This Row],[Price (USD)]]</f>
        <v>9</v>
      </c>
    </row>
    <row r="223" spans="1:24" s="144" customFormat="1" hidden="1" x14ac:dyDescent="0.3">
      <c r="A223" s="103" t="s">
        <v>1070</v>
      </c>
      <c r="B223" s="103" t="s">
        <v>2065</v>
      </c>
      <c r="C223" s="103" t="s">
        <v>1898</v>
      </c>
      <c r="D223" s="106" t="str">
        <f>IF(MouserListTable1218[[#This Row],[Vendor]]=FilterSpecs!$A$8,MouserListTable1218[[#This Row],[Mouser SKU]], MouserListTable1218[[#This Row],[Supplier SKU]])</f>
        <v>1991</v>
      </c>
      <c r="E223" s="121">
        <f>MouserListTable1218[[#This Row],[Tot '#]]-MouserListTable1218[[#This Row],['# Initial]]</f>
        <v>1</v>
      </c>
      <c r="F223" s="121">
        <f>MouserListTable1218[[#This Row],['#/Unit]]*FilterSpecs!$B$3+MouserListTable1218[[#This Row],[Extra Initial]]</f>
        <v>0</v>
      </c>
      <c r="G223" s="103"/>
      <c r="H223" s="103"/>
      <c r="I223" s="103" t="s">
        <v>2068</v>
      </c>
      <c r="J223" s="146"/>
      <c r="K223" s="157">
        <v>2.95</v>
      </c>
      <c r="L223" s="103" t="s">
        <v>1910</v>
      </c>
      <c r="M223" s="106"/>
      <c r="N223" s="157">
        <f>MouserListTable1218[[#This Row],['# Initial]]*MouserListTable1218[[#This Row],[Price (USD)]]</f>
        <v>0</v>
      </c>
      <c r="O223" s="106" t="s">
        <v>2069</v>
      </c>
      <c r="P223" s="103">
        <f t="shared" si="4"/>
        <v>205</v>
      </c>
      <c r="Q223" s="103" t="s">
        <v>1898</v>
      </c>
      <c r="R22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485-1991</v>
      </c>
      <c r="S223" s="121">
        <v>0</v>
      </c>
      <c r="T223" s="121">
        <v>1</v>
      </c>
      <c r="U223" s="121">
        <v>0</v>
      </c>
      <c r="V223" s="121">
        <f>MouserListTable1218[[#This Row],['#/Unit]]*FilterSpecs!$C$3+MouserListTable1218[[#This Row],[Extra]]</f>
        <v>1</v>
      </c>
      <c r="W223" s="121">
        <f>IF(MouserListTable1218[[#This Row],[Tag]]=FilterSpecs!$F$7,MouserListTable1218[[#This Row],[Price (USD)]],0)</f>
        <v>0</v>
      </c>
      <c r="X223" s="121">
        <f>MouserListTable1218[[#This Row],[Tot '#]]*MouserListTable1218[[#This Row],[Price (USD)]]</f>
        <v>2.95</v>
      </c>
    </row>
    <row r="224" spans="1:24" s="151" customFormat="1" hidden="1" x14ac:dyDescent="0.3">
      <c r="A224" s="103" t="s">
        <v>1070</v>
      </c>
      <c r="B224" s="103" t="s">
        <v>1439</v>
      </c>
      <c r="C224" s="103" t="s">
        <v>8</v>
      </c>
      <c r="D224" s="106" t="str">
        <f>IF(MouserListTable1218[[#This Row],[Vendor]]=FilterSpecs!$A$8,MouserListTable1218[[#This Row],[Mouser SKU]], MouserListTable1218[[#This Row],[Supplier SKU]])</f>
        <v>SEN-12916</v>
      </c>
      <c r="E224" s="121">
        <f>MouserListTable1218[[#This Row],[Tot '#]]-MouserListTable1218[[#This Row],['# Initial]]</f>
        <v>1</v>
      </c>
      <c r="F224" s="121">
        <f>MouserListTable1218[[#This Row],['#/Unit]]*FilterSpecs!$B$3+MouserListTable1218[[#This Row],[Extra Initial]]</f>
        <v>0</v>
      </c>
      <c r="G224" s="103" t="s">
        <v>1406</v>
      </c>
      <c r="H224" s="103" t="s">
        <v>1407</v>
      </c>
      <c r="I224" s="103" t="s">
        <v>1408</v>
      </c>
      <c r="J224" s="103"/>
      <c r="K224" s="157">
        <v>149.94999999999999</v>
      </c>
      <c r="L224" s="103" t="s">
        <v>1914</v>
      </c>
      <c r="M224" s="106"/>
      <c r="N224" s="157">
        <f>MouserListTable1218[[#This Row],['# Initial]]*MouserListTable1218[[#This Row],[Price (USD)]]</f>
        <v>0</v>
      </c>
      <c r="O224" s="106" t="s">
        <v>1405</v>
      </c>
      <c r="P224" s="103">
        <f t="shared" si="4"/>
        <v>206</v>
      </c>
      <c r="Q224" s="103" t="s">
        <v>8</v>
      </c>
      <c r="R22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474-SEN-12916</v>
      </c>
      <c r="S224" s="121">
        <v>0</v>
      </c>
      <c r="T224" s="121">
        <v>1</v>
      </c>
      <c r="U224" s="121">
        <v>0</v>
      </c>
      <c r="V224" s="121">
        <f>MouserListTable1218[[#This Row],['#/Unit]]*FilterSpecs!$C$3+MouserListTable1218[[#This Row],[Extra]]</f>
        <v>1</v>
      </c>
      <c r="W224" s="121">
        <f>IF(MouserListTable1218[[#This Row],[Tag]]=FilterSpecs!$F$7,MouserListTable1218[[#This Row],[Price (USD)]],0)</f>
        <v>0</v>
      </c>
      <c r="X224" s="121">
        <f>MouserListTable1218[[#This Row],[Tot '#]]*MouserListTable1218[[#This Row],[Price (USD)]]</f>
        <v>149.94999999999999</v>
      </c>
    </row>
    <row r="225" spans="1:24" s="151" customFormat="1" hidden="1" x14ac:dyDescent="0.3">
      <c r="A225" s="103" t="s">
        <v>1070</v>
      </c>
      <c r="B225" s="152" t="s">
        <v>1014</v>
      </c>
      <c r="C225" s="152" t="s">
        <v>8</v>
      </c>
      <c r="D225" s="106" t="str">
        <f>IF(MouserListTable1218[[#This Row],[Vendor]]=FilterSpecs!$A$8,MouserListTable1218[[#This Row],[Mouser SKU]], MouserListTable1218[[#This Row],[Supplier SKU]])</f>
        <v>CAB-14043</v>
      </c>
      <c r="E225" s="121">
        <f>MouserListTable1218[[#This Row],[Tot '#]]-MouserListTable1218[[#This Row],['# Initial]]</f>
        <v>1</v>
      </c>
      <c r="F225" s="121">
        <f>MouserListTable1218[[#This Row],['#/Unit]]*FilterSpecs!$B$3+MouserListTable1218[[#This Row],[Extra Initial]]</f>
        <v>0</v>
      </c>
      <c r="G225" s="103" t="s">
        <v>958</v>
      </c>
      <c r="H225" s="103" t="s">
        <v>959</v>
      </c>
      <c r="I225" s="103" t="s">
        <v>960</v>
      </c>
      <c r="J225" s="103">
        <v>1</v>
      </c>
      <c r="K225" s="157">
        <v>4.95</v>
      </c>
      <c r="L225" s="103" t="s">
        <v>1913</v>
      </c>
      <c r="M225" s="103" t="s">
        <v>1065</v>
      </c>
      <c r="N225" s="157">
        <f>MouserListTable1218[[#This Row],['# Initial]]*MouserListTable1218[[#This Row],[Price (USD)]]</f>
        <v>0</v>
      </c>
      <c r="O225" s="106" t="s">
        <v>957</v>
      </c>
      <c r="P225" s="103">
        <f t="shared" si="4"/>
        <v>207</v>
      </c>
      <c r="Q225" s="152" t="s">
        <v>8</v>
      </c>
      <c r="R22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474-CAB-14043</v>
      </c>
      <c r="S225" s="121">
        <v>0</v>
      </c>
      <c r="T225" s="121">
        <v>1</v>
      </c>
      <c r="U225" s="121">
        <v>0</v>
      </c>
      <c r="V225" s="121">
        <f>MouserListTable1218[[#This Row],['#/Unit]]*FilterSpecs!$C$3+MouserListTable1218[[#This Row],[Extra]]</f>
        <v>1</v>
      </c>
      <c r="W225" s="121">
        <f>IF(MouserListTable1218[[#This Row],[Tag]]=FilterSpecs!$F$7,MouserListTable1218[[#This Row],[Price (USD)]],0)</f>
        <v>0</v>
      </c>
      <c r="X225" s="121">
        <f>MouserListTable1218[[#This Row],[Tot '#]]*MouserListTable1218[[#This Row],[Price (USD)]]</f>
        <v>4.95</v>
      </c>
    </row>
    <row r="226" spans="1:24" s="151" customFormat="1" hidden="1" x14ac:dyDescent="0.3">
      <c r="A226" s="103" t="s">
        <v>1070</v>
      </c>
      <c r="B226" s="152" t="s">
        <v>1014</v>
      </c>
      <c r="C226" s="152" t="s">
        <v>8</v>
      </c>
      <c r="D226" s="106" t="str">
        <f>IF(MouserListTable1218[[#This Row],[Vendor]]=FilterSpecs!$A$8,MouserListTable1218[[#This Row],[Mouser SKU]], MouserListTable1218[[#This Row],[Supplier SKU]])</f>
        <v>SEN-14117</v>
      </c>
      <c r="E226" s="121">
        <f>MouserListTable1218[[#This Row],[Tot '#]]-MouserListTable1218[[#This Row],['# Initial]]</f>
        <v>1</v>
      </c>
      <c r="F226" s="121">
        <f>MouserListTable1218[[#This Row],['#/Unit]]*FilterSpecs!$B$3+MouserListTable1218[[#This Row],[Extra Initial]]</f>
        <v>0</v>
      </c>
      <c r="G226" s="103" t="s">
        <v>974</v>
      </c>
      <c r="H226" s="103" t="s">
        <v>975</v>
      </c>
      <c r="I226" s="103" t="s">
        <v>976</v>
      </c>
      <c r="J226" s="103">
        <v>1</v>
      </c>
      <c r="K226" s="157">
        <v>349</v>
      </c>
      <c r="L226" s="103" t="s">
        <v>1914</v>
      </c>
      <c r="M226" s="103" t="s">
        <v>1058</v>
      </c>
      <c r="N226" s="157">
        <f>MouserListTable1218[[#This Row],['# Initial]]*MouserListTable1218[[#This Row],[Price (USD)]]</f>
        <v>0</v>
      </c>
      <c r="O226" s="106" t="s">
        <v>973</v>
      </c>
      <c r="P226" s="103">
        <f t="shared" si="4"/>
        <v>208</v>
      </c>
      <c r="Q226" s="152" t="s">
        <v>8</v>
      </c>
      <c r="R22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474-SEN-14117</v>
      </c>
      <c r="S226" s="121">
        <v>0</v>
      </c>
      <c r="T226" s="121">
        <v>1</v>
      </c>
      <c r="U226" s="121">
        <v>0</v>
      </c>
      <c r="V226" s="121">
        <f>MouserListTable1218[[#This Row],['#/Unit]]*FilterSpecs!$C$3+MouserListTable1218[[#This Row],[Extra]]</f>
        <v>1</v>
      </c>
      <c r="W226" s="121">
        <f>IF(MouserListTable1218[[#This Row],[Tag]]=FilterSpecs!$F$7,MouserListTable1218[[#This Row],[Price (USD)]],0)</f>
        <v>0</v>
      </c>
      <c r="X226" s="121">
        <f>MouserListTable1218[[#This Row],[Tot '#]]*MouserListTable1218[[#This Row],[Price (USD)]]</f>
        <v>349</v>
      </c>
    </row>
    <row r="227" spans="1:24" s="144" customFormat="1" hidden="1" x14ac:dyDescent="0.3">
      <c r="A227" s="103" t="s">
        <v>1070</v>
      </c>
      <c r="B227" s="152" t="s">
        <v>1014</v>
      </c>
      <c r="C227" s="152" t="s">
        <v>8</v>
      </c>
      <c r="D227" s="106" t="str">
        <f>IF(MouserListTable1218[[#This Row],[Vendor]]=FilterSpecs!$A$8,MouserListTable1218[[#This Row],[Mouser SKU]], MouserListTable1218[[#This Row],[Supplier SKU]])</f>
        <v>ROB-13064</v>
      </c>
      <c r="E227" s="121">
        <f>MouserListTable1218[[#This Row],[Tot '#]]-MouserListTable1218[[#This Row],['# Initial]]</f>
        <v>1</v>
      </c>
      <c r="F227" s="121">
        <f>MouserListTable1218[[#This Row],['#/Unit]]*FilterSpecs!$B$3+MouserListTable1218[[#This Row],[Extra Initial]]</f>
        <v>0</v>
      </c>
      <c r="G227" s="103" t="s">
        <v>1034</v>
      </c>
      <c r="H227" s="103" t="s">
        <v>1033</v>
      </c>
      <c r="I227" s="103" t="s">
        <v>1031</v>
      </c>
      <c r="J227" s="103">
        <v>1</v>
      </c>
      <c r="K227" s="157">
        <v>14.95</v>
      </c>
      <c r="L227" s="103" t="s">
        <v>1914</v>
      </c>
      <c r="M227" s="103" t="s">
        <v>1064</v>
      </c>
      <c r="N227" s="157">
        <f>MouserListTable1218[[#This Row],['# Initial]]*MouserListTable1218[[#This Row],[Price (USD)]]</f>
        <v>0</v>
      </c>
      <c r="O227" s="106" t="s">
        <v>1032</v>
      </c>
      <c r="P227" s="103">
        <f t="shared" si="4"/>
        <v>209</v>
      </c>
      <c r="Q227" s="152" t="s">
        <v>8</v>
      </c>
      <c r="R22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474-ROB-13064</v>
      </c>
      <c r="S227" s="121">
        <v>0</v>
      </c>
      <c r="T227" s="121">
        <v>1</v>
      </c>
      <c r="U227" s="121">
        <v>0</v>
      </c>
      <c r="V227" s="121">
        <f>MouserListTable1218[[#This Row],['#/Unit]]*FilterSpecs!$C$3+MouserListTable1218[[#This Row],[Extra]]</f>
        <v>1</v>
      </c>
      <c r="W227" s="121">
        <f>IF(MouserListTable1218[[#This Row],[Tag]]=FilterSpecs!$F$7,MouserListTable1218[[#This Row],[Price (USD)]],0)</f>
        <v>0</v>
      </c>
      <c r="X227" s="121">
        <f>MouserListTable1218[[#This Row],[Tot '#]]*MouserListTable1218[[#This Row],[Price (USD)]]</f>
        <v>14.95</v>
      </c>
    </row>
    <row r="228" spans="1:24" s="151" customFormat="1" hidden="1" x14ac:dyDescent="0.3">
      <c r="A228" s="103" t="s">
        <v>1070</v>
      </c>
      <c r="B228" s="103" t="s">
        <v>993</v>
      </c>
      <c r="C228" s="103" t="s">
        <v>8</v>
      </c>
      <c r="D228" s="106" t="str">
        <f>IF(MouserListTable1218[[#This Row],[Vendor]]=FilterSpecs!$A$8,MouserListTable1218[[#This Row],[Mouser SKU]], MouserListTable1218[[#This Row],[Supplier SKU]])</f>
        <v>SEN-13284</v>
      </c>
      <c r="E228" s="121">
        <f>MouserListTable1218[[#This Row],[Tot '#]]-MouserListTable1218[[#This Row],['# Initial]]</f>
        <v>1</v>
      </c>
      <c r="F228" s="121">
        <f>MouserListTable1218[[#This Row],['#/Unit]]*FilterSpecs!$B$3+MouserListTable1218[[#This Row],[Extra Initial]]</f>
        <v>0</v>
      </c>
      <c r="G228" s="103" t="s">
        <v>918</v>
      </c>
      <c r="H228" s="103" t="s">
        <v>919</v>
      </c>
      <c r="I228" s="103" t="s">
        <v>920</v>
      </c>
      <c r="J228" s="103">
        <v>1</v>
      </c>
      <c r="K228" s="157">
        <v>24.95</v>
      </c>
      <c r="L228" s="103" t="s">
        <v>1914</v>
      </c>
      <c r="M228" s="103" t="s">
        <v>1059</v>
      </c>
      <c r="N228" s="157">
        <f>MouserListTable1218[[#This Row],['# Initial]]*MouserListTable1218[[#This Row],[Price (USD)]]</f>
        <v>0</v>
      </c>
      <c r="O228" s="106" t="s">
        <v>917</v>
      </c>
      <c r="P228" s="103">
        <f t="shared" si="4"/>
        <v>210</v>
      </c>
      <c r="Q228" s="103" t="s">
        <v>8</v>
      </c>
      <c r="R22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474-SEN-13284</v>
      </c>
      <c r="S228" s="121">
        <v>0</v>
      </c>
      <c r="T228" s="121">
        <v>1</v>
      </c>
      <c r="U228" s="121">
        <v>0</v>
      </c>
      <c r="V228" s="121">
        <f>MouserListTable1218[[#This Row],['#/Unit]]*FilterSpecs!$C$3+MouserListTable1218[[#This Row],[Extra]]</f>
        <v>1</v>
      </c>
      <c r="W228" s="121">
        <f>IF(MouserListTable1218[[#This Row],[Tag]]=FilterSpecs!$F$7,MouserListTable1218[[#This Row],[Price (USD)]],0)</f>
        <v>0</v>
      </c>
      <c r="X228" s="121">
        <f>MouserListTable1218[[#This Row],[Tot '#]]*MouserListTable1218[[#This Row],[Price (USD)]]</f>
        <v>24.95</v>
      </c>
    </row>
    <row r="229" spans="1:24" s="151" customFormat="1" hidden="1" x14ac:dyDescent="0.3">
      <c r="A229" s="103" t="s">
        <v>1070</v>
      </c>
      <c r="B229" s="103" t="s">
        <v>993</v>
      </c>
      <c r="C229" s="103" t="s">
        <v>8</v>
      </c>
      <c r="D229" s="106" t="str">
        <f>IF(MouserListTable1218[[#This Row],[Vendor]]=FilterSpecs!$A$8,MouserListTable1218[[#This Row],[Mouser SKU]], MouserListTable1218[[#This Row],[Supplier SKU]])</f>
        <v>SEN-13762</v>
      </c>
      <c r="E229" s="121">
        <f>MouserListTable1218[[#This Row],[Tot '#]]-MouserListTable1218[[#This Row],['# Initial]]</f>
        <v>1</v>
      </c>
      <c r="F229" s="121">
        <f>MouserListTable1218[[#This Row],['#/Unit]]*FilterSpecs!$B$3+MouserListTable1218[[#This Row],[Extra Initial]]</f>
        <v>0</v>
      </c>
      <c r="G229" s="103" t="s">
        <v>922</v>
      </c>
      <c r="H229" s="103" t="s">
        <v>923</v>
      </c>
      <c r="I229" s="103" t="s">
        <v>924</v>
      </c>
      <c r="J229" s="103">
        <v>1</v>
      </c>
      <c r="K229" s="157">
        <v>14.95</v>
      </c>
      <c r="L229" s="103" t="s">
        <v>1914</v>
      </c>
      <c r="M229" s="103" t="s">
        <v>1059</v>
      </c>
      <c r="N229" s="157">
        <f>MouserListTable1218[[#This Row],['# Initial]]*MouserListTable1218[[#This Row],[Price (USD)]]</f>
        <v>0</v>
      </c>
      <c r="O229" s="106" t="s">
        <v>921</v>
      </c>
      <c r="P229" s="103">
        <f t="shared" si="4"/>
        <v>211</v>
      </c>
      <c r="Q229" s="103" t="s">
        <v>8</v>
      </c>
      <c r="R22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474-SEN-13762</v>
      </c>
      <c r="S229" s="121">
        <v>0</v>
      </c>
      <c r="T229" s="121">
        <v>1</v>
      </c>
      <c r="U229" s="121">
        <v>0</v>
      </c>
      <c r="V229" s="121">
        <f>MouserListTable1218[[#This Row],['#/Unit]]*FilterSpecs!$C$3+MouserListTable1218[[#This Row],[Extra]]</f>
        <v>1</v>
      </c>
      <c r="W229" s="121">
        <f>IF(MouserListTable1218[[#This Row],[Tag]]=FilterSpecs!$F$7,MouserListTable1218[[#This Row],[Price (USD)]],0)</f>
        <v>0</v>
      </c>
      <c r="X229" s="121">
        <f>MouserListTable1218[[#This Row],[Tot '#]]*MouserListTable1218[[#This Row],[Price (USD)]]</f>
        <v>14.95</v>
      </c>
    </row>
    <row r="230" spans="1:24" s="151" customFormat="1" hidden="1" x14ac:dyDescent="0.3">
      <c r="A230" s="126" t="s">
        <v>1070</v>
      </c>
      <c r="B230" s="155" t="s">
        <v>2028</v>
      </c>
      <c r="C230" s="155" t="s">
        <v>8</v>
      </c>
      <c r="D230" s="106" t="str">
        <f>IF(MouserListTable1218[[#This Row],[Vendor]]=FilterSpecs!$A$8,MouserListTable1218[[#This Row],[Mouser SKU]], MouserListTable1218[[#This Row],[Supplier SKU]])</f>
        <v>LCD-12725</v>
      </c>
      <c r="E230" s="121">
        <f>MouserListTable1218[[#This Row],[Tot '#]]-MouserListTable1218[[#This Row],['# Initial]]</f>
        <v>0</v>
      </c>
      <c r="F230" s="121">
        <f>MouserListTable1218[[#This Row],['#/Unit]]*FilterSpecs!$B$3+MouserListTable1218[[#This Row],[Extra Initial]]</f>
        <v>0</v>
      </c>
      <c r="G230" s="103" t="s">
        <v>986</v>
      </c>
      <c r="H230" s="103" t="s">
        <v>987</v>
      </c>
      <c r="I230" s="103" t="s">
        <v>988</v>
      </c>
      <c r="J230" s="103">
        <v>1</v>
      </c>
      <c r="K230" s="157">
        <v>179.95</v>
      </c>
      <c r="L230" s="103" t="s">
        <v>1914</v>
      </c>
      <c r="M230" s="103" t="s">
        <v>1060</v>
      </c>
      <c r="N230" s="157">
        <f>MouserListTable1218[[#This Row],['# Initial]]*MouserListTable1218[[#This Row],[Price (USD)]]</f>
        <v>0</v>
      </c>
      <c r="O230" s="106" t="s">
        <v>985</v>
      </c>
      <c r="P230" s="103">
        <f t="shared" si="4"/>
        <v>212</v>
      </c>
      <c r="Q230" s="152" t="s">
        <v>8</v>
      </c>
      <c r="R23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474-LCD-12725</v>
      </c>
      <c r="S230" s="121">
        <v>0</v>
      </c>
      <c r="T230" s="121">
        <v>0</v>
      </c>
      <c r="U230" s="121">
        <v>0</v>
      </c>
      <c r="V230" s="121">
        <f>MouserListTable1218[[#This Row],['#/Unit]]*FilterSpecs!$C$3+MouserListTable1218[[#This Row],[Extra]]</f>
        <v>0</v>
      </c>
      <c r="W230" s="121">
        <f>IF(MouserListTable1218[[#This Row],[Tag]]=FilterSpecs!$F$7,MouserListTable1218[[#This Row],[Price (USD)]],0)</f>
        <v>0</v>
      </c>
      <c r="X230" s="121">
        <f>MouserListTable1218[[#This Row],[Tot '#]]*MouserListTable1218[[#This Row],[Price (USD)]]</f>
        <v>0</v>
      </c>
    </row>
    <row r="231" spans="1:24" s="144" customFormat="1" hidden="1" x14ac:dyDescent="0.3">
      <c r="A231" s="103" t="s">
        <v>1070</v>
      </c>
      <c r="B231" s="152" t="s">
        <v>2028</v>
      </c>
      <c r="C231" s="152" t="s">
        <v>8</v>
      </c>
      <c r="D231" s="106" t="str">
        <f>IF(MouserListTable1218[[#This Row],[Vendor]]=FilterSpecs!$A$8,MouserListTable1218[[#This Row],[Mouser SKU]], MouserListTable1218[[#This Row],[Supplier SKU]])</f>
        <v>LCD-11741</v>
      </c>
      <c r="E231" s="121">
        <f>MouserListTable1218[[#This Row],[Tot '#]]-MouserListTable1218[[#This Row],['# Initial]]</f>
        <v>1</v>
      </c>
      <c r="F231" s="121">
        <f>MouserListTable1218[[#This Row],['#/Unit]]*FilterSpecs!$B$3+MouserListTable1218[[#This Row],[Extra Initial]]</f>
        <v>0</v>
      </c>
      <c r="G231" s="103" t="s">
        <v>1784</v>
      </c>
      <c r="H231" s="103" t="s">
        <v>1785</v>
      </c>
      <c r="I231" s="103" t="s">
        <v>1786</v>
      </c>
      <c r="J231" s="103"/>
      <c r="K231" s="157">
        <v>84.95</v>
      </c>
      <c r="L231" s="103" t="s">
        <v>1914</v>
      </c>
      <c r="M231" s="106"/>
      <c r="N231" s="157">
        <f>MouserListTable1218[[#This Row],['# Initial]]*MouserListTable1218[[#This Row],[Price (USD)]]</f>
        <v>0</v>
      </c>
      <c r="O231" s="106" t="s">
        <v>1783</v>
      </c>
      <c r="P231" s="103">
        <f t="shared" si="4"/>
        <v>213</v>
      </c>
      <c r="Q231" s="152" t="s">
        <v>8</v>
      </c>
      <c r="R23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474-LCD-11741</v>
      </c>
      <c r="S231" s="121">
        <v>0</v>
      </c>
      <c r="T231" s="121">
        <v>1</v>
      </c>
      <c r="U231" s="121">
        <v>0</v>
      </c>
      <c r="V231" s="121">
        <f>MouserListTable1218[[#This Row],['#/Unit]]*FilterSpecs!$C$3+MouserListTable1218[[#This Row],[Extra]]</f>
        <v>1</v>
      </c>
      <c r="W231" s="121">
        <f>IF(MouserListTable1218[[#This Row],[Tag]]=FilterSpecs!$F$7,MouserListTable1218[[#This Row],[Price (USD)]],0)</f>
        <v>0</v>
      </c>
      <c r="X231" s="121">
        <f>MouserListTable1218[[#This Row],[Tot '#]]*MouserListTable1218[[#This Row],[Price (USD)]]</f>
        <v>84.95</v>
      </c>
    </row>
    <row r="232" spans="1:24" s="144" customFormat="1" hidden="1" x14ac:dyDescent="0.3">
      <c r="A232" s="126" t="s">
        <v>1070</v>
      </c>
      <c r="B232" s="155" t="s">
        <v>2028</v>
      </c>
      <c r="C232" s="155" t="s">
        <v>8</v>
      </c>
      <c r="D232" s="106" t="str">
        <f>IF(MouserListTable1218[[#This Row],[Vendor]]=FilterSpecs!$A$8,MouserListTable1218[[#This Row],[Mouser SKU]], MouserListTable1218[[#This Row],[Supplier SKU]])</f>
        <v>LCD-11677</v>
      </c>
      <c r="E232" s="121">
        <f>MouserListTable1218[[#This Row],[Tot '#]]-MouserListTable1218[[#This Row],['# Initial]]</f>
        <v>0</v>
      </c>
      <c r="F232" s="121">
        <f>MouserListTable1218[[#This Row],['#/Unit]]*FilterSpecs!$B$3+MouserListTable1218[[#This Row],[Extra Initial]]</f>
        <v>0</v>
      </c>
      <c r="G232" s="103" t="s">
        <v>1748</v>
      </c>
      <c r="H232" s="103" t="s">
        <v>1749</v>
      </c>
      <c r="I232" s="103" t="s">
        <v>1750</v>
      </c>
      <c r="J232" s="103">
        <v>1</v>
      </c>
      <c r="K232" s="157">
        <v>84.95</v>
      </c>
      <c r="L232" s="103" t="s">
        <v>1914</v>
      </c>
      <c r="M232" s="146"/>
      <c r="N232" s="157">
        <f>MouserListTable1218[[#This Row],['# Initial]]*MouserListTable1218[[#This Row],[Price (USD)]]</f>
        <v>0</v>
      </c>
      <c r="O232" s="106" t="s">
        <v>1747</v>
      </c>
      <c r="P232" s="103">
        <f t="shared" si="4"/>
        <v>214</v>
      </c>
      <c r="Q232" s="152" t="s">
        <v>8</v>
      </c>
      <c r="R23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474-LCD-11677</v>
      </c>
      <c r="S232" s="121">
        <v>0</v>
      </c>
      <c r="T232" s="121">
        <v>0</v>
      </c>
      <c r="U232" s="121">
        <v>0</v>
      </c>
      <c r="V232" s="121">
        <f>MouserListTable1218[[#This Row],['#/Unit]]*FilterSpecs!$C$3+MouserListTable1218[[#This Row],[Extra]]</f>
        <v>0</v>
      </c>
      <c r="W232" s="121">
        <f>IF(MouserListTable1218[[#This Row],[Tag]]=FilterSpecs!$F$7,MouserListTable1218[[#This Row],[Price (USD)]],0)</f>
        <v>0</v>
      </c>
      <c r="X232" s="121">
        <f>MouserListTable1218[[#This Row],[Tot '#]]*MouserListTable1218[[#This Row],[Price (USD)]]</f>
        <v>0</v>
      </c>
    </row>
    <row r="233" spans="1:24" s="144" customFormat="1" hidden="1" x14ac:dyDescent="0.3">
      <c r="A233" s="126" t="s">
        <v>1070</v>
      </c>
      <c r="B233" s="155" t="s">
        <v>2028</v>
      </c>
      <c r="C233" s="155" t="s">
        <v>1898</v>
      </c>
      <c r="D233" s="106" t="str">
        <f>IF(MouserListTable1218[[#This Row],[Vendor]]=FilterSpecs!$A$8,MouserListTable1218[[#This Row],[Mouser SKU]], MouserListTable1218[[#This Row],[Supplier SKU]])</f>
        <v>2090</v>
      </c>
      <c r="E233" s="121">
        <f>MouserListTable1218[[#This Row],[Tot '#]]-MouserListTable1218[[#This Row],['# Initial]]</f>
        <v>0</v>
      </c>
      <c r="F233" s="121">
        <f>MouserListTable1218[[#This Row],['#/Unit]]*FilterSpecs!$B$3+MouserListTable1218[[#This Row],[Extra Initial]]</f>
        <v>0</v>
      </c>
      <c r="G233" s="103"/>
      <c r="H233" s="103"/>
      <c r="I233" s="103" t="s">
        <v>2097</v>
      </c>
      <c r="J233" s="103"/>
      <c r="K233" s="157">
        <v>39.950000000000003</v>
      </c>
      <c r="L233" s="103" t="s">
        <v>1910</v>
      </c>
      <c r="M233" s="146"/>
      <c r="N233" s="157">
        <f>MouserListTable1218[[#This Row],['# Initial]]*MouserListTable1218[[#This Row],[Price (USD)]]</f>
        <v>0</v>
      </c>
      <c r="O233" s="106" t="s">
        <v>2096</v>
      </c>
      <c r="P233" s="103">
        <f t="shared" si="4"/>
        <v>215</v>
      </c>
      <c r="Q233" s="152" t="s">
        <v>1898</v>
      </c>
      <c r="R23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485-2090</v>
      </c>
      <c r="S233" s="121">
        <v>0</v>
      </c>
      <c r="T233" s="121">
        <v>0</v>
      </c>
      <c r="U233" s="121">
        <v>0</v>
      </c>
      <c r="V233" s="121">
        <f>MouserListTable1218[[#This Row],['#/Unit]]*FilterSpecs!$C$3+MouserListTable1218[[#This Row],[Extra]]</f>
        <v>0</v>
      </c>
      <c r="W233" s="121">
        <f>IF(MouserListTable1218[[#This Row],[Tag]]=FilterSpecs!$F$7,MouserListTable1218[[#This Row],[Price (USD)]],0)</f>
        <v>0</v>
      </c>
      <c r="X233" s="121">
        <f>MouserListTable1218[[#This Row],[Tot '#]]*MouserListTable1218[[#This Row],[Price (USD)]]</f>
        <v>0</v>
      </c>
    </row>
    <row r="234" spans="1:24" s="144" customFormat="1" hidden="1" x14ac:dyDescent="0.3">
      <c r="A234" s="103" t="s">
        <v>1070</v>
      </c>
      <c r="B234" s="155" t="s">
        <v>2028</v>
      </c>
      <c r="C234" s="103" t="s">
        <v>1898</v>
      </c>
      <c r="D234" s="106" t="str">
        <f>IF(MouserListTable1218[[#This Row],[Vendor]]=FilterSpecs!$A$8,MouserListTable1218[[#This Row],[Mouser SKU]], MouserListTable1218[[#This Row],[Supplier SKU]])</f>
        <v>1947</v>
      </c>
      <c r="E234" s="121">
        <f>MouserListTable1218[[#This Row],[Tot '#]]-MouserListTable1218[[#This Row],['# Initial]]</f>
        <v>0</v>
      </c>
      <c r="F234" s="121">
        <f>MouserListTable1218[[#This Row],['#/Unit]]*FilterSpecs!$B$3+MouserListTable1218[[#This Row],[Extra Initial]]</f>
        <v>0</v>
      </c>
      <c r="G234" s="103"/>
      <c r="H234" s="103"/>
      <c r="I234" s="126" t="s">
        <v>2099</v>
      </c>
      <c r="J234" s="146"/>
      <c r="K234" s="158">
        <v>44.95</v>
      </c>
      <c r="L234" s="126" t="s">
        <v>1910</v>
      </c>
      <c r="M234" s="146"/>
      <c r="N234" s="157">
        <f>MouserListTable1218[[#This Row],['# Initial]]*MouserListTable1218[[#This Row],[Price (USD)]]</f>
        <v>0</v>
      </c>
      <c r="O234" s="106" t="s">
        <v>2098</v>
      </c>
      <c r="P234" s="103">
        <f t="shared" si="4"/>
        <v>216</v>
      </c>
      <c r="Q234" s="103" t="s">
        <v>1898</v>
      </c>
      <c r="R23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485-1947</v>
      </c>
      <c r="S234" s="121">
        <v>0</v>
      </c>
      <c r="T234" s="121">
        <v>0</v>
      </c>
      <c r="U234" s="121">
        <v>0</v>
      </c>
      <c r="V234" s="121">
        <f>MouserListTable1218[[#This Row],['#/Unit]]*FilterSpecs!$C$3+MouserListTable1218[[#This Row],[Extra]]</f>
        <v>0</v>
      </c>
      <c r="W234" s="121">
        <f>IF(MouserListTable1218[[#This Row],[Tag]]=FilterSpecs!$F$7,MouserListTable1218[[#This Row],[Price (USD)]],0)</f>
        <v>0</v>
      </c>
      <c r="X234" s="121">
        <f>MouserListTable1218[[#This Row],[Tot '#]]*MouserListTable1218[[#This Row],[Price (USD)]]</f>
        <v>0</v>
      </c>
    </row>
    <row r="235" spans="1:24" s="146" customFormat="1" hidden="1" x14ac:dyDescent="0.3">
      <c r="A235" s="103" t="s">
        <v>1070</v>
      </c>
      <c r="B235" s="152" t="s">
        <v>2028</v>
      </c>
      <c r="C235" s="103" t="s">
        <v>8</v>
      </c>
      <c r="D235" s="106" t="str">
        <f>IF(MouserListTable1218[[#This Row],[Vendor]]=FilterSpecs!$A$8,MouserListTable1218[[#This Row],[Mouser SKU]], MouserListTable1218[[#This Row],[Supplier SKU]])</f>
        <v>DEV-11814</v>
      </c>
      <c r="E235" s="121">
        <f>MouserListTable1218[[#This Row],[Tot '#]]-MouserListTable1218[[#This Row],['# Initial]]</f>
        <v>1</v>
      </c>
      <c r="F235" s="121">
        <f>MouserListTable1218[[#This Row],['#/Unit]]*FilterSpecs!$B$3+MouserListTable1218[[#This Row],[Extra Initial]]</f>
        <v>0</v>
      </c>
      <c r="G235" s="103" t="s">
        <v>1744</v>
      </c>
      <c r="H235" s="103" t="s">
        <v>1745</v>
      </c>
      <c r="I235" s="103" t="s">
        <v>1746</v>
      </c>
      <c r="J235" s="146">
        <v>1</v>
      </c>
      <c r="K235" s="157">
        <v>24.95</v>
      </c>
      <c r="L235" s="103" t="s">
        <v>1914</v>
      </c>
      <c r="M235" s="106"/>
      <c r="N235" s="157">
        <f>MouserListTable1218[[#This Row],['# Initial]]*MouserListTable1218[[#This Row],[Price (USD)]]</f>
        <v>0</v>
      </c>
      <c r="O235" s="106" t="s">
        <v>1743</v>
      </c>
      <c r="P235" s="103">
        <f t="shared" si="4"/>
        <v>217</v>
      </c>
      <c r="Q235" s="103" t="s">
        <v>8</v>
      </c>
      <c r="R23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474-DEV-11814</v>
      </c>
      <c r="S235" s="121">
        <v>0</v>
      </c>
      <c r="T235" s="121">
        <v>1</v>
      </c>
      <c r="U235" s="121">
        <v>0</v>
      </c>
      <c r="V235" s="121">
        <f>MouserListTable1218[[#This Row],['#/Unit]]*FilterSpecs!$C$3+MouserListTable1218[[#This Row],[Extra]]</f>
        <v>1</v>
      </c>
      <c r="W235" s="121">
        <f>IF(MouserListTable1218[[#This Row],[Tag]]=FilterSpecs!$F$7,MouserListTable1218[[#This Row],[Price (USD)]],0)</f>
        <v>0</v>
      </c>
      <c r="X235" s="121">
        <f>MouserListTable1218[[#This Row],[Tot '#]]*MouserListTable1218[[#This Row],[Price (USD)]]</f>
        <v>24.95</v>
      </c>
    </row>
    <row r="236" spans="1:24" s="146" customFormat="1" hidden="1" x14ac:dyDescent="0.3">
      <c r="A236" s="103" t="s">
        <v>1070</v>
      </c>
      <c r="B236" s="152" t="s">
        <v>1071</v>
      </c>
      <c r="C236" s="152" t="s">
        <v>8</v>
      </c>
      <c r="D236" s="106" t="str">
        <f>IF(MouserListTable1218[[#This Row],[Vendor]]=FilterSpecs!$A$8,MouserListTable1218[[#This Row],[Mouser SKU]], MouserListTable1218[[#This Row],[Supplier SKU]])</f>
        <v>DEV-14022</v>
      </c>
      <c r="E236" s="121">
        <f>MouserListTable1218[[#This Row],[Tot '#]]-MouserListTable1218[[#This Row],['# Initial]]</f>
        <v>1</v>
      </c>
      <c r="F236" s="121">
        <f>MouserListTable1218[[#This Row],['#/Unit]]*FilterSpecs!$B$3+MouserListTable1218[[#This Row],[Extra Initial]]</f>
        <v>0</v>
      </c>
      <c r="G236" s="103" t="s">
        <v>982</v>
      </c>
      <c r="H236" s="103" t="s">
        <v>983</v>
      </c>
      <c r="I236" s="103" t="s">
        <v>984</v>
      </c>
      <c r="J236" s="103"/>
      <c r="K236" s="157">
        <v>209.95</v>
      </c>
      <c r="L236" s="103" t="s">
        <v>1914</v>
      </c>
      <c r="M236" s="103" t="s">
        <v>1062</v>
      </c>
      <c r="N236" s="157">
        <f>MouserListTable1218[[#This Row],['# Initial]]*MouserListTable1218[[#This Row],[Price (USD)]]</f>
        <v>0</v>
      </c>
      <c r="O236" s="106" t="s">
        <v>981</v>
      </c>
      <c r="P236" s="103">
        <f t="shared" si="4"/>
        <v>218</v>
      </c>
      <c r="Q236" s="152" t="s">
        <v>8</v>
      </c>
      <c r="R23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474-DEV-14022</v>
      </c>
      <c r="S236" s="121">
        <v>0</v>
      </c>
      <c r="T236" s="121">
        <v>1</v>
      </c>
      <c r="U236" s="121">
        <v>0</v>
      </c>
      <c r="V236" s="121">
        <f>MouserListTable1218[[#This Row],['#/Unit]]*FilterSpecs!$C$3+MouserListTable1218[[#This Row],[Extra]]</f>
        <v>1</v>
      </c>
      <c r="W236" s="121">
        <f>IF(MouserListTable1218[[#This Row],[Tag]]=FilterSpecs!$F$7,MouserListTable1218[[#This Row],[Price (USD)]],0)</f>
        <v>0</v>
      </c>
      <c r="X236" s="121">
        <f>MouserListTable1218[[#This Row],[Tot '#]]*MouserListTable1218[[#This Row],[Price (USD)]]</f>
        <v>209.95</v>
      </c>
    </row>
    <row r="237" spans="1:24" s="146" customFormat="1" hidden="1" x14ac:dyDescent="0.3">
      <c r="A237" s="103" t="s">
        <v>1070</v>
      </c>
      <c r="B237" s="152" t="s">
        <v>1437</v>
      </c>
      <c r="C237" s="152" t="s">
        <v>8</v>
      </c>
      <c r="D237" s="106" t="str">
        <f>IF(MouserListTable1218[[#This Row],[Vendor]]=FilterSpecs!$A$8,MouserListTable1218[[#This Row],[Mouser SKU]], MouserListTable1218[[#This Row],[Supplier SKU]])</f>
        <v>COM-13316</v>
      </c>
      <c r="E237" s="121">
        <f>MouserListTable1218[[#This Row],[Tot '#]]-MouserListTable1218[[#This Row],['# Initial]]</f>
        <v>1</v>
      </c>
      <c r="F237" s="121">
        <f>MouserListTable1218[[#This Row],['#/Unit]]*FilterSpecs!$B$3+MouserListTable1218[[#This Row],[Extra Initial]]</f>
        <v>0</v>
      </c>
      <c r="G237" s="103" t="s">
        <v>978</v>
      </c>
      <c r="H237" s="103" t="s">
        <v>979</v>
      </c>
      <c r="I237" s="103" t="s">
        <v>980</v>
      </c>
      <c r="J237" s="103">
        <v>1</v>
      </c>
      <c r="K237" s="157">
        <v>49.95</v>
      </c>
      <c r="L237" s="103" t="s">
        <v>1910</v>
      </c>
      <c r="M237" s="103" t="s">
        <v>1061</v>
      </c>
      <c r="N237" s="157">
        <f>MouserListTable1218[[#This Row],['# Initial]]*MouserListTable1218[[#This Row],[Price (USD)]]</f>
        <v>0</v>
      </c>
      <c r="O237" s="106" t="s">
        <v>977</v>
      </c>
      <c r="P237" s="103">
        <f t="shared" si="4"/>
        <v>219</v>
      </c>
      <c r="Q237" s="152" t="s">
        <v>8</v>
      </c>
      <c r="R23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474-COM-13316</v>
      </c>
      <c r="S237" s="121">
        <v>0</v>
      </c>
      <c r="T237" s="121">
        <v>1</v>
      </c>
      <c r="U237" s="121">
        <v>0</v>
      </c>
      <c r="V237" s="121">
        <f>MouserListTable1218[[#This Row],['#/Unit]]*FilterSpecs!$C$3+MouserListTable1218[[#This Row],[Extra]]</f>
        <v>1</v>
      </c>
      <c r="W237" s="121">
        <f>IF(MouserListTable1218[[#This Row],[Tag]]=FilterSpecs!$F$7,MouserListTable1218[[#This Row],[Price (USD)]],0)</f>
        <v>0</v>
      </c>
      <c r="X237" s="121">
        <f>MouserListTable1218[[#This Row],[Tot '#]]*MouserListTable1218[[#This Row],[Price (USD)]]</f>
        <v>49.95</v>
      </c>
    </row>
    <row r="238" spans="1:24" s="146" customFormat="1" hidden="1" x14ac:dyDescent="0.3">
      <c r="A238" s="103" t="s">
        <v>1070</v>
      </c>
      <c r="B238" s="103" t="s">
        <v>2023</v>
      </c>
      <c r="C238" s="103" t="s">
        <v>1898</v>
      </c>
      <c r="D238" s="106" t="str">
        <f>IF(MouserListTable1218[[#This Row],[Vendor]]=FilterSpecs!$A$8,MouserListTable1218[[#This Row],[Mouser SKU]], MouserListTable1218[[#This Row],[Supplier SKU]])</f>
        <v>1407</v>
      </c>
      <c r="E238" s="121">
        <f>MouserListTable1218[[#This Row],[Tot '#]]-MouserListTable1218[[#This Row],['# Initial]]</f>
        <v>0</v>
      </c>
      <c r="F238" s="121">
        <f>MouserListTable1218[[#This Row],['#/Unit]]*FilterSpecs!$B$3+MouserListTable1218[[#This Row],[Extra Initial]]</f>
        <v>0</v>
      </c>
      <c r="G238" s="103"/>
      <c r="H238" s="103"/>
      <c r="I238" s="126" t="s">
        <v>2349</v>
      </c>
      <c r="K238" s="158">
        <v>9.9499999999999993</v>
      </c>
      <c r="L238" s="126" t="s">
        <v>1910</v>
      </c>
      <c r="N238" s="157">
        <f>MouserListTable1218[[#This Row],['# Initial]]*MouserListTable1218[[#This Row],[Price (USD)]]</f>
        <v>0</v>
      </c>
      <c r="O238" s="106" t="s">
        <v>2348</v>
      </c>
      <c r="P238" s="103">
        <f t="shared" si="4"/>
        <v>220</v>
      </c>
      <c r="Q238" s="103" t="s">
        <v>1898</v>
      </c>
      <c r="R23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485-1407</v>
      </c>
      <c r="S238" s="121">
        <v>0</v>
      </c>
      <c r="T238" s="121">
        <v>0</v>
      </c>
      <c r="U238" s="121">
        <v>0</v>
      </c>
      <c r="V238" s="121">
        <f>MouserListTable1218[[#This Row],['#/Unit]]*FilterSpecs!$C$3+MouserListTable1218[[#This Row],[Extra]]</f>
        <v>0</v>
      </c>
      <c r="W238" s="121">
        <f>IF(MouserListTable1218[[#This Row],[Tag]]=FilterSpecs!$F$7,MouserListTable1218[[#This Row],[Price (USD)]],0)</f>
        <v>0</v>
      </c>
      <c r="X238" s="121">
        <f>MouserListTable1218[[#This Row],[Tot '#]]*MouserListTable1218[[#This Row],[Price (USD)]]</f>
        <v>0</v>
      </c>
    </row>
    <row r="239" spans="1:24" s="146" customFormat="1" hidden="1" x14ac:dyDescent="0.3">
      <c r="A239" s="103" t="s">
        <v>1070</v>
      </c>
      <c r="B239" s="103" t="s">
        <v>2023</v>
      </c>
      <c r="C239" s="103" t="s">
        <v>1898</v>
      </c>
      <c r="D239" s="106" t="str">
        <f>IF(MouserListTable1218[[#This Row],[Vendor]]=FilterSpecs!$A$8,MouserListTable1218[[#This Row],[Mouser SKU]], MouserListTable1218[[#This Row],[Supplier SKU]])</f>
        <v>2116</v>
      </c>
      <c r="E239" s="121">
        <f>MouserListTable1218[[#This Row],[Tot '#]]-MouserListTable1218[[#This Row],['# Initial]]</f>
        <v>0</v>
      </c>
      <c r="F239" s="121">
        <f>MouserListTable1218[[#This Row],['#/Unit]]*FilterSpecs!$B$3+MouserListTable1218[[#This Row],[Extra Initial]]</f>
        <v>0</v>
      </c>
      <c r="G239" s="103"/>
      <c r="H239" s="103"/>
      <c r="I239" s="126" t="s">
        <v>2351</v>
      </c>
      <c r="K239" s="158">
        <v>24.95</v>
      </c>
      <c r="L239" s="126" t="s">
        <v>1910</v>
      </c>
      <c r="N239" s="157">
        <f>MouserListTable1218[[#This Row],['# Initial]]*MouserListTable1218[[#This Row],[Price (USD)]]</f>
        <v>0</v>
      </c>
      <c r="O239" s="106" t="s">
        <v>2350</v>
      </c>
      <c r="P239" s="103">
        <f t="shared" si="4"/>
        <v>221</v>
      </c>
      <c r="Q239" s="103" t="s">
        <v>1898</v>
      </c>
      <c r="R23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485-2116</v>
      </c>
      <c r="S239" s="121">
        <v>0</v>
      </c>
      <c r="T239" s="121">
        <v>0</v>
      </c>
      <c r="U239" s="121">
        <v>0</v>
      </c>
      <c r="V239" s="121">
        <f>MouserListTable1218[[#This Row],['#/Unit]]*FilterSpecs!$C$3+MouserListTable1218[[#This Row],[Extra]]</f>
        <v>0</v>
      </c>
      <c r="W239" s="121">
        <f>IF(MouserListTable1218[[#This Row],[Tag]]=FilterSpecs!$F$7,MouserListTable1218[[#This Row],[Price (USD)]],0)</f>
        <v>0</v>
      </c>
      <c r="X239" s="121">
        <f>MouserListTable1218[[#This Row],[Tot '#]]*MouserListTable1218[[#This Row],[Price (USD)]]</f>
        <v>0</v>
      </c>
    </row>
    <row r="240" spans="1:24" s="146" customFormat="1" hidden="1" x14ac:dyDescent="0.3">
      <c r="A240" s="103" t="s">
        <v>1070</v>
      </c>
      <c r="B240" s="103" t="s">
        <v>2023</v>
      </c>
      <c r="C240" s="103" t="s">
        <v>1898</v>
      </c>
      <c r="D240" s="106" t="str">
        <f>IF(MouserListTable1218[[#This Row],[Vendor]]=FilterSpecs!$A$8,MouserListTable1218[[#This Row],[Mouser SKU]], MouserListTable1218[[#This Row],[Supplier SKU]])</f>
        <v>2162</v>
      </c>
      <c r="E240" s="121">
        <f>MouserListTable1218[[#This Row],[Tot '#]]-MouserListTable1218[[#This Row],['# Initial]]</f>
        <v>0</v>
      </c>
      <c r="F240" s="121">
        <f>MouserListTable1218[[#This Row],['#/Unit]]*FilterSpecs!$B$3+MouserListTable1218[[#This Row],[Extra Initial]]</f>
        <v>0</v>
      </c>
      <c r="G240" s="103"/>
      <c r="H240" s="103"/>
      <c r="I240" s="126" t="s">
        <v>2353</v>
      </c>
      <c r="K240" s="158">
        <v>26.95</v>
      </c>
      <c r="L240" s="126" t="s">
        <v>1913</v>
      </c>
      <c r="N240" s="157">
        <f>MouserListTable1218[[#This Row],['# Initial]]*MouserListTable1218[[#This Row],[Price (USD)]]</f>
        <v>0</v>
      </c>
      <c r="O240" s="106" t="s">
        <v>2352</v>
      </c>
      <c r="P240" s="103">
        <f t="shared" si="4"/>
        <v>222</v>
      </c>
      <c r="Q240" s="103" t="s">
        <v>1898</v>
      </c>
      <c r="R24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485-2162</v>
      </c>
      <c r="S240" s="121">
        <v>0</v>
      </c>
      <c r="T240" s="121">
        <v>0</v>
      </c>
      <c r="U240" s="121">
        <v>0</v>
      </c>
      <c r="V240" s="121">
        <f>MouserListTable1218[[#This Row],['#/Unit]]*FilterSpecs!$C$3+MouserListTable1218[[#This Row],[Extra]]</f>
        <v>0</v>
      </c>
      <c r="W240" s="121">
        <f>IF(MouserListTable1218[[#This Row],[Tag]]=FilterSpecs!$F$7,MouserListTable1218[[#This Row],[Price (USD)]],0)</f>
        <v>0</v>
      </c>
      <c r="X240" s="121">
        <f>MouserListTable1218[[#This Row],[Tot '#]]*MouserListTable1218[[#This Row],[Price (USD)]]</f>
        <v>0</v>
      </c>
    </row>
    <row r="241" spans="1:24" s="146" customFormat="1" hidden="1" x14ac:dyDescent="0.3">
      <c r="A241" s="103" t="s">
        <v>1070</v>
      </c>
      <c r="B241" s="103" t="s">
        <v>2023</v>
      </c>
      <c r="C241" s="103" t="s">
        <v>1898</v>
      </c>
      <c r="D241" s="106" t="str">
        <f>IF(MouserListTable1218[[#This Row],[Vendor]]=FilterSpecs!$A$8,MouserListTable1218[[#This Row],[Mouser SKU]], MouserListTable1218[[#This Row],[Supplier SKU]])</f>
        <v>1901</v>
      </c>
      <c r="E241" s="121">
        <f>MouserListTable1218[[#This Row],[Tot '#]]-MouserListTable1218[[#This Row],['# Initial]]</f>
        <v>0</v>
      </c>
      <c r="F241" s="121">
        <f>MouserListTable1218[[#This Row],['#/Unit]]*FilterSpecs!$B$3+MouserListTable1218[[#This Row],[Extra Initial]]</f>
        <v>0</v>
      </c>
      <c r="G241" s="103"/>
      <c r="H241" s="103"/>
      <c r="I241" s="126" t="s">
        <v>2355</v>
      </c>
      <c r="K241" s="158">
        <v>14.95</v>
      </c>
      <c r="L241" s="126" t="s">
        <v>1910</v>
      </c>
      <c r="N241" s="157">
        <f>MouserListTable1218[[#This Row],['# Initial]]*MouserListTable1218[[#This Row],[Price (USD)]]</f>
        <v>0</v>
      </c>
      <c r="O241" s="106" t="s">
        <v>2354</v>
      </c>
      <c r="P241" s="103">
        <f t="shared" si="4"/>
        <v>223</v>
      </c>
      <c r="Q241" s="103" t="s">
        <v>1898</v>
      </c>
      <c r="R24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485-1901</v>
      </c>
      <c r="S241" s="121">
        <v>0</v>
      </c>
      <c r="T241" s="121">
        <v>0</v>
      </c>
      <c r="U241" s="121">
        <v>0</v>
      </c>
      <c r="V241" s="121">
        <f>MouserListTable1218[[#This Row],['#/Unit]]*FilterSpecs!$C$3+MouserListTable1218[[#This Row],[Extra]]</f>
        <v>0</v>
      </c>
      <c r="W241" s="121">
        <f>IF(MouserListTable1218[[#This Row],[Tag]]=FilterSpecs!$F$7,MouserListTable1218[[#This Row],[Price (USD)]],0)</f>
        <v>0</v>
      </c>
      <c r="X241" s="121">
        <f>MouserListTable1218[[#This Row],[Tot '#]]*MouserListTable1218[[#This Row],[Price (USD)]]</f>
        <v>0</v>
      </c>
    </row>
    <row r="242" spans="1:24" s="146" customFormat="1" hidden="1" x14ac:dyDescent="0.3">
      <c r="A242" s="103" t="s">
        <v>1046</v>
      </c>
      <c r="B242" s="103" t="s">
        <v>1068</v>
      </c>
      <c r="C242" s="103" t="s">
        <v>8</v>
      </c>
      <c r="D242" s="106" t="str">
        <f>IF(MouserListTable1218[[#This Row],[Vendor]]=FilterSpecs!$A$8,MouserListTable1218[[#This Row],[Mouser SKU]], MouserListTable1218[[#This Row],[Supplier SKU]])</f>
        <v>DEV-14135</v>
      </c>
      <c r="E242" s="121">
        <f>MouserListTable1218[[#This Row],[Tot '#]]-MouserListTable1218[[#This Row],['# Initial]]</f>
        <v>1</v>
      </c>
      <c r="F242" s="121">
        <f>MouserListTable1218[[#This Row],['#/Unit]]*FilterSpecs!$B$3+MouserListTable1218[[#This Row],[Extra Initial]]</f>
        <v>0</v>
      </c>
      <c r="G242" s="103" t="s">
        <v>360</v>
      </c>
      <c r="H242" s="103" t="s">
        <v>361</v>
      </c>
      <c r="I242" s="103" t="s">
        <v>362</v>
      </c>
      <c r="J242" s="103">
        <v>1</v>
      </c>
      <c r="K242" s="157">
        <v>94.95</v>
      </c>
      <c r="L242" s="103" t="s">
        <v>1913</v>
      </c>
      <c r="M242" s="103" t="s">
        <v>1054</v>
      </c>
      <c r="N242" s="157">
        <f>MouserListTable1218[[#This Row],['# Initial]]*MouserListTable1218[[#This Row],[Price (USD)]]</f>
        <v>0</v>
      </c>
      <c r="O242" s="106" t="s">
        <v>359</v>
      </c>
      <c r="P242" s="103">
        <f t="shared" si="4"/>
        <v>224</v>
      </c>
      <c r="Q242" s="103" t="s">
        <v>8</v>
      </c>
      <c r="R24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474-DEV-14135</v>
      </c>
      <c r="S242" s="121">
        <v>0</v>
      </c>
      <c r="T242" s="121">
        <v>1</v>
      </c>
      <c r="U242" s="121">
        <v>0</v>
      </c>
      <c r="V242" s="121">
        <f>MouserListTable1218[[#This Row],['#/Unit]]*FilterSpecs!$C$3+MouserListTable1218[[#This Row],[Extra]]</f>
        <v>1</v>
      </c>
      <c r="W242" s="121">
        <f>IF(MouserListTable1218[[#This Row],[Tag]]=FilterSpecs!$F$7,MouserListTable1218[[#This Row],[Price (USD)]],0)</f>
        <v>0</v>
      </c>
      <c r="X242" s="121">
        <f>MouserListTable1218[[#This Row],[Tot '#]]*MouserListTable1218[[#This Row],[Price (USD)]]</f>
        <v>94.95</v>
      </c>
    </row>
    <row r="243" spans="1:24" s="146" customFormat="1" hidden="1" x14ac:dyDescent="0.3">
      <c r="A243" s="103" t="s">
        <v>1046</v>
      </c>
      <c r="B243" s="103" t="s">
        <v>1409</v>
      </c>
      <c r="C243" s="103" t="s">
        <v>8</v>
      </c>
      <c r="D243" s="106" t="str">
        <f>IF(MouserListTable1218[[#This Row],[Vendor]]=FilterSpecs!$A$8,MouserListTable1218[[#This Row],[Mouser SKU]], MouserListTable1218[[#This Row],[Supplier SKU]])</f>
        <v>DEV-14162</v>
      </c>
      <c r="E243" s="121">
        <f>MouserListTable1218[[#This Row],[Tot '#]]-MouserListTable1218[[#This Row],['# Initial]]</f>
        <v>1</v>
      </c>
      <c r="F243" s="121">
        <f>MouserListTable1218[[#This Row],['#/Unit]]*FilterSpecs!$B$3+MouserListTable1218[[#This Row],[Extra Initial]]</f>
        <v>0</v>
      </c>
      <c r="G243" s="103" t="s">
        <v>1331</v>
      </c>
      <c r="H243" s="103" t="s">
        <v>1332</v>
      </c>
      <c r="I243" s="103" t="s">
        <v>1333</v>
      </c>
      <c r="J243" s="103">
        <v>1</v>
      </c>
      <c r="K243" s="157">
        <v>69.95</v>
      </c>
      <c r="L243" s="103" t="s">
        <v>1914</v>
      </c>
      <c r="M243" s="103" t="s">
        <v>1350</v>
      </c>
      <c r="N243" s="157">
        <f>MouserListTable1218[[#This Row],['# Initial]]*MouserListTable1218[[#This Row],[Price (USD)]]</f>
        <v>0</v>
      </c>
      <c r="O243" s="106" t="s">
        <v>1330</v>
      </c>
      <c r="P243" s="103">
        <f t="shared" si="4"/>
        <v>225</v>
      </c>
      <c r="Q243" s="103" t="s">
        <v>8</v>
      </c>
      <c r="R24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474-DEV-14162</v>
      </c>
      <c r="S243" s="121">
        <v>0</v>
      </c>
      <c r="T243" s="121">
        <v>1</v>
      </c>
      <c r="U243" s="121">
        <v>0</v>
      </c>
      <c r="V243" s="121">
        <f>MouserListTable1218[[#This Row],['#/Unit]]*FilterSpecs!$C$3+MouserListTable1218[[#This Row],[Extra]]</f>
        <v>1</v>
      </c>
      <c r="W243" s="121">
        <f>IF(MouserListTable1218[[#This Row],[Tag]]=FilterSpecs!$F$7,MouserListTable1218[[#This Row],[Price (USD)]],0)</f>
        <v>0</v>
      </c>
      <c r="X243" s="121">
        <f>MouserListTable1218[[#This Row],[Tot '#]]*MouserListTable1218[[#This Row],[Price (USD)]]</f>
        <v>69.95</v>
      </c>
    </row>
    <row r="244" spans="1:24" s="146" customFormat="1" hidden="1" x14ac:dyDescent="0.3">
      <c r="A244" s="126" t="s">
        <v>1046</v>
      </c>
      <c r="B244" s="126" t="s">
        <v>1409</v>
      </c>
      <c r="C244" s="126" t="s">
        <v>8</v>
      </c>
      <c r="D244" s="106" t="str">
        <f>IF(MouserListTable1218[[#This Row],[Vendor]]=FilterSpecs!$A$8,MouserListTable1218[[#This Row],[Mouser SKU]], MouserListTable1218[[#This Row],[Supplier SKU]])</f>
        <v>DEV-12774</v>
      </c>
      <c r="E244" s="121">
        <f>MouserListTable1218[[#This Row],[Tot '#]]-MouserListTable1218[[#This Row],['# Initial]]</f>
        <v>0</v>
      </c>
      <c r="F244" s="121">
        <f>MouserListTable1218[[#This Row],['#/Unit]]*FilterSpecs!$B$3+MouserListTable1218[[#This Row],[Extra Initial]]</f>
        <v>0</v>
      </c>
      <c r="G244" s="103" t="s">
        <v>1319</v>
      </c>
      <c r="H244" s="103" t="s">
        <v>1320</v>
      </c>
      <c r="I244" s="103" t="s">
        <v>1321</v>
      </c>
      <c r="J244" s="103"/>
      <c r="K244" s="157">
        <v>9.9499999999999993</v>
      </c>
      <c r="L244" s="103" t="s">
        <v>1914</v>
      </c>
      <c r="M244" s="103" t="s">
        <v>1350</v>
      </c>
      <c r="N244" s="157">
        <f>MouserListTable1218[[#This Row],['# Initial]]*MouserListTable1218[[#This Row],[Price (USD)]]</f>
        <v>0</v>
      </c>
      <c r="O244" s="106" t="s">
        <v>1318</v>
      </c>
      <c r="P244" s="103">
        <f t="shared" si="4"/>
        <v>226</v>
      </c>
      <c r="Q244" s="103" t="s">
        <v>8</v>
      </c>
      <c r="R24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474-DEV-12774</v>
      </c>
      <c r="S244" s="121">
        <v>0</v>
      </c>
      <c r="T244" s="121">
        <v>0</v>
      </c>
      <c r="U244" s="121">
        <v>0</v>
      </c>
      <c r="V244" s="121">
        <f>MouserListTable1218[[#This Row],['#/Unit]]*FilterSpecs!$C$3+MouserListTable1218[[#This Row],[Extra]]</f>
        <v>0</v>
      </c>
      <c r="W244" s="121">
        <f>IF(MouserListTable1218[[#This Row],[Tag]]=FilterSpecs!$F$7,MouserListTable1218[[#This Row],[Price (USD)]],0)</f>
        <v>0</v>
      </c>
      <c r="X244" s="121">
        <f>MouserListTable1218[[#This Row],[Tot '#]]*MouserListTable1218[[#This Row],[Price (USD)]]</f>
        <v>0</v>
      </c>
    </row>
    <row r="245" spans="1:24" s="146" customFormat="1" hidden="1" x14ac:dyDescent="0.3">
      <c r="A245" s="126" t="s">
        <v>1046</v>
      </c>
      <c r="B245" s="126" t="s">
        <v>1409</v>
      </c>
      <c r="C245" s="126" t="s">
        <v>8</v>
      </c>
      <c r="D245" s="106" t="str">
        <f>IF(MouserListTable1218[[#This Row],[Vendor]]=FilterSpecs!$A$8,MouserListTable1218[[#This Row],[Mouser SKU]], MouserListTable1218[[#This Row],[Supplier SKU]])</f>
        <v>DEV-12086</v>
      </c>
      <c r="E245" s="121">
        <f>MouserListTable1218[[#This Row],[Tot '#]]-MouserListTable1218[[#This Row],['# Initial]]</f>
        <v>0</v>
      </c>
      <c r="F245" s="121">
        <f>MouserListTable1218[[#This Row],['#/Unit]]*FilterSpecs!$B$3+MouserListTable1218[[#This Row],[Extra Initial]]</f>
        <v>0</v>
      </c>
      <c r="G245" s="103" t="s">
        <v>1323</v>
      </c>
      <c r="H245" s="103" t="s">
        <v>1324</v>
      </c>
      <c r="I245" s="103" t="s">
        <v>1325</v>
      </c>
      <c r="J245" s="103">
        <v>1</v>
      </c>
      <c r="K245" s="157">
        <v>99.95</v>
      </c>
      <c r="L245" s="103" t="s">
        <v>1914</v>
      </c>
      <c r="M245" s="103" t="s">
        <v>1350</v>
      </c>
      <c r="N245" s="157">
        <f>MouserListTable1218[[#This Row],['# Initial]]*MouserListTable1218[[#This Row],[Price (USD)]]</f>
        <v>0</v>
      </c>
      <c r="O245" s="106" t="s">
        <v>1322</v>
      </c>
      <c r="P245" s="103">
        <f t="shared" si="4"/>
        <v>227</v>
      </c>
      <c r="Q245" s="103" t="s">
        <v>8</v>
      </c>
      <c r="R24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474-DEV-12086</v>
      </c>
      <c r="S245" s="121">
        <v>0</v>
      </c>
      <c r="T245" s="121">
        <v>0</v>
      </c>
      <c r="U245" s="121">
        <v>0</v>
      </c>
      <c r="V245" s="121">
        <f>MouserListTable1218[[#This Row],['#/Unit]]*FilterSpecs!$C$3+MouserListTable1218[[#This Row],[Extra]]</f>
        <v>0</v>
      </c>
      <c r="W245" s="121">
        <f>IF(MouserListTable1218[[#This Row],[Tag]]=FilterSpecs!$F$7,MouserListTable1218[[#This Row],[Price (USD)]],0)</f>
        <v>0</v>
      </c>
      <c r="X245" s="121">
        <f>MouserListTable1218[[#This Row],[Tot '#]]*MouserListTable1218[[#This Row],[Price (USD)]]</f>
        <v>0</v>
      </c>
    </row>
    <row r="246" spans="1:24" s="146" customFormat="1" hidden="1" x14ac:dyDescent="0.3">
      <c r="A246" s="126" t="s">
        <v>1046</v>
      </c>
      <c r="B246" s="126" t="s">
        <v>1409</v>
      </c>
      <c r="C246" s="126" t="s">
        <v>8</v>
      </c>
      <c r="D246" s="106" t="str">
        <f>IF(MouserListTable1218[[#This Row],[Vendor]]=FilterSpecs!$A$8,MouserListTable1218[[#This Row],[Mouser SKU]], MouserListTable1218[[#This Row],[Supplier SKU]])</f>
        <v>DEV-12085</v>
      </c>
      <c r="E246" s="121">
        <f>MouserListTable1218[[#This Row],[Tot '#]]-MouserListTable1218[[#This Row],['# Initial]]</f>
        <v>0</v>
      </c>
      <c r="F246" s="121">
        <f>MouserListTable1218[[#This Row],['#/Unit]]*FilterSpecs!$B$3+MouserListTable1218[[#This Row],[Extra Initial]]</f>
        <v>0</v>
      </c>
      <c r="G246" s="103" t="s">
        <v>1327</v>
      </c>
      <c r="H246" s="103" t="s">
        <v>1328</v>
      </c>
      <c r="I246" s="103" t="s">
        <v>1329</v>
      </c>
      <c r="J246" s="103">
        <v>1</v>
      </c>
      <c r="K246" s="157">
        <v>65.95</v>
      </c>
      <c r="L246" s="103" t="s">
        <v>1914</v>
      </c>
      <c r="M246" s="103" t="s">
        <v>1350</v>
      </c>
      <c r="N246" s="157">
        <f>MouserListTable1218[[#This Row],['# Initial]]*MouserListTable1218[[#This Row],[Price (USD)]]</f>
        <v>0</v>
      </c>
      <c r="O246" s="106" t="s">
        <v>1326</v>
      </c>
      <c r="P246" s="103">
        <f t="shared" si="4"/>
        <v>228</v>
      </c>
      <c r="Q246" s="103" t="s">
        <v>8</v>
      </c>
      <c r="R24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474-DEV-12085</v>
      </c>
      <c r="S246" s="121">
        <v>0</v>
      </c>
      <c r="T246" s="121">
        <v>0</v>
      </c>
      <c r="U246" s="121">
        <v>0</v>
      </c>
      <c r="V246" s="121">
        <f>MouserListTable1218[[#This Row],['#/Unit]]*FilterSpecs!$C$3+MouserListTable1218[[#This Row],[Extra]]</f>
        <v>0</v>
      </c>
      <c r="W246" s="121">
        <f>IF(MouserListTable1218[[#This Row],[Tag]]=FilterSpecs!$F$7,MouserListTable1218[[#This Row],[Price (USD)]],0)</f>
        <v>0</v>
      </c>
      <c r="X246" s="121">
        <f>MouserListTable1218[[#This Row],[Tot '#]]*MouserListTable1218[[#This Row],[Price (USD)]]</f>
        <v>0</v>
      </c>
    </row>
    <row r="247" spans="1:24" s="146" customFormat="1" hidden="1" x14ac:dyDescent="0.3">
      <c r="A247" s="126" t="s">
        <v>1046</v>
      </c>
      <c r="B247" s="126" t="s">
        <v>1409</v>
      </c>
      <c r="C247" s="126" t="s">
        <v>8</v>
      </c>
      <c r="D247" s="106" t="str">
        <f>IF(MouserListTable1218[[#This Row],[Vendor]]=FilterSpecs!$A$8,MouserListTable1218[[#This Row],[Mouser SKU]], MouserListTable1218[[#This Row],[Supplier SKU]])</f>
        <v>PRT-12842</v>
      </c>
      <c r="E247" s="121">
        <f>MouserListTable1218[[#This Row],[Tot '#]]-MouserListTable1218[[#This Row],['# Initial]]</f>
        <v>0</v>
      </c>
      <c r="F247" s="121">
        <f>MouserListTable1218[[#This Row],['#/Unit]]*FilterSpecs!$B$3+MouserListTable1218[[#This Row],[Extra Initial]]</f>
        <v>0</v>
      </c>
      <c r="G247" s="103" t="s">
        <v>1315</v>
      </c>
      <c r="H247" s="103" t="s">
        <v>1316</v>
      </c>
      <c r="I247" s="103" t="s">
        <v>1317</v>
      </c>
      <c r="J247" s="103"/>
      <c r="K247" s="157">
        <v>7.95</v>
      </c>
      <c r="L247" s="103" t="s">
        <v>1914</v>
      </c>
      <c r="M247" s="103" t="s">
        <v>1350</v>
      </c>
      <c r="N247" s="157">
        <f>MouserListTable1218[[#This Row],['# Initial]]*MouserListTable1218[[#This Row],[Price (USD)]]</f>
        <v>0</v>
      </c>
      <c r="O247" s="106" t="s">
        <v>1314</v>
      </c>
      <c r="P247" s="103">
        <f t="shared" si="4"/>
        <v>229</v>
      </c>
      <c r="Q247" s="103" t="s">
        <v>8</v>
      </c>
      <c r="R24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474-PRT-12842</v>
      </c>
      <c r="S247" s="121">
        <v>0</v>
      </c>
      <c r="T247" s="121">
        <v>0</v>
      </c>
      <c r="U247" s="121">
        <v>0</v>
      </c>
      <c r="V247" s="121">
        <f>MouserListTable1218[[#This Row],['#/Unit]]*FilterSpecs!$C$3+MouserListTable1218[[#This Row],[Extra]]</f>
        <v>0</v>
      </c>
      <c r="W247" s="121">
        <f>IF(MouserListTable1218[[#This Row],[Tag]]=FilterSpecs!$F$7,MouserListTable1218[[#This Row],[Price (USD)]],0)</f>
        <v>0</v>
      </c>
      <c r="X247" s="121">
        <f>MouserListTable1218[[#This Row],[Tot '#]]*MouserListTable1218[[#This Row],[Price (USD)]]</f>
        <v>0</v>
      </c>
    </row>
    <row r="248" spans="1:24" s="146" customFormat="1" hidden="1" x14ac:dyDescent="0.3">
      <c r="A248" s="103" t="s">
        <v>1046</v>
      </c>
      <c r="B248" s="103" t="s">
        <v>1409</v>
      </c>
      <c r="C248" s="103" t="s">
        <v>1898</v>
      </c>
      <c r="D248" s="106" t="str">
        <f>IF(MouserListTable1218[[#This Row],[Vendor]]=FilterSpecs!$A$8,MouserListTable1218[[#This Row],[Mouser SKU]], MouserListTable1218[[#This Row],[Supplier SKU]])</f>
        <v>3396</v>
      </c>
      <c r="E248" s="121">
        <f>MouserListTable1218[[#This Row],[Tot '#]]-MouserListTable1218[[#This Row],['# Initial]]</f>
        <v>1</v>
      </c>
      <c r="F248" s="121">
        <f>MouserListTable1218[[#This Row],['#/Unit]]*FilterSpecs!$B$3+MouserListTable1218[[#This Row],[Extra Initial]]</f>
        <v>0</v>
      </c>
      <c r="G248" s="103"/>
      <c r="H248" s="103"/>
      <c r="I248" s="103" t="s">
        <v>2377</v>
      </c>
      <c r="K248" s="157">
        <v>49.95</v>
      </c>
      <c r="L248" s="103" t="s">
        <v>1914</v>
      </c>
      <c r="M248" s="106"/>
      <c r="N248" s="157">
        <f>MouserListTable1218[[#This Row],['# Initial]]*MouserListTable1218[[#This Row],[Price (USD)]]</f>
        <v>0</v>
      </c>
      <c r="O248" s="106" t="s">
        <v>2376</v>
      </c>
      <c r="P248" s="103">
        <f t="shared" si="4"/>
        <v>230</v>
      </c>
      <c r="Q248" s="103" t="s">
        <v>1898</v>
      </c>
      <c r="R24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485-3396</v>
      </c>
      <c r="S248" s="121">
        <v>0</v>
      </c>
      <c r="T248" s="121">
        <v>1</v>
      </c>
      <c r="U248" s="121">
        <v>0</v>
      </c>
      <c r="V248" s="121">
        <f>MouserListTable1218[[#This Row],['#/Unit]]*FilterSpecs!$C$3+MouserListTable1218[[#This Row],[Extra]]</f>
        <v>1</v>
      </c>
      <c r="W248" s="121">
        <f>IF(MouserListTable1218[[#This Row],[Tag]]=FilterSpecs!$F$7,MouserListTable1218[[#This Row],[Price (USD)]],0)</f>
        <v>0</v>
      </c>
      <c r="X248" s="121">
        <f>MouserListTable1218[[#This Row],[Tot '#]]*MouserListTable1218[[#This Row],[Price (USD)]]</f>
        <v>49.95</v>
      </c>
    </row>
    <row r="249" spans="1:24" s="146" customFormat="1" hidden="1" x14ac:dyDescent="0.3">
      <c r="A249" s="103" t="s">
        <v>1046</v>
      </c>
      <c r="B249" s="103" t="s">
        <v>1409</v>
      </c>
      <c r="C249" s="103" t="s">
        <v>1898</v>
      </c>
      <c r="D249" s="106" t="str">
        <f>IF(MouserListTable1218[[#This Row],[Vendor]]=FilterSpecs!$A$8,MouserListTable1218[[#This Row],[Mouser SKU]], MouserListTable1218[[#This Row],[Supplier SKU]])</f>
        <v>1555</v>
      </c>
      <c r="E249" s="121">
        <f>MouserListTable1218[[#This Row],[Tot '#]]-MouserListTable1218[[#This Row],['# Initial]]</f>
        <v>0</v>
      </c>
      <c r="F249" s="121">
        <f>MouserListTable1218[[#This Row],['#/Unit]]*FilterSpecs!$B$3+MouserListTable1218[[#This Row],[Extra Initial]]</f>
        <v>0</v>
      </c>
      <c r="G249" s="103"/>
      <c r="H249" s="103"/>
      <c r="I249" s="126" t="s">
        <v>2379</v>
      </c>
      <c r="K249" s="158">
        <v>9.9499999999999993</v>
      </c>
      <c r="L249" s="126" t="s">
        <v>1914</v>
      </c>
      <c r="N249" s="157">
        <f>MouserListTable1218[[#This Row],['# Initial]]*MouserListTable1218[[#This Row],[Price (USD)]]</f>
        <v>0</v>
      </c>
      <c r="O249" s="106" t="s">
        <v>2378</v>
      </c>
      <c r="P249" s="103">
        <f t="shared" si="4"/>
        <v>231</v>
      </c>
      <c r="Q249" s="103" t="s">
        <v>1898</v>
      </c>
      <c r="R24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485-1555</v>
      </c>
      <c r="S249" s="121">
        <v>0</v>
      </c>
      <c r="T249" s="121">
        <v>0</v>
      </c>
      <c r="U249" s="121">
        <v>0</v>
      </c>
      <c r="V249" s="121">
        <f>MouserListTable1218[[#This Row],['#/Unit]]*FilterSpecs!$C$3+MouserListTable1218[[#This Row],[Extra]]</f>
        <v>0</v>
      </c>
      <c r="W249" s="121">
        <f>IF(MouserListTable1218[[#This Row],[Tag]]=FilterSpecs!$F$7,MouserListTable1218[[#This Row],[Price (USD)]],0)</f>
        <v>0</v>
      </c>
      <c r="X249" s="121">
        <f>MouserListTable1218[[#This Row],[Tot '#]]*MouserListTable1218[[#This Row],[Price (USD)]]</f>
        <v>0</v>
      </c>
    </row>
    <row r="250" spans="1:24" s="146" customFormat="1" hidden="1" x14ac:dyDescent="0.3">
      <c r="A250" s="103" t="s">
        <v>1046</v>
      </c>
      <c r="B250" s="103" t="s">
        <v>1409</v>
      </c>
      <c r="C250" s="103" t="s">
        <v>1898</v>
      </c>
      <c r="D250" s="106" t="str">
        <f>IF(MouserListTable1218[[#This Row],[Vendor]]=FilterSpecs!$A$8,MouserListTable1218[[#This Row],[Mouser SKU]], MouserListTable1218[[#This Row],[Supplier SKU]])</f>
        <v>699</v>
      </c>
      <c r="E250" s="121">
        <f>MouserListTable1218[[#This Row],[Tot '#]]-MouserListTable1218[[#This Row],['# Initial]]</f>
        <v>0</v>
      </c>
      <c r="F250" s="121">
        <f>MouserListTable1218[[#This Row],['#/Unit]]*FilterSpecs!$B$3+MouserListTable1218[[#This Row],[Extra Initial]]</f>
        <v>0</v>
      </c>
      <c r="G250" s="103"/>
      <c r="H250" s="103"/>
      <c r="I250" s="126" t="s">
        <v>2381</v>
      </c>
      <c r="K250" s="158">
        <v>19.95</v>
      </c>
      <c r="L250" s="126" t="s">
        <v>1914</v>
      </c>
      <c r="N250" s="157">
        <f>MouserListTable1218[[#This Row],['# Initial]]*MouserListTable1218[[#This Row],[Price (USD)]]</f>
        <v>0</v>
      </c>
      <c r="O250" s="106" t="s">
        <v>2380</v>
      </c>
      <c r="P250" s="103">
        <f t="shared" si="4"/>
        <v>232</v>
      </c>
      <c r="Q250" s="103" t="s">
        <v>1898</v>
      </c>
      <c r="R25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485-699</v>
      </c>
      <c r="S250" s="121">
        <v>0</v>
      </c>
      <c r="T250" s="121">
        <v>0</v>
      </c>
      <c r="U250" s="121">
        <v>0</v>
      </c>
      <c r="V250" s="121">
        <f>MouserListTable1218[[#This Row],['#/Unit]]*FilterSpecs!$C$3+MouserListTable1218[[#This Row],[Extra]]</f>
        <v>0</v>
      </c>
      <c r="W250" s="121">
        <f>IF(MouserListTable1218[[#This Row],[Tag]]=FilterSpecs!$F$7,MouserListTable1218[[#This Row],[Price (USD)]],0)</f>
        <v>0</v>
      </c>
      <c r="X250" s="121">
        <f>MouserListTable1218[[#This Row],[Tot '#]]*MouserListTable1218[[#This Row],[Price (USD)]]</f>
        <v>0</v>
      </c>
    </row>
    <row r="251" spans="1:24" s="146" customFormat="1" hidden="1" x14ac:dyDescent="0.3">
      <c r="A251" s="103" t="s">
        <v>1046</v>
      </c>
      <c r="B251" s="103" t="s">
        <v>1409</v>
      </c>
      <c r="C251" s="103" t="s">
        <v>1898</v>
      </c>
      <c r="D251" s="106" t="str">
        <f>IF(MouserListTable1218[[#This Row],[Vendor]]=FilterSpecs!$A$8,MouserListTable1218[[#This Row],[Mouser SKU]], MouserListTable1218[[#This Row],[Supplier SKU]])</f>
        <v>572</v>
      </c>
      <c r="E251" s="121">
        <f>MouserListTable1218[[#This Row],[Tot '#]]-MouserListTable1218[[#This Row],['# Initial]]</f>
        <v>1</v>
      </c>
      <c r="F251" s="121">
        <f>MouserListTable1218[[#This Row],['#/Unit]]*FilterSpecs!$B$3+MouserListTable1218[[#This Row],[Extra Initial]]</f>
        <v>0</v>
      </c>
      <c r="G251" s="103"/>
      <c r="H251" s="103"/>
      <c r="I251" s="103" t="s">
        <v>2383</v>
      </c>
      <c r="K251" s="157">
        <v>9.9499999999999993</v>
      </c>
      <c r="L251" s="103" t="s">
        <v>1914</v>
      </c>
      <c r="M251" s="106"/>
      <c r="N251" s="157">
        <f>MouserListTable1218[[#This Row],['# Initial]]*MouserListTable1218[[#This Row],[Price (USD)]]</f>
        <v>0</v>
      </c>
      <c r="O251" s="106" t="s">
        <v>2382</v>
      </c>
      <c r="P251" s="103">
        <f t="shared" si="4"/>
        <v>233</v>
      </c>
      <c r="Q251" s="103" t="s">
        <v>1898</v>
      </c>
      <c r="R25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485-572</v>
      </c>
      <c r="S251" s="121">
        <v>0</v>
      </c>
      <c r="T251" s="121">
        <v>1</v>
      </c>
      <c r="U251" s="121">
        <v>0</v>
      </c>
      <c r="V251" s="121">
        <f>MouserListTable1218[[#This Row],['#/Unit]]*FilterSpecs!$C$3+MouserListTable1218[[#This Row],[Extra]]</f>
        <v>1</v>
      </c>
      <c r="W251" s="121">
        <f>IF(MouserListTable1218[[#This Row],[Tag]]=FilterSpecs!$F$7,MouserListTable1218[[#This Row],[Price (USD)]],0)</f>
        <v>0</v>
      </c>
      <c r="X251" s="121">
        <f>MouserListTable1218[[#This Row],[Tot '#]]*MouserListTable1218[[#This Row],[Price (USD)]]</f>
        <v>9.9499999999999993</v>
      </c>
    </row>
    <row r="252" spans="1:24" s="146" customFormat="1" hidden="1" x14ac:dyDescent="0.3">
      <c r="A252" s="103" t="s">
        <v>1046</v>
      </c>
      <c r="B252" s="103" t="s">
        <v>1409</v>
      </c>
      <c r="C252" s="103" t="s">
        <v>1898</v>
      </c>
      <c r="D252" s="106" t="str">
        <f>IF(MouserListTable1218[[#This Row],[Vendor]]=FilterSpecs!$A$8,MouserListTable1218[[#This Row],[Mouser SKU]], MouserListTable1218[[#This Row],[Supplier SKU]])</f>
        <v>702</v>
      </c>
      <c r="E252" s="121">
        <f>MouserListTable1218[[#This Row],[Tot '#]]-MouserListTable1218[[#This Row],['# Initial]]</f>
        <v>0</v>
      </c>
      <c r="F252" s="121">
        <f>MouserListTable1218[[#This Row],['#/Unit]]*FilterSpecs!$B$3+MouserListTable1218[[#This Row],[Extra Initial]]</f>
        <v>0</v>
      </c>
      <c r="G252" s="103"/>
      <c r="H252" s="103"/>
      <c r="I252" s="126" t="s">
        <v>2385</v>
      </c>
      <c r="K252" s="158">
        <v>7.95</v>
      </c>
      <c r="L252" s="126" t="s">
        <v>1914</v>
      </c>
      <c r="N252" s="157">
        <f>MouserListTable1218[[#This Row],['# Initial]]*MouserListTable1218[[#This Row],[Price (USD)]]</f>
        <v>0</v>
      </c>
      <c r="O252" s="106" t="s">
        <v>2384</v>
      </c>
      <c r="P252" s="103">
        <f t="shared" si="4"/>
        <v>234</v>
      </c>
      <c r="Q252" s="103" t="s">
        <v>1898</v>
      </c>
      <c r="R25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485-702</v>
      </c>
      <c r="S252" s="121">
        <v>0</v>
      </c>
      <c r="T252" s="121">
        <v>0</v>
      </c>
      <c r="U252" s="121">
        <v>0</v>
      </c>
      <c r="V252" s="121">
        <f>MouserListTable1218[[#This Row],['#/Unit]]*FilterSpecs!$C$3+MouserListTable1218[[#This Row],[Extra]]</f>
        <v>0</v>
      </c>
      <c r="W252" s="121">
        <f>IF(MouserListTable1218[[#This Row],[Tag]]=FilterSpecs!$F$7,MouserListTable1218[[#This Row],[Price (USD)]],0)</f>
        <v>0</v>
      </c>
      <c r="X252" s="121">
        <f>MouserListTable1218[[#This Row],[Tot '#]]*MouserListTable1218[[#This Row],[Price (USD)]]</f>
        <v>0</v>
      </c>
    </row>
    <row r="253" spans="1:24" s="146" customFormat="1" hidden="1" x14ac:dyDescent="0.3">
      <c r="A253" s="103" t="s">
        <v>1046</v>
      </c>
      <c r="B253" s="103" t="s">
        <v>1409</v>
      </c>
      <c r="C253" s="103" t="s">
        <v>1898</v>
      </c>
      <c r="D253" s="106" t="str">
        <f>IF(MouserListTable1218[[#This Row],[Vendor]]=FilterSpecs!$A$8,MouserListTable1218[[#This Row],[Mouser SKU]], MouserListTable1218[[#This Row],[Supplier SKU]])</f>
        <v>2627</v>
      </c>
      <c r="E253" s="121">
        <f>MouserListTable1218[[#This Row],[Tot '#]]-MouserListTable1218[[#This Row],['# Initial]]</f>
        <v>1</v>
      </c>
      <c r="F253" s="121">
        <f>MouserListTable1218[[#This Row],['#/Unit]]*FilterSpecs!$B$3+MouserListTable1218[[#This Row],[Extra Initial]]</f>
        <v>0</v>
      </c>
      <c r="G253" s="103"/>
      <c r="H253" s="103"/>
      <c r="I253" s="103" t="s">
        <v>2387</v>
      </c>
      <c r="K253" s="157">
        <v>39.950000000000003</v>
      </c>
      <c r="L253" s="103" t="s">
        <v>1914</v>
      </c>
      <c r="M253" s="106"/>
      <c r="N253" s="157">
        <f>MouserListTable1218[[#This Row],['# Initial]]*MouserListTable1218[[#This Row],[Price (USD)]]</f>
        <v>0</v>
      </c>
      <c r="O253" s="106" t="s">
        <v>2386</v>
      </c>
      <c r="P253" s="103">
        <f t="shared" si="4"/>
        <v>235</v>
      </c>
      <c r="Q253" s="103" t="s">
        <v>1898</v>
      </c>
      <c r="R25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485-2627</v>
      </c>
      <c r="S253" s="121">
        <v>0</v>
      </c>
      <c r="T253" s="121">
        <v>1</v>
      </c>
      <c r="U253" s="121">
        <v>0</v>
      </c>
      <c r="V253" s="121">
        <f>MouserListTable1218[[#This Row],['#/Unit]]*FilterSpecs!$C$3+MouserListTable1218[[#This Row],[Extra]]</f>
        <v>1</v>
      </c>
      <c r="W253" s="121">
        <f>IF(MouserListTable1218[[#This Row],[Tag]]=FilterSpecs!$F$7,MouserListTable1218[[#This Row],[Price (USD)]],0)</f>
        <v>0</v>
      </c>
      <c r="X253" s="121">
        <f>MouserListTable1218[[#This Row],[Tot '#]]*MouserListTable1218[[#This Row],[Price (USD)]]</f>
        <v>39.950000000000003</v>
      </c>
    </row>
    <row r="254" spans="1:24" s="146" customFormat="1" hidden="1" x14ac:dyDescent="0.3">
      <c r="A254" s="103" t="s">
        <v>1046</v>
      </c>
      <c r="B254" s="103" t="s">
        <v>1409</v>
      </c>
      <c r="C254" s="103" t="s">
        <v>1898</v>
      </c>
      <c r="D254" s="106" t="str">
        <f>IF(MouserListTable1218[[#This Row],[Vendor]]=FilterSpecs!$A$8,MouserListTable1218[[#This Row],[Mouser SKU]], MouserListTable1218[[#This Row],[Supplier SKU]])</f>
        <v>2628</v>
      </c>
      <c r="E254" s="121">
        <f>MouserListTable1218[[#This Row],[Tot '#]]-MouserListTable1218[[#This Row],['# Initial]]</f>
        <v>0</v>
      </c>
      <c r="F254" s="121">
        <f>MouserListTable1218[[#This Row],['#/Unit]]*FilterSpecs!$B$3+MouserListTable1218[[#This Row],[Extra Initial]]</f>
        <v>0</v>
      </c>
      <c r="G254" s="103"/>
      <c r="H254" s="103"/>
      <c r="I254" s="126" t="s">
        <v>2389</v>
      </c>
      <c r="K254" s="158">
        <v>39.950000000000003</v>
      </c>
      <c r="L254" s="126" t="s">
        <v>1914</v>
      </c>
      <c r="N254" s="157">
        <f>MouserListTable1218[[#This Row],['# Initial]]*MouserListTable1218[[#This Row],[Price (USD)]]</f>
        <v>0</v>
      </c>
      <c r="O254" s="106" t="s">
        <v>2388</v>
      </c>
      <c r="P254" s="103">
        <f t="shared" si="4"/>
        <v>236</v>
      </c>
      <c r="Q254" s="103" t="s">
        <v>1898</v>
      </c>
      <c r="R25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485-2628</v>
      </c>
      <c r="S254" s="121">
        <v>0</v>
      </c>
      <c r="T254" s="121">
        <v>0</v>
      </c>
      <c r="U254" s="121">
        <v>0</v>
      </c>
      <c r="V254" s="121">
        <f>MouserListTable1218[[#This Row],['#/Unit]]*FilterSpecs!$C$3+MouserListTable1218[[#This Row],[Extra]]</f>
        <v>0</v>
      </c>
      <c r="W254" s="121">
        <f>IF(MouserListTable1218[[#This Row],[Tag]]=FilterSpecs!$F$7,MouserListTable1218[[#This Row],[Price (USD)]],0)</f>
        <v>0</v>
      </c>
      <c r="X254" s="121">
        <f>MouserListTable1218[[#This Row],[Tot '#]]*MouserListTable1218[[#This Row],[Price (USD)]]</f>
        <v>0</v>
      </c>
    </row>
    <row r="255" spans="1:24" s="146" customFormat="1" hidden="1" x14ac:dyDescent="0.3">
      <c r="A255" s="103" t="s">
        <v>1046</v>
      </c>
      <c r="B255" s="103" t="s">
        <v>1409</v>
      </c>
      <c r="C255" s="103" t="s">
        <v>1898</v>
      </c>
      <c r="D255" s="106" t="str">
        <f>IF(MouserListTable1218[[#This Row],[Vendor]]=FilterSpecs!$A$8,MouserListTable1218[[#This Row],[Mouser SKU]], MouserListTable1218[[#This Row],[Supplier SKU]])</f>
        <v>1810</v>
      </c>
      <c r="E255" s="121">
        <f>MouserListTable1218[[#This Row],[Tot '#]]-MouserListTable1218[[#This Row],['# Initial]]</f>
        <v>0</v>
      </c>
      <c r="F255" s="121">
        <f>MouserListTable1218[[#This Row],['#/Unit]]*FilterSpecs!$B$3+MouserListTable1218[[#This Row],[Extra Initial]]</f>
        <v>0</v>
      </c>
      <c r="G255" s="103"/>
      <c r="H255" s="103"/>
      <c r="I255" s="126" t="s">
        <v>2391</v>
      </c>
      <c r="K255" s="158">
        <v>49.95</v>
      </c>
      <c r="L255" s="126" t="s">
        <v>1914</v>
      </c>
      <c r="N255" s="157">
        <f>MouserListTable1218[[#This Row],['# Initial]]*MouserListTable1218[[#This Row],[Price (USD)]]</f>
        <v>0</v>
      </c>
      <c r="O255" s="106" t="s">
        <v>2390</v>
      </c>
      <c r="P255" s="103">
        <f t="shared" si="4"/>
        <v>237</v>
      </c>
      <c r="Q255" s="103" t="s">
        <v>1898</v>
      </c>
      <c r="R25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485-1810</v>
      </c>
      <c r="S255" s="121">
        <v>0</v>
      </c>
      <c r="T255" s="121">
        <v>0</v>
      </c>
      <c r="U255" s="121">
        <v>0</v>
      </c>
      <c r="V255" s="121">
        <f>MouserListTable1218[[#This Row],['#/Unit]]*FilterSpecs!$C$3+MouserListTable1218[[#This Row],[Extra]]</f>
        <v>0</v>
      </c>
      <c r="W255" s="121">
        <f>IF(MouserListTable1218[[#This Row],[Tag]]=FilterSpecs!$F$7,MouserListTable1218[[#This Row],[Price (USD)]],0)</f>
        <v>0</v>
      </c>
      <c r="X255" s="121">
        <f>MouserListTable1218[[#This Row],[Tot '#]]*MouserListTable1218[[#This Row],[Price (USD)]]</f>
        <v>0</v>
      </c>
    </row>
    <row r="256" spans="1:24" s="146" customFormat="1" hidden="1" x14ac:dyDescent="0.3">
      <c r="A256" s="103" t="s">
        <v>1046</v>
      </c>
      <c r="B256" s="103" t="s">
        <v>1042</v>
      </c>
      <c r="C256" s="103" t="s">
        <v>8</v>
      </c>
      <c r="D256" s="106" t="str">
        <f>IF(MouserListTable1218[[#This Row],[Vendor]]=FilterSpecs!$A$8,MouserListTable1218[[#This Row],[Mouser SKU]], MouserListTable1218[[#This Row],[Supplier SKU]])</f>
        <v>DEV-09564</v>
      </c>
      <c r="E256" s="121">
        <f>MouserListTable1218[[#This Row],[Tot '#]]-MouserListTable1218[[#This Row],['# Initial]]</f>
        <v>1</v>
      </c>
      <c r="F256" s="121">
        <f>MouserListTable1218[[#This Row],['#/Unit]]*FilterSpecs!$B$3+MouserListTable1218[[#This Row],[Extra Initial]]</f>
        <v>0</v>
      </c>
      <c r="G256" s="103" t="s">
        <v>341</v>
      </c>
      <c r="H256" s="103" t="s">
        <v>342</v>
      </c>
      <c r="I256" s="103" t="s">
        <v>343</v>
      </c>
      <c r="J256" s="103">
        <v>1</v>
      </c>
      <c r="K256" s="157">
        <v>54.95</v>
      </c>
      <c r="L256" s="103" t="s">
        <v>1914</v>
      </c>
      <c r="M256" s="103" t="s">
        <v>1045</v>
      </c>
      <c r="N256" s="157">
        <f>MouserListTable1218[[#This Row],['# Initial]]*MouserListTable1218[[#This Row],[Price (USD)]]</f>
        <v>0</v>
      </c>
      <c r="O256" s="106" t="s">
        <v>340</v>
      </c>
      <c r="P256" s="103">
        <f t="shared" si="4"/>
        <v>238</v>
      </c>
      <c r="Q256" s="103" t="s">
        <v>8</v>
      </c>
      <c r="R25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474-DEV-09564</v>
      </c>
      <c r="S256" s="121">
        <v>0</v>
      </c>
      <c r="T256" s="121">
        <v>1</v>
      </c>
      <c r="U256" s="121">
        <v>0</v>
      </c>
      <c r="V256" s="121">
        <f>MouserListTable1218[[#This Row],['#/Unit]]*FilterSpecs!$C$3+MouserListTable1218[[#This Row],[Extra]]</f>
        <v>1</v>
      </c>
      <c r="W256" s="121">
        <f>IF(MouserListTable1218[[#This Row],[Tag]]=FilterSpecs!$F$7,MouserListTable1218[[#This Row],[Price (USD)]],0)</f>
        <v>0</v>
      </c>
      <c r="X256" s="121">
        <f>MouserListTable1218[[#This Row],[Tot '#]]*MouserListTable1218[[#This Row],[Price (USD)]]</f>
        <v>54.95</v>
      </c>
    </row>
    <row r="257" spans="1:24" s="146" customFormat="1" hidden="1" x14ac:dyDescent="0.3">
      <c r="A257" s="126" t="s">
        <v>1046</v>
      </c>
      <c r="B257" s="126" t="s">
        <v>1042</v>
      </c>
      <c r="C257" s="126" t="s">
        <v>8</v>
      </c>
      <c r="D257" s="106" t="str">
        <f>IF(MouserListTable1218[[#This Row],[Vendor]]=FilterSpecs!$A$8,MouserListTable1218[[#This Row],[Mouser SKU]], MouserListTable1218[[#This Row],[Supplier SKU]])</f>
        <v>DEV-11695</v>
      </c>
      <c r="E257" s="121">
        <f>MouserListTable1218[[#This Row],[Tot '#]]-MouserListTable1218[[#This Row],['# Initial]]</f>
        <v>0</v>
      </c>
      <c r="F257" s="121">
        <f>MouserListTable1218[[#This Row],['#/Unit]]*FilterSpecs!$B$3+MouserListTable1218[[#This Row],[Extra Initial]]</f>
        <v>0</v>
      </c>
      <c r="G257" s="103" t="s">
        <v>337</v>
      </c>
      <c r="H257" s="103" t="s">
        <v>338</v>
      </c>
      <c r="I257" s="103" t="s">
        <v>339</v>
      </c>
      <c r="J257" s="103"/>
      <c r="K257" s="157">
        <v>59.95</v>
      </c>
      <c r="L257" s="103" t="s">
        <v>1913</v>
      </c>
      <c r="M257" s="103" t="s">
        <v>1045</v>
      </c>
      <c r="N257" s="157">
        <f>MouserListTable1218[[#This Row],['# Initial]]*MouserListTable1218[[#This Row],[Price (USD)]]</f>
        <v>0</v>
      </c>
      <c r="O257" s="106" t="s">
        <v>336</v>
      </c>
      <c r="P257" s="103">
        <f t="shared" si="4"/>
        <v>239</v>
      </c>
      <c r="Q257" s="103" t="s">
        <v>8</v>
      </c>
      <c r="R25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474-DEV-11695</v>
      </c>
      <c r="S257" s="121">
        <v>0</v>
      </c>
      <c r="T257" s="121">
        <v>0</v>
      </c>
      <c r="U257" s="121">
        <v>0</v>
      </c>
      <c r="V257" s="121">
        <f>MouserListTable1218[[#This Row],['#/Unit]]*FilterSpecs!$C$3+MouserListTable1218[[#This Row],[Extra]]</f>
        <v>0</v>
      </c>
      <c r="W257" s="121">
        <f>IF(MouserListTable1218[[#This Row],[Tag]]=FilterSpecs!$F$7,MouserListTable1218[[#This Row],[Price (USD)]],0)</f>
        <v>0</v>
      </c>
      <c r="X257" s="121">
        <f>MouserListTable1218[[#This Row],[Tot '#]]*MouserListTable1218[[#This Row],[Price (USD)]]</f>
        <v>0</v>
      </c>
    </row>
    <row r="258" spans="1:24" s="146" customFormat="1" hidden="1" x14ac:dyDescent="0.3">
      <c r="A258" s="103" t="s">
        <v>1046</v>
      </c>
      <c r="B258" s="103" t="s">
        <v>1043</v>
      </c>
      <c r="C258" s="103" t="s">
        <v>8</v>
      </c>
      <c r="D258" s="106" t="str">
        <f>IF(MouserListTable1218[[#This Row],[Vendor]]=FilterSpecs!$A$8,MouserListTable1218[[#This Row],[Mouser SKU]], MouserListTable1218[[#This Row],[Supplier SKU]])</f>
        <v>DEV-13097</v>
      </c>
      <c r="E258" s="121">
        <f>MouserListTable1218[[#This Row],[Tot '#]]-MouserListTable1218[[#This Row],['# Initial]]</f>
        <v>1</v>
      </c>
      <c r="F258" s="121">
        <f>MouserListTable1218[[#This Row],['#/Unit]]*FilterSpecs!$B$3+MouserListTable1218[[#This Row],[Extra Initial]]</f>
        <v>0</v>
      </c>
      <c r="G258" s="103" t="s">
        <v>301</v>
      </c>
      <c r="H258" s="103" t="s">
        <v>302</v>
      </c>
      <c r="I258" s="103" t="s">
        <v>303</v>
      </c>
      <c r="J258" s="103">
        <v>1</v>
      </c>
      <c r="K258" s="157">
        <v>99.95</v>
      </c>
      <c r="L258" s="103" t="s">
        <v>1914</v>
      </c>
      <c r="M258" s="103" t="s">
        <v>1052</v>
      </c>
      <c r="N258" s="157">
        <f>MouserListTable1218[[#This Row],['# Initial]]*MouserListTable1218[[#This Row],[Price (USD)]]</f>
        <v>0</v>
      </c>
      <c r="O258" s="106" t="s">
        <v>300</v>
      </c>
      <c r="P258" s="103">
        <f t="shared" si="4"/>
        <v>240</v>
      </c>
      <c r="Q258" s="103" t="s">
        <v>8</v>
      </c>
      <c r="R25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474-DEV-13097</v>
      </c>
      <c r="S258" s="121">
        <v>0</v>
      </c>
      <c r="T258" s="121">
        <v>1</v>
      </c>
      <c r="U258" s="121">
        <v>0</v>
      </c>
      <c r="V258" s="121">
        <f>MouserListTable1218[[#This Row],['#/Unit]]*FilterSpecs!$C$3+MouserListTable1218[[#This Row],[Extra]]</f>
        <v>1</v>
      </c>
      <c r="W258" s="121">
        <f>IF(MouserListTable1218[[#This Row],[Tag]]=FilterSpecs!$F$7,MouserListTable1218[[#This Row],[Price (USD)]],0)</f>
        <v>0</v>
      </c>
      <c r="X258" s="121">
        <f>MouserListTable1218[[#This Row],[Tot '#]]*MouserListTable1218[[#This Row],[Price (USD)]]</f>
        <v>99.95</v>
      </c>
    </row>
    <row r="259" spans="1:24" s="146" customFormat="1" hidden="1" x14ac:dyDescent="0.3">
      <c r="A259" s="103" t="s">
        <v>1046</v>
      </c>
      <c r="B259" s="103" t="s">
        <v>1043</v>
      </c>
      <c r="C259" s="103" t="s">
        <v>8</v>
      </c>
      <c r="D259" s="106" t="str">
        <f>IF(MouserListTable1218[[#This Row],[Vendor]]=FilterSpecs!$A$8,MouserListTable1218[[#This Row],[Mouser SKU]], MouserListTable1218[[#This Row],[Supplier SKU]])</f>
        <v>DEV-13045</v>
      </c>
      <c r="E259" s="121">
        <f>MouserListTable1218[[#This Row],[Tot '#]]-MouserListTable1218[[#This Row],['# Initial]]</f>
        <v>1</v>
      </c>
      <c r="F259" s="121">
        <f>MouserListTable1218[[#This Row],['#/Unit]]*FilterSpecs!$B$3+MouserListTable1218[[#This Row],[Extra Initial]]</f>
        <v>0</v>
      </c>
      <c r="G259" s="103" t="s">
        <v>321</v>
      </c>
      <c r="H259" s="103" t="s">
        <v>322</v>
      </c>
      <c r="I259" s="103" t="s">
        <v>323</v>
      </c>
      <c r="J259" s="103">
        <v>1</v>
      </c>
      <c r="K259" s="157">
        <v>19.95</v>
      </c>
      <c r="L259" s="103" t="s">
        <v>1914</v>
      </c>
      <c r="M259" s="103" t="s">
        <v>1052</v>
      </c>
      <c r="N259" s="157">
        <f>MouserListTable1218[[#This Row],['# Initial]]*MouserListTable1218[[#This Row],[Price (USD)]]</f>
        <v>0</v>
      </c>
      <c r="O259" s="106" t="s">
        <v>320</v>
      </c>
      <c r="P259" s="103">
        <f t="shared" si="4"/>
        <v>241</v>
      </c>
      <c r="Q259" s="103" t="s">
        <v>8</v>
      </c>
      <c r="R25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474-DEV-13045</v>
      </c>
      <c r="S259" s="121">
        <v>0</v>
      </c>
      <c r="T259" s="121">
        <v>1</v>
      </c>
      <c r="U259" s="121">
        <v>0</v>
      </c>
      <c r="V259" s="121">
        <f>MouserListTable1218[[#This Row],['#/Unit]]*FilterSpecs!$C$3+MouserListTable1218[[#This Row],[Extra]]</f>
        <v>1</v>
      </c>
      <c r="W259" s="121">
        <f>IF(MouserListTable1218[[#This Row],[Tag]]=FilterSpecs!$F$7,MouserListTable1218[[#This Row],[Price (USD)]],0)</f>
        <v>0</v>
      </c>
      <c r="X259" s="121">
        <f>MouserListTable1218[[#This Row],[Tot '#]]*MouserListTable1218[[#This Row],[Price (USD)]]</f>
        <v>19.95</v>
      </c>
    </row>
    <row r="260" spans="1:24" s="146" customFormat="1" hidden="1" x14ac:dyDescent="0.3">
      <c r="A260" s="103" t="s">
        <v>1046</v>
      </c>
      <c r="B260" s="103" t="s">
        <v>1043</v>
      </c>
      <c r="C260" s="103" t="s">
        <v>8</v>
      </c>
      <c r="D260" s="106" t="str">
        <f>IF(MouserListTable1218[[#This Row],[Vendor]]=FilterSpecs!$A$8,MouserListTable1218[[#This Row],[Mouser SKU]], MouserListTable1218[[#This Row],[Supplier SKU]])</f>
        <v>DEV-13038</v>
      </c>
      <c r="E260" s="121">
        <f>MouserListTable1218[[#This Row],[Tot '#]]-MouserListTable1218[[#This Row],['# Initial]]</f>
        <v>1</v>
      </c>
      <c r="F260" s="121">
        <f>MouserListTable1218[[#This Row],['#/Unit]]*FilterSpecs!$B$3+MouserListTable1218[[#This Row],[Extra Initial]]</f>
        <v>0</v>
      </c>
      <c r="G260" s="103" t="s">
        <v>309</v>
      </c>
      <c r="H260" s="103" t="s">
        <v>310</v>
      </c>
      <c r="I260" s="103" t="s">
        <v>311</v>
      </c>
      <c r="J260" s="103">
        <v>1</v>
      </c>
      <c r="K260" s="157">
        <v>9.9499999999999993</v>
      </c>
      <c r="L260" s="103" t="s">
        <v>1914</v>
      </c>
      <c r="M260" s="103" t="s">
        <v>1052</v>
      </c>
      <c r="N260" s="157">
        <f>MouserListTable1218[[#This Row],['# Initial]]*MouserListTable1218[[#This Row],[Price (USD)]]</f>
        <v>0</v>
      </c>
      <c r="O260" s="106" t="s">
        <v>308</v>
      </c>
      <c r="P260" s="103">
        <f t="shared" si="4"/>
        <v>242</v>
      </c>
      <c r="Q260" s="103" t="s">
        <v>8</v>
      </c>
      <c r="R26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474-DEV-13038</v>
      </c>
      <c r="S260" s="121">
        <v>0</v>
      </c>
      <c r="T260" s="121">
        <v>1</v>
      </c>
      <c r="U260" s="121">
        <v>0</v>
      </c>
      <c r="V260" s="121">
        <f>MouserListTable1218[[#This Row],['#/Unit]]*FilterSpecs!$C$3+MouserListTable1218[[#This Row],[Extra]]</f>
        <v>1</v>
      </c>
      <c r="W260" s="121">
        <f>IF(MouserListTable1218[[#This Row],[Tag]]=FilterSpecs!$F$7,MouserListTable1218[[#This Row],[Price (USD)]],0)</f>
        <v>0</v>
      </c>
      <c r="X260" s="121">
        <f>MouserListTable1218[[#This Row],[Tot '#]]*MouserListTable1218[[#This Row],[Price (USD)]]</f>
        <v>9.9499999999999993</v>
      </c>
    </row>
    <row r="261" spans="1:24" s="146" customFormat="1" hidden="1" x14ac:dyDescent="0.3">
      <c r="A261" s="103" t="s">
        <v>1046</v>
      </c>
      <c r="B261" s="103" t="s">
        <v>1043</v>
      </c>
      <c r="C261" s="103" t="s">
        <v>8</v>
      </c>
      <c r="D261" s="106" t="str">
        <f>IF(MouserListTable1218[[#This Row],[Vendor]]=FilterSpecs!$A$8,MouserListTable1218[[#This Row],[Mouser SKU]], MouserListTable1218[[#This Row],[Supplier SKU]])</f>
        <v>DEV-13034</v>
      </c>
      <c r="E261" s="121">
        <f>MouserListTable1218[[#This Row],[Tot '#]]-MouserListTable1218[[#This Row],['# Initial]]</f>
        <v>1</v>
      </c>
      <c r="F261" s="121">
        <f>MouserListTable1218[[#This Row],['#/Unit]]*FilterSpecs!$B$3+MouserListTable1218[[#This Row],[Extra Initial]]</f>
        <v>0</v>
      </c>
      <c r="G261" s="103" t="s">
        <v>313</v>
      </c>
      <c r="H261" s="103" t="s">
        <v>314</v>
      </c>
      <c r="I261" s="103" t="s">
        <v>315</v>
      </c>
      <c r="J261" s="103">
        <v>1</v>
      </c>
      <c r="K261" s="157">
        <v>9.9499999999999993</v>
      </c>
      <c r="L261" s="103" t="s">
        <v>1914</v>
      </c>
      <c r="M261" s="103" t="s">
        <v>1052</v>
      </c>
      <c r="N261" s="157">
        <f>MouserListTable1218[[#This Row],['# Initial]]*MouserListTable1218[[#This Row],[Price (USD)]]</f>
        <v>0</v>
      </c>
      <c r="O261" s="106" t="s">
        <v>312</v>
      </c>
      <c r="P261" s="103">
        <f t="shared" si="4"/>
        <v>243</v>
      </c>
      <c r="Q261" s="103" t="s">
        <v>8</v>
      </c>
      <c r="R26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474-DEV-13034</v>
      </c>
      <c r="S261" s="121">
        <v>0</v>
      </c>
      <c r="T261" s="121">
        <v>1</v>
      </c>
      <c r="U261" s="121">
        <v>0</v>
      </c>
      <c r="V261" s="121">
        <f>MouserListTable1218[[#This Row],['#/Unit]]*FilterSpecs!$C$3+MouserListTable1218[[#This Row],[Extra]]</f>
        <v>1</v>
      </c>
      <c r="W261" s="121">
        <f>IF(MouserListTable1218[[#This Row],[Tag]]=FilterSpecs!$F$7,MouserListTable1218[[#This Row],[Price (USD)]],0)</f>
        <v>0</v>
      </c>
      <c r="X261" s="121">
        <f>MouserListTable1218[[#This Row],[Tot '#]]*MouserListTable1218[[#This Row],[Price (USD)]]</f>
        <v>9.9499999999999993</v>
      </c>
    </row>
    <row r="262" spans="1:24" s="151" customFormat="1" hidden="1" x14ac:dyDescent="0.3">
      <c r="A262" s="103" t="s">
        <v>1046</v>
      </c>
      <c r="B262" s="103" t="s">
        <v>1043</v>
      </c>
      <c r="C262" s="103" t="s">
        <v>8</v>
      </c>
      <c r="D262" s="106" t="str">
        <f>IF(MouserListTable1218[[#This Row],[Vendor]]=FilterSpecs!$A$8,MouserListTable1218[[#This Row],[Mouser SKU]], MouserListTable1218[[#This Row],[Supplier SKU]])</f>
        <v>DEV-13041</v>
      </c>
      <c r="E262" s="121">
        <f>MouserListTable1218[[#This Row],[Tot '#]]-MouserListTable1218[[#This Row],['# Initial]]</f>
        <v>1</v>
      </c>
      <c r="F262" s="121">
        <f>MouserListTable1218[[#This Row],['#/Unit]]*FilterSpecs!$B$3+MouserListTable1218[[#This Row],[Extra Initial]]</f>
        <v>0</v>
      </c>
      <c r="G262" s="103" t="s">
        <v>317</v>
      </c>
      <c r="H262" s="103" t="s">
        <v>318</v>
      </c>
      <c r="I262" s="103" t="s">
        <v>319</v>
      </c>
      <c r="J262" s="103">
        <v>1</v>
      </c>
      <c r="K262" s="157">
        <v>9.9499999999999993</v>
      </c>
      <c r="L262" s="103" t="s">
        <v>1914</v>
      </c>
      <c r="M262" s="103" t="s">
        <v>1052</v>
      </c>
      <c r="N262" s="157">
        <f>MouserListTable1218[[#This Row],['# Initial]]*MouserListTable1218[[#This Row],[Price (USD)]]</f>
        <v>0</v>
      </c>
      <c r="O262" s="106" t="s">
        <v>316</v>
      </c>
      <c r="P262" s="103">
        <f t="shared" si="4"/>
        <v>244</v>
      </c>
      <c r="Q262" s="103" t="s">
        <v>8</v>
      </c>
      <c r="R26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474-DEV-13041</v>
      </c>
      <c r="S262" s="121">
        <v>0</v>
      </c>
      <c r="T262" s="121">
        <v>1</v>
      </c>
      <c r="U262" s="121">
        <v>0</v>
      </c>
      <c r="V262" s="121">
        <f>MouserListTable1218[[#This Row],['#/Unit]]*FilterSpecs!$C$3+MouserListTable1218[[#This Row],[Extra]]</f>
        <v>1</v>
      </c>
      <c r="W262" s="121">
        <f>IF(MouserListTable1218[[#This Row],[Tag]]=FilterSpecs!$F$7,MouserListTable1218[[#This Row],[Price (USD)]],0)</f>
        <v>0</v>
      </c>
      <c r="X262" s="121">
        <f>MouserListTable1218[[#This Row],[Tot '#]]*MouserListTable1218[[#This Row],[Price (USD)]]</f>
        <v>9.9499999999999993</v>
      </c>
    </row>
    <row r="263" spans="1:24" s="151" customFormat="1" hidden="1" x14ac:dyDescent="0.3">
      <c r="A263" s="103" t="s">
        <v>1046</v>
      </c>
      <c r="B263" s="103" t="s">
        <v>1043</v>
      </c>
      <c r="C263" s="103" t="s">
        <v>8</v>
      </c>
      <c r="D263" s="106" t="str">
        <f>IF(MouserListTable1218[[#This Row],[Vendor]]=FilterSpecs!$A$8,MouserListTable1218[[#This Row],[Mouser SKU]], MouserListTable1218[[#This Row],[Supplier SKU]])</f>
        <v>DEV-13727</v>
      </c>
      <c r="E263" s="121">
        <f>MouserListTable1218[[#This Row],[Tot '#]]-MouserListTable1218[[#This Row],['# Initial]]</f>
        <v>1</v>
      </c>
      <c r="F263" s="121">
        <f>MouserListTable1218[[#This Row],['#/Unit]]*FilterSpecs!$B$3+MouserListTable1218[[#This Row],[Extra Initial]]</f>
        <v>0</v>
      </c>
      <c r="G263" s="103" t="s">
        <v>305</v>
      </c>
      <c r="H263" s="103" t="s">
        <v>306</v>
      </c>
      <c r="I263" s="103" t="s">
        <v>307</v>
      </c>
      <c r="J263" s="103">
        <v>1</v>
      </c>
      <c r="K263" s="157">
        <v>9.9499999999999993</v>
      </c>
      <c r="L263" s="103" t="s">
        <v>1914</v>
      </c>
      <c r="M263" s="103" t="s">
        <v>1052</v>
      </c>
      <c r="N263" s="157">
        <f>MouserListTable1218[[#This Row],['# Initial]]*MouserListTable1218[[#This Row],[Price (USD)]]</f>
        <v>0</v>
      </c>
      <c r="O263" s="106" t="s">
        <v>304</v>
      </c>
      <c r="P263" s="103">
        <f t="shared" si="4"/>
        <v>245</v>
      </c>
      <c r="Q263" s="103" t="s">
        <v>8</v>
      </c>
      <c r="R26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474-DEV-13727</v>
      </c>
      <c r="S263" s="121">
        <v>0</v>
      </c>
      <c r="T263" s="121">
        <v>1</v>
      </c>
      <c r="U263" s="121">
        <v>0</v>
      </c>
      <c r="V263" s="121">
        <f>MouserListTable1218[[#This Row],['#/Unit]]*FilterSpecs!$C$3+MouserListTable1218[[#This Row],[Extra]]</f>
        <v>1</v>
      </c>
      <c r="W263" s="121">
        <f>IF(MouserListTable1218[[#This Row],[Tag]]=FilterSpecs!$F$7,MouserListTable1218[[#This Row],[Price (USD)]],0)</f>
        <v>0</v>
      </c>
      <c r="X263" s="121">
        <f>MouserListTable1218[[#This Row],[Tot '#]]*MouserListTable1218[[#This Row],[Price (USD)]]</f>
        <v>9.9499999999999993</v>
      </c>
    </row>
    <row r="264" spans="1:24" s="151" customFormat="1" hidden="1" x14ac:dyDescent="0.3">
      <c r="A264" s="103" t="s">
        <v>1046</v>
      </c>
      <c r="B264" s="103" t="s">
        <v>1043</v>
      </c>
      <c r="C264" s="103" t="s">
        <v>8</v>
      </c>
      <c r="D264" s="106" t="str">
        <f>IF(MouserListTable1218[[#This Row],[Vendor]]=FilterSpecs!$A$8,MouserListTable1218[[#This Row],[Mouser SKU]], MouserListTable1218[[#This Row],[Supplier SKU]])</f>
        <v>DEV-13035</v>
      </c>
      <c r="E264" s="121">
        <f>MouserListTable1218[[#This Row],[Tot '#]]-MouserListTable1218[[#This Row],['# Initial]]</f>
        <v>1</v>
      </c>
      <c r="F264" s="121">
        <f>MouserListTable1218[[#This Row],['#/Unit]]*FilterSpecs!$B$3+MouserListTable1218[[#This Row],[Extra Initial]]</f>
        <v>0</v>
      </c>
      <c r="G264" s="103" t="s">
        <v>1129</v>
      </c>
      <c r="H264" s="103" t="s">
        <v>1130</v>
      </c>
      <c r="I264" s="103" t="s">
        <v>1131</v>
      </c>
      <c r="J264" s="103">
        <v>1</v>
      </c>
      <c r="K264" s="157">
        <v>14.95</v>
      </c>
      <c r="L264" s="103" t="s">
        <v>1914</v>
      </c>
      <c r="M264" s="103" t="s">
        <v>1052</v>
      </c>
      <c r="N264" s="157">
        <f>MouserListTable1218[[#This Row],['# Initial]]*MouserListTable1218[[#This Row],[Price (USD)]]</f>
        <v>0</v>
      </c>
      <c r="O264" s="106" t="s">
        <v>1128</v>
      </c>
      <c r="P264" s="103">
        <f t="shared" si="4"/>
        <v>246</v>
      </c>
      <c r="Q264" s="103" t="s">
        <v>8</v>
      </c>
      <c r="R26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474-DEV-13035</v>
      </c>
      <c r="S264" s="121">
        <v>0</v>
      </c>
      <c r="T264" s="121">
        <v>1</v>
      </c>
      <c r="U264" s="121">
        <v>0</v>
      </c>
      <c r="V264" s="121">
        <f>MouserListTable1218[[#This Row],['#/Unit]]*FilterSpecs!$C$3+MouserListTable1218[[#This Row],[Extra]]</f>
        <v>1</v>
      </c>
      <c r="W264" s="121">
        <f>IF(MouserListTable1218[[#This Row],[Tag]]=FilterSpecs!$F$7,MouserListTable1218[[#This Row],[Price (USD)]],0)</f>
        <v>0</v>
      </c>
      <c r="X264" s="121">
        <f>MouserListTable1218[[#This Row],[Tot '#]]*MouserListTable1218[[#This Row],[Price (USD)]]</f>
        <v>14.95</v>
      </c>
    </row>
    <row r="265" spans="1:24" s="151" customFormat="1" hidden="1" x14ac:dyDescent="0.3">
      <c r="A265" s="103" t="s">
        <v>1046</v>
      </c>
      <c r="B265" s="103" t="s">
        <v>1043</v>
      </c>
      <c r="C265" s="103" t="s">
        <v>8</v>
      </c>
      <c r="D265" s="106" t="str">
        <f>IF(MouserListTable1218[[#This Row],[Vendor]]=FilterSpecs!$A$8,MouserListTable1218[[#This Row],[Mouser SKU]], MouserListTable1218[[#This Row],[Supplier SKU]])</f>
        <v>DEV-13770</v>
      </c>
      <c r="E265" s="121">
        <f>MouserListTable1218[[#This Row],[Tot '#]]-MouserListTable1218[[#This Row],['# Initial]]</f>
        <v>1</v>
      </c>
      <c r="F265" s="121">
        <f>MouserListTable1218[[#This Row],['#/Unit]]*FilterSpecs!$B$3+MouserListTable1218[[#This Row],[Extra Initial]]</f>
        <v>0</v>
      </c>
      <c r="G265" s="103" t="s">
        <v>1149</v>
      </c>
      <c r="H265" s="103" t="s">
        <v>1150</v>
      </c>
      <c r="I265" s="103" t="s">
        <v>1151</v>
      </c>
      <c r="J265" s="103">
        <v>1</v>
      </c>
      <c r="K265" s="157">
        <v>9.9499999999999993</v>
      </c>
      <c r="L265" s="103" t="s">
        <v>1914</v>
      </c>
      <c r="M265" s="103" t="s">
        <v>1052</v>
      </c>
      <c r="N265" s="157">
        <f>MouserListTable1218[[#This Row],['# Initial]]*MouserListTable1218[[#This Row],[Price (USD)]]</f>
        <v>0</v>
      </c>
      <c r="O265" s="106" t="s">
        <v>1148</v>
      </c>
      <c r="P265" s="103">
        <f t="shared" si="4"/>
        <v>247</v>
      </c>
      <c r="Q265" s="103" t="s">
        <v>8</v>
      </c>
      <c r="R26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474-DEV-13770</v>
      </c>
      <c r="S265" s="121">
        <v>0</v>
      </c>
      <c r="T265" s="121">
        <v>1</v>
      </c>
      <c r="U265" s="121">
        <v>0</v>
      </c>
      <c r="V265" s="121">
        <f>MouserListTable1218[[#This Row],['#/Unit]]*FilterSpecs!$C$3+MouserListTable1218[[#This Row],[Extra]]</f>
        <v>1</v>
      </c>
      <c r="W265" s="121">
        <f>IF(MouserListTable1218[[#This Row],[Tag]]=FilterSpecs!$F$7,MouserListTable1218[[#This Row],[Price (USD)]],0)</f>
        <v>0</v>
      </c>
      <c r="X265" s="121">
        <f>MouserListTable1218[[#This Row],[Tot '#]]*MouserListTable1218[[#This Row],[Price (USD)]]</f>
        <v>9.9499999999999993</v>
      </c>
    </row>
    <row r="266" spans="1:24" s="151" customFormat="1" hidden="1" x14ac:dyDescent="0.3">
      <c r="A266" s="103" t="s">
        <v>1046</v>
      </c>
      <c r="B266" s="103" t="s">
        <v>1043</v>
      </c>
      <c r="C266" s="103" t="s">
        <v>8</v>
      </c>
      <c r="D266" s="106" t="str">
        <f>IF(MouserListTable1218[[#This Row],[Vendor]]=FilterSpecs!$A$8,MouserListTable1218[[#This Row],[Mouser SKU]], MouserListTable1218[[#This Row],[Supplier SKU]])</f>
        <v>COM-13187</v>
      </c>
      <c r="E266" s="121">
        <f>MouserListTable1218[[#This Row],[Tot '#]]-MouserListTable1218[[#This Row],['# Initial]]</f>
        <v>4</v>
      </c>
      <c r="F266" s="121">
        <f>MouserListTable1218[[#This Row],['#/Unit]]*FilterSpecs!$B$3+MouserListTable1218[[#This Row],[Extra Initial]]</f>
        <v>0</v>
      </c>
      <c r="G266" s="103" t="s">
        <v>800</v>
      </c>
      <c r="H266" s="103" t="s">
        <v>801</v>
      </c>
      <c r="I266" s="103" t="s">
        <v>802</v>
      </c>
      <c r="J266" s="103">
        <v>1</v>
      </c>
      <c r="K266" s="157">
        <v>2.95</v>
      </c>
      <c r="L266" s="103" t="s">
        <v>1914</v>
      </c>
      <c r="M266" s="103" t="s">
        <v>1052</v>
      </c>
      <c r="N266" s="157">
        <f>MouserListTable1218[[#This Row],['# Initial]]*MouserListTable1218[[#This Row],[Price (USD)]]</f>
        <v>0</v>
      </c>
      <c r="O266" s="106" t="s">
        <v>799</v>
      </c>
      <c r="P266" s="103">
        <f t="shared" si="4"/>
        <v>248</v>
      </c>
      <c r="Q266" s="103" t="s">
        <v>8</v>
      </c>
      <c r="R26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474-COM-13187</v>
      </c>
      <c r="S266" s="121">
        <v>0</v>
      </c>
      <c r="T266" s="121">
        <v>4</v>
      </c>
      <c r="U266" s="121">
        <v>0</v>
      </c>
      <c r="V266" s="121">
        <f>MouserListTable1218[[#This Row],['#/Unit]]*FilterSpecs!$C$3+MouserListTable1218[[#This Row],[Extra]]</f>
        <v>4</v>
      </c>
      <c r="W266" s="121">
        <f>IF(MouserListTable1218[[#This Row],[Tag]]=FilterSpecs!$F$7,MouserListTable1218[[#This Row],[Price (USD)]],0)</f>
        <v>0</v>
      </c>
      <c r="X266" s="121">
        <f>MouserListTable1218[[#This Row],[Tot '#]]*MouserListTable1218[[#This Row],[Price (USD)]]</f>
        <v>11.8</v>
      </c>
    </row>
    <row r="267" spans="1:24" s="151" customFormat="1" ht="16.2" hidden="1" x14ac:dyDescent="0.3">
      <c r="A267" s="103" t="s">
        <v>1046</v>
      </c>
      <c r="B267" s="103" t="s">
        <v>2560</v>
      </c>
      <c r="C267" s="103" t="s">
        <v>8</v>
      </c>
      <c r="D267" s="106" t="str">
        <f>IF(MouserListTable1218[[#This Row],[Vendor]]=FilterSpecs!$A$8,MouserListTable1218[[#This Row],[Mouser SKU]], MouserListTable1218[[#This Row],[Supplier SKU]])</f>
        <v>DEV-14438</v>
      </c>
      <c r="E267" s="121">
        <f>MouserListTable1218[[#This Row],[Tot '#]]-MouserListTable1218[[#This Row],['# Initial]]</f>
        <v>1</v>
      </c>
      <c r="F267" s="121">
        <f>MouserListTable1218[[#This Row],['#/Unit]]*FilterSpecs!$B$3+MouserListTable1218[[#This Row],[Extra Initial]]</f>
        <v>0</v>
      </c>
      <c r="G267" s="103" t="s">
        <v>1173</v>
      </c>
      <c r="H267" s="103" t="s">
        <v>1174</v>
      </c>
      <c r="I267" s="103" t="s">
        <v>1175</v>
      </c>
      <c r="J267" s="103"/>
      <c r="K267" s="157">
        <v>20</v>
      </c>
      <c r="L267" s="103" t="s">
        <v>1914</v>
      </c>
      <c r="M267" s="156" t="s">
        <v>1050</v>
      </c>
      <c r="N267" s="157">
        <f>MouserListTable1218[[#This Row],['# Initial]]*MouserListTable1218[[#This Row],[Price (USD)]]</f>
        <v>0</v>
      </c>
      <c r="O267" s="106" t="s">
        <v>1172</v>
      </c>
      <c r="P267" s="103">
        <f t="shared" si="4"/>
        <v>249</v>
      </c>
      <c r="Q267" s="103" t="s">
        <v>8</v>
      </c>
      <c r="R26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474-DEV-14438</v>
      </c>
      <c r="S267" s="121">
        <v>0</v>
      </c>
      <c r="T267" s="121">
        <v>1</v>
      </c>
      <c r="U267" s="121">
        <v>0</v>
      </c>
      <c r="V267" s="121">
        <f>MouserListTable1218[[#This Row],['#/Unit]]*FilterSpecs!$C$3+MouserListTable1218[[#This Row],[Extra]]</f>
        <v>1</v>
      </c>
      <c r="W267" s="121">
        <f>IF(MouserListTable1218[[#This Row],[Tag]]=FilterSpecs!$F$7,MouserListTable1218[[#This Row],[Price (USD)]],0)</f>
        <v>0</v>
      </c>
      <c r="X267" s="121">
        <f>MouserListTable1218[[#This Row],[Tot '#]]*MouserListTable1218[[#This Row],[Price (USD)]]</f>
        <v>20</v>
      </c>
    </row>
    <row r="268" spans="1:24" s="151" customFormat="1" ht="16.2" hidden="1" x14ac:dyDescent="0.3">
      <c r="A268" s="103" t="s">
        <v>1046</v>
      </c>
      <c r="B268" s="103" t="s">
        <v>2560</v>
      </c>
      <c r="C268" s="103" t="s">
        <v>8</v>
      </c>
      <c r="D268" s="106" t="str">
        <f>IF(MouserListTable1218[[#This Row],[Vendor]]=FilterSpecs!$A$8,MouserListTable1218[[#This Row],[Mouser SKU]], MouserListTable1218[[#This Row],[Supplier SKU]])</f>
        <v>DEV-14431</v>
      </c>
      <c r="E268" s="121">
        <f>MouserListTable1218[[#This Row],[Tot '#]]-MouserListTable1218[[#This Row],['# Initial]]</f>
        <v>1</v>
      </c>
      <c r="F268" s="121">
        <f>MouserListTable1218[[#This Row],['#/Unit]]*FilterSpecs!$B$3+MouserListTable1218[[#This Row],[Extra Initial]]</f>
        <v>0</v>
      </c>
      <c r="G268" s="103" t="s">
        <v>1153</v>
      </c>
      <c r="H268" s="103" t="s">
        <v>1154</v>
      </c>
      <c r="I268" s="103" t="s">
        <v>1155</v>
      </c>
      <c r="J268" s="103"/>
      <c r="K268" s="157">
        <v>9</v>
      </c>
      <c r="L268" s="103" t="s">
        <v>1914</v>
      </c>
      <c r="M268" s="156" t="s">
        <v>1050</v>
      </c>
      <c r="N268" s="157">
        <f>MouserListTable1218[[#This Row],['# Initial]]*MouserListTable1218[[#This Row],[Price (USD)]]</f>
        <v>0</v>
      </c>
      <c r="O268" s="106" t="s">
        <v>1152</v>
      </c>
      <c r="P268" s="103">
        <f t="shared" si="4"/>
        <v>250</v>
      </c>
      <c r="Q268" s="103" t="s">
        <v>8</v>
      </c>
      <c r="R26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474-DEV-14431</v>
      </c>
      <c r="S268" s="121">
        <v>0</v>
      </c>
      <c r="T268" s="121">
        <v>1</v>
      </c>
      <c r="U268" s="121">
        <v>0</v>
      </c>
      <c r="V268" s="121">
        <f>MouserListTable1218[[#This Row],['#/Unit]]*FilterSpecs!$C$3+MouserListTable1218[[#This Row],[Extra]]</f>
        <v>1</v>
      </c>
      <c r="W268" s="121">
        <f>IF(MouserListTable1218[[#This Row],[Tag]]=FilterSpecs!$F$7,MouserListTable1218[[#This Row],[Price (USD)]],0)</f>
        <v>0</v>
      </c>
      <c r="X268" s="121">
        <f>MouserListTable1218[[#This Row],[Tot '#]]*MouserListTable1218[[#This Row],[Price (USD)]]</f>
        <v>9</v>
      </c>
    </row>
    <row r="269" spans="1:24" s="151" customFormat="1" ht="16.2" hidden="1" x14ac:dyDescent="0.3">
      <c r="A269" s="103" t="s">
        <v>1046</v>
      </c>
      <c r="B269" s="103" t="s">
        <v>2560</v>
      </c>
      <c r="C269" s="103" t="s">
        <v>8</v>
      </c>
      <c r="D269" s="106" t="str">
        <f>IF(MouserListTable1218[[#This Row],[Vendor]]=FilterSpecs!$A$8,MouserListTable1218[[#This Row],[Mouser SKU]], MouserListTable1218[[#This Row],[Supplier SKU]])</f>
        <v>DEV-14443</v>
      </c>
      <c r="E269" s="121">
        <f>MouserListTable1218[[#This Row],[Tot '#]]-MouserListTable1218[[#This Row],['# Initial]]</f>
        <v>1</v>
      </c>
      <c r="F269" s="121">
        <f>MouserListTable1218[[#This Row],['#/Unit]]*FilterSpecs!$B$3+MouserListTable1218[[#This Row],[Extra Initial]]</f>
        <v>0</v>
      </c>
      <c r="G269" s="103" t="s">
        <v>1157</v>
      </c>
      <c r="H269" s="103" t="s">
        <v>1158</v>
      </c>
      <c r="I269" s="103" t="s">
        <v>1159</v>
      </c>
      <c r="J269" s="103"/>
      <c r="K269" s="157">
        <v>5</v>
      </c>
      <c r="L269" s="103" t="s">
        <v>1914</v>
      </c>
      <c r="M269" s="156" t="s">
        <v>1050</v>
      </c>
      <c r="N269" s="157">
        <f>MouserListTable1218[[#This Row],['# Initial]]*MouserListTable1218[[#This Row],[Price (USD)]]</f>
        <v>0</v>
      </c>
      <c r="O269" s="106" t="s">
        <v>1156</v>
      </c>
      <c r="P269" s="103">
        <f t="shared" si="4"/>
        <v>251</v>
      </c>
      <c r="Q269" s="103" t="s">
        <v>8</v>
      </c>
      <c r="R26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474-DEV-14443</v>
      </c>
      <c r="S269" s="121">
        <v>0</v>
      </c>
      <c r="T269" s="121">
        <v>1</v>
      </c>
      <c r="U269" s="121">
        <v>0</v>
      </c>
      <c r="V269" s="121">
        <f>MouserListTable1218[[#This Row],['#/Unit]]*FilterSpecs!$C$3+MouserListTable1218[[#This Row],[Extra]]</f>
        <v>1</v>
      </c>
      <c r="W269" s="121">
        <f>IF(MouserListTable1218[[#This Row],[Tag]]=FilterSpecs!$F$7,MouserListTable1218[[#This Row],[Price (USD)]],0)</f>
        <v>0</v>
      </c>
      <c r="X269" s="121">
        <f>MouserListTable1218[[#This Row],[Tot '#]]*MouserListTable1218[[#This Row],[Price (USD)]]</f>
        <v>5</v>
      </c>
    </row>
    <row r="270" spans="1:24" s="151" customFormat="1" ht="16.2" hidden="1" x14ac:dyDescent="0.3">
      <c r="A270" s="103" t="s">
        <v>1046</v>
      </c>
      <c r="B270" s="103" t="s">
        <v>2560</v>
      </c>
      <c r="C270" s="103" t="s">
        <v>8</v>
      </c>
      <c r="D270" s="106" t="str">
        <f>IF(MouserListTable1218[[#This Row],[Vendor]]=FilterSpecs!$A$8,MouserListTable1218[[#This Row],[Mouser SKU]], MouserListTable1218[[#This Row],[Supplier SKU]])</f>
        <v>DEV-14442</v>
      </c>
      <c r="E270" s="121">
        <f>MouserListTable1218[[#This Row],[Tot '#]]-MouserListTable1218[[#This Row],['# Initial]]</f>
        <v>1</v>
      </c>
      <c r="F270" s="121">
        <f>MouserListTable1218[[#This Row],['#/Unit]]*FilterSpecs!$B$3+MouserListTable1218[[#This Row],[Extra Initial]]</f>
        <v>0</v>
      </c>
      <c r="G270" s="103" t="s">
        <v>1165</v>
      </c>
      <c r="H270" s="103" t="s">
        <v>1166</v>
      </c>
      <c r="I270" s="103" t="s">
        <v>1167</v>
      </c>
      <c r="J270" s="103"/>
      <c r="K270" s="157">
        <v>15</v>
      </c>
      <c r="L270" s="103" t="s">
        <v>1914</v>
      </c>
      <c r="M270" s="156" t="s">
        <v>1050</v>
      </c>
      <c r="N270" s="157">
        <f>MouserListTable1218[[#This Row],['# Initial]]*MouserListTable1218[[#This Row],[Price (USD)]]</f>
        <v>0</v>
      </c>
      <c r="O270" s="106" t="s">
        <v>1164</v>
      </c>
      <c r="P270" s="103">
        <f t="shared" ref="P270:P333" si="5">IF($P269="List #",1,$P269+1)</f>
        <v>252</v>
      </c>
      <c r="Q270" s="103" t="s">
        <v>8</v>
      </c>
      <c r="R27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474-DEV-14442</v>
      </c>
      <c r="S270" s="121">
        <v>0</v>
      </c>
      <c r="T270" s="121">
        <v>1</v>
      </c>
      <c r="U270" s="121">
        <v>0</v>
      </c>
      <c r="V270" s="121">
        <f>MouserListTable1218[[#This Row],['#/Unit]]*FilterSpecs!$C$3+MouserListTable1218[[#This Row],[Extra]]</f>
        <v>1</v>
      </c>
      <c r="W270" s="121">
        <f>IF(MouserListTable1218[[#This Row],[Tag]]=FilterSpecs!$F$7,MouserListTable1218[[#This Row],[Price (USD)]],0)</f>
        <v>0</v>
      </c>
      <c r="X270" s="121">
        <f>MouserListTable1218[[#This Row],[Tot '#]]*MouserListTable1218[[#This Row],[Price (USD)]]</f>
        <v>15</v>
      </c>
    </row>
    <row r="271" spans="1:24" s="151" customFormat="1" ht="16.2" hidden="1" x14ac:dyDescent="0.3">
      <c r="A271" s="103" t="s">
        <v>1046</v>
      </c>
      <c r="B271" s="103" t="s">
        <v>2560</v>
      </c>
      <c r="C271" s="103" t="s">
        <v>8</v>
      </c>
      <c r="D271" s="106" t="str">
        <f>IF(MouserListTable1218[[#This Row],[Vendor]]=FilterSpecs!$A$8,MouserListTable1218[[#This Row],[Mouser SKU]], MouserListTable1218[[#This Row],[Supplier SKU]])</f>
        <v>DEV-14441</v>
      </c>
      <c r="E271" s="121">
        <f>MouserListTable1218[[#This Row],[Tot '#]]-MouserListTable1218[[#This Row],['# Initial]]</f>
        <v>1</v>
      </c>
      <c r="F271" s="121">
        <f>MouserListTable1218[[#This Row],['#/Unit]]*FilterSpecs!$B$3+MouserListTable1218[[#This Row],[Extra Initial]]</f>
        <v>0</v>
      </c>
      <c r="G271" s="103" t="s">
        <v>1169</v>
      </c>
      <c r="H271" s="103" t="s">
        <v>1170</v>
      </c>
      <c r="I271" s="103" t="s">
        <v>1171</v>
      </c>
      <c r="J271" s="103"/>
      <c r="K271" s="157">
        <v>15</v>
      </c>
      <c r="L271" s="103" t="s">
        <v>1914</v>
      </c>
      <c r="M271" s="156" t="s">
        <v>1050</v>
      </c>
      <c r="N271" s="157">
        <f>MouserListTable1218[[#This Row],['# Initial]]*MouserListTable1218[[#This Row],[Price (USD)]]</f>
        <v>0</v>
      </c>
      <c r="O271" s="106" t="s">
        <v>1168</v>
      </c>
      <c r="P271" s="103">
        <f t="shared" si="5"/>
        <v>253</v>
      </c>
      <c r="Q271" s="103" t="s">
        <v>8</v>
      </c>
      <c r="R27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474-DEV-14441</v>
      </c>
      <c r="S271" s="121">
        <v>0</v>
      </c>
      <c r="T271" s="121">
        <v>1</v>
      </c>
      <c r="U271" s="121">
        <v>0</v>
      </c>
      <c r="V271" s="121">
        <f>MouserListTable1218[[#This Row],['#/Unit]]*FilterSpecs!$C$3+MouserListTable1218[[#This Row],[Extra]]</f>
        <v>1</v>
      </c>
      <c r="W271" s="121">
        <f>IF(MouserListTable1218[[#This Row],[Tag]]=FilterSpecs!$F$7,MouserListTable1218[[#This Row],[Price (USD)]],0)</f>
        <v>0</v>
      </c>
      <c r="X271" s="121">
        <f>MouserListTable1218[[#This Row],[Tot '#]]*MouserListTable1218[[#This Row],[Price (USD)]]</f>
        <v>15</v>
      </c>
    </row>
    <row r="272" spans="1:24" s="144" customFormat="1" hidden="1" x14ac:dyDescent="0.3">
      <c r="A272" s="103" t="s">
        <v>1046</v>
      </c>
      <c r="B272" s="103" t="s">
        <v>1180</v>
      </c>
      <c r="C272" s="103" t="s">
        <v>8</v>
      </c>
      <c r="D272" s="106" t="str">
        <f>IF(MouserListTable1218[[#This Row],[Vendor]]=FilterSpecs!$A$8,MouserListTable1218[[#This Row],[Mouser SKU]], MouserListTable1218[[#This Row],[Supplier SKU]])</f>
        <v>DEV-14437</v>
      </c>
      <c r="E272" s="121">
        <f>MouserListTable1218[[#This Row],[Tot '#]]-MouserListTable1218[[#This Row],['# Initial]]</f>
        <v>1</v>
      </c>
      <c r="F272" s="121">
        <f>MouserListTable1218[[#This Row],['#/Unit]]*FilterSpecs!$B$3+MouserListTable1218[[#This Row],[Extra Initial]]</f>
        <v>0</v>
      </c>
      <c r="G272" s="103" t="s">
        <v>2438</v>
      </c>
      <c r="H272" s="103" t="s">
        <v>2439</v>
      </c>
      <c r="I272" s="103" t="s">
        <v>2440</v>
      </c>
      <c r="J272" s="103"/>
      <c r="K272" s="157">
        <v>15</v>
      </c>
      <c r="L272" s="103" t="s">
        <v>1914</v>
      </c>
      <c r="M272" s="103" t="s">
        <v>1050</v>
      </c>
      <c r="N272" s="157">
        <f>MouserListTable1218[[#This Row],['# Initial]]*MouserListTable1218[[#This Row],[Price (USD)]]</f>
        <v>0</v>
      </c>
      <c r="O272" s="106" t="s">
        <v>2437</v>
      </c>
      <c r="P272" s="103">
        <f t="shared" si="5"/>
        <v>254</v>
      </c>
      <c r="Q272" s="103" t="s">
        <v>8</v>
      </c>
      <c r="R27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474-DEV-14437</v>
      </c>
      <c r="S272" s="121">
        <v>0</v>
      </c>
      <c r="T272" s="121">
        <v>1</v>
      </c>
      <c r="U272" s="121">
        <v>0</v>
      </c>
      <c r="V272" s="121">
        <f>MouserListTable1218[[#This Row],['#/Unit]]*FilterSpecs!$C$3+MouserListTable1218[[#This Row],[Extra]]</f>
        <v>1</v>
      </c>
      <c r="W272" s="121">
        <f>IF(MouserListTable1218[[#This Row],[Tag]]=FilterSpecs!$F$7,MouserListTable1218[[#This Row],[Price (USD)]],0)</f>
        <v>0</v>
      </c>
      <c r="X272" s="121">
        <f>MouserListTable1218[[#This Row],[Tot '#]]*MouserListTable1218[[#This Row],[Price (USD)]]</f>
        <v>15</v>
      </c>
    </row>
    <row r="273" spans="1:24" s="144" customFormat="1" hidden="1" x14ac:dyDescent="0.3">
      <c r="A273" s="103" t="s">
        <v>1046</v>
      </c>
      <c r="B273" s="103" t="s">
        <v>1180</v>
      </c>
      <c r="C273" s="103" t="s">
        <v>8</v>
      </c>
      <c r="D273" s="106" t="str">
        <f>IF(MouserListTable1218[[#This Row],[Vendor]]=FilterSpecs!$A$8,MouserListTable1218[[#This Row],[Mouser SKU]], MouserListTable1218[[#This Row],[Supplier SKU]])</f>
        <v>DEV-14436</v>
      </c>
      <c r="E273" s="121">
        <f>MouserListTable1218[[#This Row],[Tot '#]]-MouserListTable1218[[#This Row],['# Initial]]</f>
        <v>1</v>
      </c>
      <c r="F273" s="121">
        <f>MouserListTable1218[[#This Row],['#/Unit]]*FilterSpecs!$B$3+MouserListTable1218[[#This Row],[Extra Initial]]</f>
        <v>0</v>
      </c>
      <c r="G273" s="103" t="s">
        <v>2442</v>
      </c>
      <c r="H273" s="103" t="s">
        <v>2443</v>
      </c>
      <c r="I273" s="103" t="s">
        <v>2444</v>
      </c>
      <c r="J273" s="103"/>
      <c r="K273" s="157">
        <v>10</v>
      </c>
      <c r="L273" s="103" t="s">
        <v>1914</v>
      </c>
      <c r="M273" s="103" t="s">
        <v>1050</v>
      </c>
      <c r="N273" s="157">
        <f>MouserListTable1218[[#This Row],['# Initial]]*MouserListTable1218[[#This Row],[Price (USD)]]</f>
        <v>0</v>
      </c>
      <c r="O273" s="106" t="s">
        <v>2441</v>
      </c>
      <c r="P273" s="103">
        <f t="shared" si="5"/>
        <v>255</v>
      </c>
      <c r="Q273" s="103" t="s">
        <v>8</v>
      </c>
      <c r="R27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474-DEV-14436</v>
      </c>
      <c r="S273" s="121">
        <v>0</v>
      </c>
      <c r="T273" s="121">
        <v>1</v>
      </c>
      <c r="U273" s="121">
        <v>0</v>
      </c>
      <c r="V273" s="121">
        <f>MouserListTable1218[[#This Row],['#/Unit]]*FilterSpecs!$C$3+MouserListTable1218[[#This Row],[Extra]]</f>
        <v>1</v>
      </c>
      <c r="W273" s="121">
        <f>IF(MouserListTable1218[[#This Row],[Tag]]=FilterSpecs!$F$7,MouserListTable1218[[#This Row],[Price (USD)]],0)</f>
        <v>0</v>
      </c>
      <c r="X273" s="121">
        <f>MouserListTable1218[[#This Row],[Tot '#]]*MouserListTable1218[[#This Row],[Price (USD)]]</f>
        <v>10</v>
      </c>
    </row>
    <row r="274" spans="1:24" s="151" customFormat="1" ht="16.2" hidden="1" x14ac:dyDescent="0.3">
      <c r="A274" s="103" t="s">
        <v>1047</v>
      </c>
      <c r="B274" s="103" t="s">
        <v>2561</v>
      </c>
      <c r="C274" s="103" t="s">
        <v>8</v>
      </c>
      <c r="D274" s="106" t="str">
        <f>IF(MouserListTable1218[[#This Row],[Vendor]]=FilterSpecs!$A$8,MouserListTable1218[[#This Row],[Mouser SKU]], MouserListTable1218[[#This Row],[Supplier SKU]])</f>
        <v>DEV-14439</v>
      </c>
      <c r="E274" s="121">
        <f>MouserListTable1218[[#This Row],[Tot '#]]-MouserListTable1218[[#This Row],['# Initial]]</f>
        <v>1</v>
      </c>
      <c r="F274" s="121">
        <f>MouserListTable1218[[#This Row],['#/Unit]]*FilterSpecs!$B$3+MouserListTable1218[[#This Row],[Extra Initial]]</f>
        <v>0</v>
      </c>
      <c r="G274" s="103" t="s">
        <v>1077</v>
      </c>
      <c r="H274" s="103" t="s">
        <v>1078</v>
      </c>
      <c r="I274" s="103" t="s">
        <v>1079</v>
      </c>
      <c r="J274" s="103"/>
      <c r="K274" s="157">
        <v>15</v>
      </c>
      <c r="L274" s="103" t="s">
        <v>1914</v>
      </c>
      <c r="M274" s="156" t="s">
        <v>1050</v>
      </c>
      <c r="N274" s="157">
        <f>MouserListTable1218[[#This Row],['# Initial]]*MouserListTable1218[[#This Row],[Price (USD)]]</f>
        <v>0</v>
      </c>
      <c r="O274" s="106" t="s">
        <v>1076</v>
      </c>
      <c r="P274" s="103">
        <f t="shared" si="5"/>
        <v>256</v>
      </c>
      <c r="Q274" s="103" t="s">
        <v>8</v>
      </c>
      <c r="R27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474-DEV-14439</v>
      </c>
      <c r="S274" s="121">
        <v>0</v>
      </c>
      <c r="T274" s="121">
        <v>1</v>
      </c>
      <c r="U274" s="121">
        <v>0</v>
      </c>
      <c r="V274" s="121">
        <f>MouserListTable1218[[#This Row],['#/Unit]]*FilterSpecs!$C$3+MouserListTable1218[[#This Row],[Extra]]</f>
        <v>1</v>
      </c>
      <c r="W274" s="121">
        <f>IF(MouserListTable1218[[#This Row],[Tag]]=FilterSpecs!$F$7,MouserListTable1218[[#This Row],[Price (USD)]],0)</f>
        <v>0</v>
      </c>
      <c r="X274" s="121">
        <f>MouserListTable1218[[#This Row],[Tot '#]]*MouserListTable1218[[#This Row],[Price (USD)]]</f>
        <v>15</v>
      </c>
    </row>
    <row r="275" spans="1:24" s="151" customFormat="1" ht="16.2" hidden="1" x14ac:dyDescent="0.3">
      <c r="A275" s="103" t="s">
        <v>1047</v>
      </c>
      <c r="B275" s="103" t="s">
        <v>2561</v>
      </c>
      <c r="C275" s="103" t="s">
        <v>8</v>
      </c>
      <c r="D275" s="106" t="str">
        <f>IF(MouserListTable1218[[#This Row],[Vendor]]=FilterSpecs!$A$8,MouserListTable1218[[#This Row],[Mouser SKU]], MouserListTable1218[[#This Row],[Supplier SKU]])</f>
        <v>DEV-14431</v>
      </c>
      <c r="E275" s="121">
        <f>MouserListTable1218[[#This Row],[Tot '#]]-MouserListTable1218[[#This Row],['# Initial]]</f>
        <v>1</v>
      </c>
      <c r="F275" s="121">
        <f>MouserListTable1218[[#This Row],['#/Unit]]*FilterSpecs!$B$3+MouserListTable1218[[#This Row],[Extra Initial]]</f>
        <v>0</v>
      </c>
      <c r="G275" s="103" t="s">
        <v>1153</v>
      </c>
      <c r="H275" s="103" t="s">
        <v>1154</v>
      </c>
      <c r="I275" s="103" t="s">
        <v>1155</v>
      </c>
      <c r="J275" s="103"/>
      <c r="K275" s="157">
        <v>9</v>
      </c>
      <c r="L275" s="103" t="s">
        <v>1914</v>
      </c>
      <c r="M275" s="156" t="s">
        <v>1050</v>
      </c>
      <c r="N275" s="157">
        <f>MouserListTable1218[[#This Row],['# Initial]]*MouserListTable1218[[#This Row],[Price (USD)]]</f>
        <v>0</v>
      </c>
      <c r="O275" s="106" t="s">
        <v>1152</v>
      </c>
      <c r="P275" s="103">
        <f t="shared" si="5"/>
        <v>257</v>
      </c>
      <c r="Q275" s="103" t="s">
        <v>8</v>
      </c>
      <c r="R27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474-DEV-14431</v>
      </c>
      <c r="S275" s="121">
        <v>0</v>
      </c>
      <c r="T275" s="121">
        <v>1</v>
      </c>
      <c r="U275" s="121">
        <v>0</v>
      </c>
      <c r="V275" s="121">
        <f>MouserListTable1218[[#This Row],['#/Unit]]*FilterSpecs!$C$3+MouserListTable1218[[#This Row],[Extra]]</f>
        <v>1</v>
      </c>
      <c r="W275" s="121">
        <f>IF(MouserListTable1218[[#This Row],[Tag]]=FilterSpecs!$F$7,MouserListTable1218[[#This Row],[Price (USD)]],0)</f>
        <v>0</v>
      </c>
      <c r="X275" s="121">
        <f>MouserListTable1218[[#This Row],[Tot '#]]*MouserListTable1218[[#This Row],[Price (USD)]]</f>
        <v>9</v>
      </c>
    </row>
    <row r="276" spans="1:24" s="151" customFormat="1" ht="16.2" hidden="1" x14ac:dyDescent="0.3">
      <c r="A276" s="103" t="s">
        <v>1047</v>
      </c>
      <c r="B276" s="103" t="s">
        <v>2561</v>
      </c>
      <c r="C276" s="103" t="s">
        <v>8</v>
      </c>
      <c r="D276" s="106" t="str">
        <f>IF(MouserListTable1218[[#This Row],[Vendor]]=FilterSpecs!$A$8,MouserListTable1218[[#This Row],[Mouser SKU]], MouserListTable1218[[#This Row],[Supplier SKU]])</f>
        <v>DEV-14446</v>
      </c>
      <c r="E276" s="121">
        <f>MouserListTable1218[[#This Row],[Tot '#]]-MouserListTable1218[[#This Row],['# Initial]]</f>
        <v>1</v>
      </c>
      <c r="F276" s="121">
        <f>MouserListTable1218[[#This Row],['#/Unit]]*FilterSpecs!$B$3+MouserListTable1218[[#This Row],[Extra Initial]]</f>
        <v>0</v>
      </c>
      <c r="G276" s="103" t="s">
        <v>1161</v>
      </c>
      <c r="H276" s="103" t="s">
        <v>1162</v>
      </c>
      <c r="I276" s="103" t="s">
        <v>1163</v>
      </c>
      <c r="J276" s="103"/>
      <c r="K276" s="157">
        <v>30</v>
      </c>
      <c r="L276" s="103" t="s">
        <v>1914</v>
      </c>
      <c r="M276" s="156" t="s">
        <v>1050</v>
      </c>
      <c r="N276" s="157">
        <f>MouserListTable1218[[#This Row],['# Initial]]*MouserListTable1218[[#This Row],[Price (USD)]]</f>
        <v>0</v>
      </c>
      <c r="O276" s="106" t="s">
        <v>1160</v>
      </c>
      <c r="P276" s="103">
        <f t="shared" si="5"/>
        <v>258</v>
      </c>
      <c r="Q276" s="103" t="s">
        <v>8</v>
      </c>
      <c r="R27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474-DEV-14446</v>
      </c>
      <c r="S276" s="121">
        <v>0</v>
      </c>
      <c r="T276" s="121">
        <v>1</v>
      </c>
      <c r="U276" s="121">
        <v>0</v>
      </c>
      <c r="V276" s="121">
        <f>MouserListTable1218[[#This Row],['#/Unit]]*FilterSpecs!$C$3+MouserListTable1218[[#This Row],[Extra]]</f>
        <v>1</v>
      </c>
      <c r="W276" s="121">
        <f>IF(MouserListTable1218[[#This Row],[Tag]]=FilterSpecs!$F$7,MouserListTable1218[[#This Row],[Price (USD)]],0)</f>
        <v>0</v>
      </c>
      <c r="X276" s="121">
        <f>MouserListTable1218[[#This Row],[Tot '#]]*MouserListTable1218[[#This Row],[Price (USD)]]</f>
        <v>30</v>
      </c>
    </row>
    <row r="277" spans="1:24" s="151" customFormat="1" ht="16.2" hidden="1" x14ac:dyDescent="0.3">
      <c r="A277" s="103" t="s">
        <v>1047</v>
      </c>
      <c r="B277" s="103" t="s">
        <v>2561</v>
      </c>
      <c r="C277" s="103" t="s">
        <v>8</v>
      </c>
      <c r="D277" s="106" t="str">
        <f>IF(MouserListTable1218[[#This Row],[Vendor]]=FilterSpecs!$A$8,MouserListTable1218[[#This Row],[Mouser SKU]], MouserListTable1218[[#This Row],[Supplier SKU]])</f>
        <v>DEV-14443</v>
      </c>
      <c r="E277" s="121">
        <f>MouserListTable1218[[#This Row],[Tot '#]]-MouserListTable1218[[#This Row],['# Initial]]</f>
        <v>1</v>
      </c>
      <c r="F277" s="121">
        <f>MouserListTable1218[[#This Row],['#/Unit]]*FilterSpecs!$B$3+MouserListTable1218[[#This Row],[Extra Initial]]</f>
        <v>0</v>
      </c>
      <c r="G277" s="103" t="s">
        <v>1157</v>
      </c>
      <c r="H277" s="103" t="s">
        <v>1158</v>
      </c>
      <c r="I277" s="103" t="s">
        <v>1159</v>
      </c>
      <c r="J277" s="103"/>
      <c r="K277" s="157">
        <v>5</v>
      </c>
      <c r="L277" s="103" t="s">
        <v>1914</v>
      </c>
      <c r="M277" s="156" t="s">
        <v>1050</v>
      </c>
      <c r="N277" s="157">
        <f>MouserListTable1218[[#This Row],['# Initial]]*MouserListTable1218[[#This Row],[Price (USD)]]</f>
        <v>0</v>
      </c>
      <c r="O277" s="106" t="s">
        <v>1156</v>
      </c>
      <c r="P277" s="103">
        <f t="shared" si="5"/>
        <v>259</v>
      </c>
      <c r="Q277" s="103" t="s">
        <v>8</v>
      </c>
      <c r="R27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474-DEV-14443</v>
      </c>
      <c r="S277" s="121">
        <v>0</v>
      </c>
      <c r="T277" s="121">
        <v>1</v>
      </c>
      <c r="U277" s="121">
        <v>0</v>
      </c>
      <c r="V277" s="121">
        <f>MouserListTable1218[[#This Row],['#/Unit]]*FilterSpecs!$C$3+MouserListTable1218[[#This Row],[Extra]]</f>
        <v>1</v>
      </c>
      <c r="W277" s="121">
        <f>IF(MouserListTable1218[[#This Row],[Tag]]=FilterSpecs!$F$7,MouserListTable1218[[#This Row],[Price (USD)]],0)</f>
        <v>0</v>
      </c>
      <c r="X277" s="121">
        <f>MouserListTable1218[[#This Row],[Tot '#]]*MouserListTable1218[[#This Row],[Price (USD)]]</f>
        <v>5</v>
      </c>
    </row>
    <row r="278" spans="1:24" s="151" customFormat="1" ht="16.2" hidden="1" x14ac:dyDescent="0.3">
      <c r="A278" s="103" t="s">
        <v>1047</v>
      </c>
      <c r="B278" s="103" t="s">
        <v>2561</v>
      </c>
      <c r="C278" s="103" t="s">
        <v>8</v>
      </c>
      <c r="D278" s="106" t="str">
        <f>IF(MouserListTable1218[[#This Row],[Vendor]]=FilterSpecs!$A$8,MouserListTable1218[[#This Row],[Mouser SKU]], MouserListTable1218[[#This Row],[Supplier SKU]])</f>
        <v>DEV-14442</v>
      </c>
      <c r="E278" s="121">
        <f>MouserListTable1218[[#This Row],[Tot '#]]-MouserListTable1218[[#This Row],['# Initial]]</f>
        <v>1</v>
      </c>
      <c r="F278" s="121">
        <f>MouserListTable1218[[#This Row],['#/Unit]]*FilterSpecs!$B$3+MouserListTable1218[[#This Row],[Extra Initial]]</f>
        <v>0</v>
      </c>
      <c r="G278" s="103" t="s">
        <v>1165</v>
      </c>
      <c r="H278" s="103" t="s">
        <v>1166</v>
      </c>
      <c r="I278" s="103" t="s">
        <v>1167</v>
      </c>
      <c r="J278" s="103"/>
      <c r="K278" s="157">
        <v>15</v>
      </c>
      <c r="L278" s="103" t="s">
        <v>1914</v>
      </c>
      <c r="M278" s="156" t="s">
        <v>1050</v>
      </c>
      <c r="N278" s="157">
        <f>MouserListTable1218[[#This Row],['# Initial]]*MouserListTable1218[[#This Row],[Price (USD)]]</f>
        <v>0</v>
      </c>
      <c r="O278" s="106" t="s">
        <v>1164</v>
      </c>
      <c r="P278" s="103">
        <f t="shared" si="5"/>
        <v>260</v>
      </c>
      <c r="Q278" s="103" t="s">
        <v>8</v>
      </c>
      <c r="R27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474-DEV-14442</v>
      </c>
      <c r="S278" s="121">
        <v>0</v>
      </c>
      <c r="T278" s="121">
        <v>1</v>
      </c>
      <c r="U278" s="121">
        <v>0</v>
      </c>
      <c r="V278" s="121">
        <f>MouserListTable1218[[#This Row],['#/Unit]]*FilterSpecs!$C$3+MouserListTable1218[[#This Row],[Extra]]</f>
        <v>1</v>
      </c>
      <c r="W278" s="121">
        <f>IF(MouserListTable1218[[#This Row],[Tag]]=FilterSpecs!$F$7,MouserListTable1218[[#This Row],[Price (USD)]],0)</f>
        <v>0</v>
      </c>
      <c r="X278" s="121">
        <f>MouserListTable1218[[#This Row],[Tot '#]]*MouserListTable1218[[#This Row],[Price (USD)]]</f>
        <v>15</v>
      </c>
    </row>
    <row r="279" spans="1:24" s="151" customFormat="1" hidden="1" x14ac:dyDescent="0.3">
      <c r="A279" s="103" t="s">
        <v>1047</v>
      </c>
      <c r="B279" s="103" t="s">
        <v>1067</v>
      </c>
      <c r="C279" s="103" t="s">
        <v>8</v>
      </c>
      <c r="D279" s="106" t="str">
        <f>IF(MouserListTable1218[[#This Row],[Vendor]]=FilterSpecs!$A$8,MouserListTable1218[[#This Row],[Mouser SKU]], MouserListTable1218[[#This Row],[Supplier SKU]])</f>
        <v>WRL-14280</v>
      </c>
      <c r="E279" s="121">
        <f>MouserListTable1218[[#This Row],[Tot '#]]-MouserListTable1218[[#This Row],['# Initial]]</f>
        <v>1</v>
      </c>
      <c r="F279" s="121">
        <f>MouserListTable1218[[#This Row],['#/Unit]]*FilterSpecs!$B$3+MouserListTable1218[[#This Row],[Extra Initial]]</f>
        <v>0</v>
      </c>
      <c r="G279" s="103" t="s">
        <v>352</v>
      </c>
      <c r="H279" s="103" t="s">
        <v>353</v>
      </c>
      <c r="I279" s="103" t="s">
        <v>354</v>
      </c>
      <c r="J279" s="103"/>
      <c r="K279" s="157">
        <v>24.95</v>
      </c>
      <c r="L279" s="103" t="s">
        <v>1914</v>
      </c>
      <c r="M279" s="103" t="s">
        <v>1051</v>
      </c>
      <c r="N279" s="157">
        <f>MouserListTable1218[[#This Row],['# Initial]]*MouserListTable1218[[#This Row],[Price (USD)]]</f>
        <v>0</v>
      </c>
      <c r="O279" s="106" t="s">
        <v>351</v>
      </c>
      <c r="P279" s="103">
        <f t="shared" si="5"/>
        <v>261</v>
      </c>
      <c r="Q279" s="103" t="s">
        <v>8</v>
      </c>
      <c r="R27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474-WRL-14280</v>
      </c>
      <c r="S279" s="121">
        <v>0</v>
      </c>
      <c r="T279" s="121">
        <v>1</v>
      </c>
      <c r="U279" s="121">
        <v>0</v>
      </c>
      <c r="V279" s="121">
        <f>MouserListTable1218[[#This Row],['#/Unit]]*FilterSpecs!$C$3+MouserListTable1218[[#This Row],[Extra]]</f>
        <v>1</v>
      </c>
      <c r="W279" s="121">
        <f>IF(MouserListTable1218[[#This Row],[Tag]]=FilterSpecs!$F$7,MouserListTable1218[[#This Row],[Price (USD)]],0)</f>
        <v>0</v>
      </c>
      <c r="X279" s="121">
        <f>MouserListTable1218[[#This Row],[Tot '#]]*MouserListTable1218[[#This Row],[Price (USD)]]</f>
        <v>24.95</v>
      </c>
    </row>
    <row r="280" spans="1:24" s="151" customFormat="1" hidden="1" x14ac:dyDescent="0.3">
      <c r="A280" s="103" t="s">
        <v>1047</v>
      </c>
      <c r="B280" s="103" t="s">
        <v>1618</v>
      </c>
      <c r="C280" s="103" t="s">
        <v>8</v>
      </c>
      <c r="D280" s="106" t="str">
        <f>IF(MouserListTable1218[[#This Row],[Vendor]]=FilterSpecs!$A$8,MouserListTable1218[[#This Row],[Mouser SKU]], MouserListTable1218[[#This Row],[Supplier SKU]])</f>
        <v>DEV-13613</v>
      </c>
      <c r="E280" s="121">
        <f>MouserListTable1218[[#This Row],[Tot '#]]-MouserListTable1218[[#This Row],['# Initial]]</f>
        <v>1</v>
      </c>
      <c r="F280" s="121">
        <f>MouserListTable1218[[#This Row],['#/Unit]]*FilterSpecs!$B$3+MouserListTable1218[[#This Row],[Extra Initial]]</f>
        <v>0</v>
      </c>
      <c r="G280" s="103" t="s">
        <v>356</v>
      </c>
      <c r="H280" s="103" t="s">
        <v>357</v>
      </c>
      <c r="I280" s="103" t="s">
        <v>358</v>
      </c>
      <c r="J280" s="103">
        <v>1</v>
      </c>
      <c r="K280" s="157">
        <v>39.950000000000003</v>
      </c>
      <c r="L280" s="103" t="s">
        <v>1914</v>
      </c>
      <c r="M280" s="103" t="s">
        <v>1044</v>
      </c>
      <c r="N280" s="157">
        <f>MouserListTable1218[[#This Row],['# Initial]]*MouserListTable1218[[#This Row],[Price (USD)]]</f>
        <v>0</v>
      </c>
      <c r="O280" s="106" t="s">
        <v>355</v>
      </c>
      <c r="P280" s="103">
        <f t="shared" si="5"/>
        <v>262</v>
      </c>
      <c r="Q280" s="103" t="s">
        <v>8</v>
      </c>
      <c r="R28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474-DEV-13613</v>
      </c>
      <c r="S280" s="121">
        <v>0</v>
      </c>
      <c r="T280" s="121">
        <v>1</v>
      </c>
      <c r="U280" s="121">
        <v>0</v>
      </c>
      <c r="V280" s="121">
        <f>MouserListTable1218[[#This Row],['#/Unit]]*FilterSpecs!$C$3+MouserListTable1218[[#This Row],[Extra]]</f>
        <v>1</v>
      </c>
      <c r="W280" s="121">
        <f>IF(MouserListTable1218[[#This Row],[Tag]]=FilterSpecs!$F$7,MouserListTable1218[[#This Row],[Price (USD)]],0)</f>
        <v>0</v>
      </c>
      <c r="X280" s="121">
        <f>MouserListTable1218[[#This Row],[Tot '#]]*MouserListTable1218[[#This Row],[Price (USD)]]</f>
        <v>39.950000000000003</v>
      </c>
    </row>
    <row r="281" spans="1:24" s="151" customFormat="1" hidden="1" x14ac:dyDescent="0.3">
      <c r="A281" s="103" t="s">
        <v>1047</v>
      </c>
      <c r="B281" s="103" t="s">
        <v>1066</v>
      </c>
      <c r="C281" s="103" t="s">
        <v>8</v>
      </c>
      <c r="D281" s="106" t="str">
        <f>IF(MouserListTable1218[[#This Row],[Vendor]]=FilterSpecs!$A$8,MouserListTable1218[[#This Row],[Mouser SKU]], MouserListTable1218[[#This Row],[Supplier SKU]])</f>
        <v>DEV-12923</v>
      </c>
      <c r="E281" s="121">
        <f>MouserListTable1218[[#This Row],[Tot '#]]-MouserListTable1218[[#This Row],['# Initial]]</f>
        <v>1</v>
      </c>
      <c r="F281" s="121">
        <f>MouserListTable1218[[#This Row],['#/Unit]]*FilterSpecs!$B$3+MouserListTable1218[[#This Row],[Extra Initial]]</f>
        <v>0</v>
      </c>
      <c r="G281" s="103" t="s">
        <v>325</v>
      </c>
      <c r="H281" s="103" t="s">
        <v>326</v>
      </c>
      <c r="I281" s="103" t="s">
        <v>327</v>
      </c>
      <c r="J281" s="103">
        <v>1</v>
      </c>
      <c r="K281" s="157">
        <v>39.950000000000003</v>
      </c>
      <c r="L281" s="103" t="s">
        <v>1914</v>
      </c>
      <c r="M281" s="103" t="s">
        <v>1055</v>
      </c>
      <c r="N281" s="157">
        <f>MouserListTable1218[[#This Row],['# Initial]]*MouserListTable1218[[#This Row],[Price (USD)]]</f>
        <v>0</v>
      </c>
      <c r="O281" s="106" t="s">
        <v>324</v>
      </c>
      <c r="P281" s="103">
        <f t="shared" si="5"/>
        <v>263</v>
      </c>
      <c r="Q281" s="103" t="s">
        <v>8</v>
      </c>
      <c r="R28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474-DEV-12923</v>
      </c>
      <c r="S281" s="121">
        <v>0</v>
      </c>
      <c r="T281" s="121">
        <v>1</v>
      </c>
      <c r="U281" s="121">
        <v>0</v>
      </c>
      <c r="V281" s="121">
        <f>MouserListTable1218[[#This Row],['#/Unit]]*FilterSpecs!$C$3+MouserListTable1218[[#This Row],[Extra]]</f>
        <v>1</v>
      </c>
      <c r="W281" s="121">
        <f>IF(MouserListTable1218[[#This Row],[Tag]]=FilterSpecs!$F$7,MouserListTable1218[[#This Row],[Price (USD)]],0)</f>
        <v>0</v>
      </c>
      <c r="X281" s="121">
        <f>MouserListTable1218[[#This Row],[Tot '#]]*MouserListTable1218[[#This Row],[Price (USD)]]</f>
        <v>39.950000000000003</v>
      </c>
    </row>
    <row r="282" spans="1:24" s="151" customFormat="1" hidden="1" x14ac:dyDescent="0.3">
      <c r="A282" s="103" t="s">
        <v>1047</v>
      </c>
      <c r="B282" s="103" t="s">
        <v>1066</v>
      </c>
      <c r="C282" s="103" t="s">
        <v>8</v>
      </c>
      <c r="D282" s="106" t="str">
        <f>IF(MouserListTable1218[[#This Row],[Vendor]]=FilterSpecs!$A$8,MouserListTable1218[[#This Row],[Mouser SKU]], MouserListTable1218[[#This Row],[Supplier SKU]])</f>
        <v>DEV-12924</v>
      </c>
      <c r="E282" s="121">
        <f>MouserListTable1218[[#This Row],[Tot '#]]-MouserListTable1218[[#This Row],['# Initial]]</f>
        <v>1</v>
      </c>
      <c r="F282" s="121">
        <f>MouserListTable1218[[#This Row],['#/Unit]]*FilterSpecs!$B$3+MouserListTable1218[[#This Row],[Extra Initial]]</f>
        <v>0</v>
      </c>
      <c r="G282" s="103" t="s">
        <v>329</v>
      </c>
      <c r="H282" s="103" t="s">
        <v>330</v>
      </c>
      <c r="I282" s="103" t="s">
        <v>331</v>
      </c>
      <c r="J282" s="103">
        <v>1</v>
      </c>
      <c r="K282" s="157">
        <v>14.95</v>
      </c>
      <c r="L282" s="103" t="s">
        <v>1914</v>
      </c>
      <c r="M282" s="103" t="s">
        <v>1055</v>
      </c>
      <c r="N282" s="157">
        <f>MouserListTable1218[[#This Row],['# Initial]]*MouserListTable1218[[#This Row],[Price (USD)]]</f>
        <v>0</v>
      </c>
      <c r="O282" s="106" t="s">
        <v>328</v>
      </c>
      <c r="P282" s="103">
        <f t="shared" si="5"/>
        <v>264</v>
      </c>
      <c r="Q282" s="103" t="s">
        <v>8</v>
      </c>
      <c r="R28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474-DEV-12924</v>
      </c>
      <c r="S282" s="121">
        <v>0</v>
      </c>
      <c r="T282" s="121">
        <v>1</v>
      </c>
      <c r="U282" s="121">
        <v>0</v>
      </c>
      <c r="V282" s="121">
        <f>MouserListTable1218[[#This Row],['#/Unit]]*FilterSpecs!$C$3+MouserListTable1218[[#This Row],[Extra]]</f>
        <v>1</v>
      </c>
      <c r="W282" s="121">
        <f>IF(MouserListTable1218[[#This Row],[Tag]]=FilterSpecs!$F$7,MouserListTable1218[[#This Row],[Price (USD)]],0)</f>
        <v>0</v>
      </c>
      <c r="X282" s="121">
        <f>MouserListTable1218[[#This Row],[Tot '#]]*MouserListTable1218[[#This Row],[Price (USD)]]</f>
        <v>14.95</v>
      </c>
    </row>
    <row r="283" spans="1:24" s="144" customFormat="1" x14ac:dyDescent="0.3">
      <c r="A283" s="103" t="s">
        <v>896</v>
      </c>
      <c r="B283" s="103" t="s">
        <v>994</v>
      </c>
      <c r="C283" s="103" t="s">
        <v>8</v>
      </c>
      <c r="D283" s="106" t="str">
        <f>IF(MouserListTable1218[[#This Row],[Vendor]]=FilterSpecs!$A$8,MouserListTable1218[[#This Row],[Mouser SKU]], MouserListTable1218[[#This Row],[Supplier SKU]])</f>
        <v>PRT-12614</v>
      </c>
      <c r="E283" s="121">
        <f>MouserListTable1218[[#This Row],[Tot '#]]-MouserListTable1218[[#This Row],['# Initial]]</f>
        <v>1</v>
      </c>
      <c r="F283" s="121">
        <f>MouserListTable1218[[#This Row],['#/Unit]]*FilterSpecs!$B$3+MouserListTable1218[[#This Row],[Extra Initial]]</f>
        <v>0</v>
      </c>
      <c r="G283" s="103" t="s">
        <v>788</v>
      </c>
      <c r="H283" s="103" t="s">
        <v>789</v>
      </c>
      <c r="I283" s="103" t="s">
        <v>790</v>
      </c>
      <c r="J283" s="103"/>
      <c r="K283" s="157">
        <v>19.95</v>
      </c>
      <c r="L283" s="103" t="s">
        <v>1910</v>
      </c>
      <c r="M283" s="106"/>
      <c r="N283" s="157">
        <f>MouserListTable1218[[#This Row],['# Initial]]*MouserListTable1218[[#This Row],[Price (USD)]]</f>
        <v>0</v>
      </c>
      <c r="O283" s="106" t="s">
        <v>787</v>
      </c>
      <c r="P283" s="103">
        <f t="shared" si="5"/>
        <v>265</v>
      </c>
      <c r="Q283" s="103" t="s">
        <v>8</v>
      </c>
      <c r="R28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474-PRT-12614</v>
      </c>
      <c r="S283" s="121">
        <v>0</v>
      </c>
      <c r="T283" s="121">
        <v>1</v>
      </c>
      <c r="U283" s="121">
        <v>0</v>
      </c>
      <c r="V283" s="121">
        <f>MouserListTable1218[[#This Row],['#/Unit]]*FilterSpecs!$C$3+MouserListTable1218[[#This Row],[Extra]]</f>
        <v>1</v>
      </c>
      <c r="W283" s="121">
        <f>IF(MouserListTable1218[[#This Row],[Tag]]=FilterSpecs!$F$7,MouserListTable1218[[#This Row],[Price (USD)]],0)</f>
        <v>0</v>
      </c>
      <c r="X283" s="121">
        <f>MouserListTable1218[[#This Row],[Tot '#]]*MouserListTable1218[[#This Row],[Price (USD)]]</f>
        <v>19.95</v>
      </c>
    </row>
    <row r="284" spans="1:24" s="146" customFormat="1" x14ac:dyDescent="0.3">
      <c r="A284" s="126" t="s">
        <v>896</v>
      </c>
      <c r="B284" s="126" t="s">
        <v>994</v>
      </c>
      <c r="C284" s="126" t="s">
        <v>8</v>
      </c>
      <c r="D284" s="106" t="str">
        <f>IF(MouserListTable1218[[#This Row],[Vendor]]=FilterSpecs!$A$8,MouserListTable1218[[#This Row],[Mouser SKU]], MouserListTable1218[[#This Row],[Supplier SKU]])</f>
        <v>PRT-12044</v>
      </c>
      <c r="E284" s="121">
        <f>MouserListTable1218[[#This Row],[Tot '#]]-MouserListTable1218[[#This Row],['# Initial]]</f>
        <v>0</v>
      </c>
      <c r="F284" s="121">
        <f>MouserListTable1218[[#This Row],['#/Unit]]*FilterSpecs!$B$3+MouserListTable1218[[#This Row],[Extra Initial]]</f>
        <v>0</v>
      </c>
      <c r="G284" s="103" t="s">
        <v>1101</v>
      </c>
      <c r="H284" s="103" t="s">
        <v>1102</v>
      </c>
      <c r="I284" s="103" t="s">
        <v>1103</v>
      </c>
      <c r="J284" s="103">
        <v>1</v>
      </c>
      <c r="K284" s="157">
        <v>3.95</v>
      </c>
      <c r="L284" s="103" t="s">
        <v>1910</v>
      </c>
      <c r="M284" s="103" t="s">
        <v>1309</v>
      </c>
      <c r="N284" s="157">
        <f>MouserListTable1218[[#This Row],['# Initial]]*MouserListTable1218[[#This Row],[Price (USD)]]</f>
        <v>0</v>
      </c>
      <c r="O284" s="106" t="s">
        <v>1100</v>
      </c>
      <c r="P284" s="103">
        <f t="shared" si="5"/>
        <v>266</v>
      </c>
      <c r="Q284" s="103" t="s">
        <v>8</v>
      </c>
      <c r="R28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474-PRT-12044</v>
      </c>
      <c r="S284" s="121">
        <v>0</v>
      </c>
      <c r="T284" s="121">
        <v>0</v>
      </c>
      <c r="U284" s="121">
        <v>0</v>
      </c>
      <c r="V284" s="121">
        <f>MouserListTable1218[[#This Row],['#/Unit]]*FilterSpecs!$C$3+MouserListTable1218[[#This Row],[Extra]]</f>
        <v>0</v>
      </c>
      <c r="W284" s="121">
        <f>IF(MouserListTable1218[[#This Row],[Tag]]=FilterSpecs!$F$7,MouserListTable1218[[#This Row],[Price (USD)]],0)</f>
        <v>0</v>
      </c>
      <c r="X284" s="121">
        <f>MouserListTable1218[[#This Row],[Tot '#]]*MouserListTable1218[[#This Row],[Price (USD)]]</f>
        <v>0</v>
      </c>
    </row>
    <row r="285" spans="1:24" s="146" customFormat="1" x14ac:dyDescent="0.3">
      <c r="A285" s="103" t="s">
        <v>896</v>
      </c>
      <c r="B285" s="103" t="s">
        <v>994</v>
      </c>
      <c r="C285" s="103" t="s">
        <v>8</v>
      </c>
      <c r="D285" s="106" t="str">
        <f>IF(MouserListTable1218[[#This Row],[Vendor]]=FilterSpecs!$A$8,MouserListTable1218[[#This Row],[Mouser SKU]], MouserListTable1218[[#This Row],[Supplier SKU]])</f>
        <v>PRT-12047</v>
      </c>
      <c r="E285" s="121">
        <f>MouserListTable1218[[#This Row],[Tot '#]]-MouserListTable1218[[#This Row],['# Initial]]</f>
        <v>0</v>
      </c>
      <c r="F285" s="121">
        <f>MouserListTable1218[[#This Row],['#/Unit]]*FilterSpecs!$B$3+MouserListTable1218[[#This Row],[Extra Initial]]</f>
        <v>20</v>
      </c>
      <c r="G285" s="103" t="s">
        <v>1311</v>
      </c>
      <c r="H285" s="103" t="s">
        <v>1312</v>
      </c>
      <c r="I285" s="103" t="s">
        <v>1313</v>
      </c>
      <c r="J285" s="103">
        <v>1</v>
      </c>
      <c r="K285" s="157">
        <v>3.95</v>
      </c>
      <c r="L285" s="103" t="s">
        <v>1911</v>
      </c>
      <c r="M285" s="103" t="s">
        <v>1309</v>
      </c>
      <c r="N285" s="157">
        <f>MouserListTable1218[[#This Row],['# Initial]]*MouserListTable1218[[#This Row],[Price (USD)]]</f>
        <v>79</v>
      </c>
      <c r="O285" s="106" t="s">
        <v>1310</v>
      </c>
      <c r="P285" s="103">
        <f t="shared" si="5"/>
        <v>267</v>
      </c>
      <c r="Q285" s="103" t="s">
        <v>8</v>
      </c>
      <c r="R28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474-PRT-12047</v>
      </c>
      <c r="S285" s="121">
        <v>4</v>
      </c>
      <c r="T285" s="121">
        <v>0</v>
      </c>
      <c r="U285" s="121">
        <v>0</v>
      </c>
      <c r="V285" s="121">
        <f>MouserListTable1218[[#This Row],['#/Unit]]*FilterSpecs!$C$3+MouserListTable1218[[#This Row],[Extra]]</f>
        <v>20</v>
      </c>
      <c r="W285" s="121">
        <f>IF(MouserListTable1218[[#This Row],[Tag]]=FilterSpecs!$F$7,MouserListTable1218[[#This Row],[Price (USD)]],0)</f>
        <v>3.95</v>
      </c>
      <c r="X285" s="121">
        <f>MouserListTable1218[[#This Row],[Tot '#]]*MouserListTable1218[[#This Row],[Price (USD)]]</f>
        <v>79</v>
      </c>
    </row>
    <row r="286" spans="1:24" s="146" customFormat="1" x14ac:dyDescent="0.3">
      <c r="A286" s="103" t="s">
        <v>896</v>
      </c>
      <c r="B286" s="103" t="s">
        <v>994</v>
      </c>
      <c r="C286" s="103" t="s">
        <v>1898</v>
      </c>
      <c r="D286" s="106" t="str">
        <f>IF(MouserListTable1218[[#This Row],[Vendor]]=FilterSpecs!$A$8,MouserListTable1218[[#This Row],[Mouser SKU]], MouserListTable1218[[#This Row],[Supplier SKU]])</f>
        <v>65</v>
      </c>
      <c r="E286" s="121">
        <f>MouserListTable1218[[#This Row],[Tot '#]]-MouserListTable1218[[#This Row],['# Initial]]</f>
        <v>0</v>
      </c>
      <c r="F286" s="121">
        <f>MouserListTable1218[[#This Row],['#/Unit]]*FilterSpecs!$B$3+MouserListTable1218[[#This Row],[Extra Initial]]</f>
        <v>0</v>
      </c>
      <c r="G286" s="103"/>
      <c r="H286" s="103"/>
      <c r="I286" s="126" t="s">
        <v>2115</v>
      </c>
      <c r="K286" s="158">
        <v>4</v>
      </c>
      <c r="L286" s="126" t="s">
        <v>1910</v>
      </c>
      <c r="N286" s="157">
        <f>MouserListTable1218[[#This Row],['# Initial]]*MouserListTable1218[[#This Row],[Price (USD)]]</f>
        <v>0</v>
      </c>
      <c r="O286" s="106" t="s">
        <v>2114</v>
      </c>
      <c r="P286" s="103">
        <f t="shared" si="5"/>
        <v>268</v>
      </c>
      <c r="Q286" s="103" t="s">
        <v>1898</v>
      </c>
      <c r="R28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485-65</v>
      </c>
      <c r="S286" s="121">
        <v>0</v>
      </c>
      <c r="T286" s="121">
        <v>0</v>
      </c>
      <c r="U286" s="121">
        <v>0</v>
      </c>
      <c r="V286" s="121">
        <f>MouserListTable1218[[#This Row],['#/Unit]]*FilterSpecs!$C$3+MouserListTable1218[[#This Row],[Extra]]</f>
        <v>0</v>
      </c>
      <c r="W286" s="121">
        <f>IF(MouserListTable1218[[#This Row],[Tag]]=FilterSpecs!$F$7,MouserListTable1218[[#This Row],[Price (USD)]],0)</f>
        <v>0</v>
      </c>
      <c r="X286" s="121">
        <f>MouserListTable1218[[#This Row],[Tot '#]]*MouserListTable1218[[#This Row],[Price (USD)]]</f>
        <v>0</v>
      </c>
    </row>
    <row r="287" spans="1:24" s="146" customFormat="1" x14ac:dyDescent="0.3">
      <c r="A287" s="103" t="s">
        <v>896</v>
      </c>
      <c r="B287" s="103" t="s">
        <v>994</v>
      </c>
      <c r="C287" s="103" t="s">
        <v>8</v>
      </c>
      <c r="D287" s="106" t="str">
        <f>IF(MouserListTable1218[[#This Row],[Vendor]]=FilterSpecs!$A$8,MouserListTable1218[[#This Row],[Mouser SKU]], MouserListTable1218[[#This Row],[Supplier SKU]])</f>
        <v>PRT-12699</v>
      </c>
      <c r="E287" s="121">
        <f>MouserListTable1218[[#This Row],[Tot '#]]-MouserListTable1218[[#This Row],['# Initial]]</f>
        <v>0</v>
      </c>
      <c r="F287" s="121">
        <f>MouserListTable1218[[#This Row],['#/Unit]]*FilterSpecs!$B$3+MouserListTable1218[[#This Row],[Extra Initial]]</f>
        <v>10</v>
      </c>
      <c r="G287" s="103" t="s">
        <v>934</v>
      </c>
      <c r="H287" s="103" t="s">
        <v>935</v>
      </c>
      <c r="I287" s="103" t="s">
        <v>936</v>
      </c>
      <c r="J287" s="103">
        <v>1</v>
      </c>
      <c r="K287" s="157">
        <v>8.5</v>
      </c>
      <c r="L287" s="103" t="s">
        <v>1911</v>
      </c>
      <c r="M287" s="106"/>
      <c r="N287" s="157">
        <f>MouserListTable1218[[#This Row],['# Initial]]*MouserListTable1218[[#This Row],[Price (USD)]]</f>
        <v>85</v>
      </c>
      <c r="O287" s="106" t="s">
        <v>933</v>
      </c>
      <c r="P287" s="103">
        <f t="shared" si="5"/>
        <v>269</v>
      </c>
      <c r="Q287" s="103" t="s">
        <v>8</v>
      </c>
      <c r="R28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474-PRT-12699</v>
      </c>
      <c r="S287" s="121">
        <v>2</v>
      </c>
      <c r="T287" s="121">
        <v>0</v>
      </c>
      <c r="U287" s="121">
        <v>0</v>
      </c>
      <c r="V287" s="121">
        <f>MouserListTable1218[[#This Row],['#/Unit]]*FilterSpecs!$C$3+MouserListTable1218[[#This Row],[Extra]]</f>
        <v>10</v>
      </c>
      <c r="W287" s="121">
        <f>IF(MouserListTable1218[[#This Row],[Tag]]=FilterSpecs!$F$7,MouserListTable1218[[#This Row],[Price (USD)]],0)</f>
        <v>8.5</v>
      </c>
      <c r="X287" s="121">
        <f>MouserListTable1218[[#This Row],[Tot '#]]*MouserListTable1218[[#This Row],[Price (USD)]]</f>
        <v>85</v>
      </c>
    </row>
    <row r="288" spans="1:24" s="146" customFormat="1" x14ac:dyDescent="0.3">
      <c r="A288" s="103" t="s">
        <v>896</v>
      </c>
      <c r="B288" s="103" t="s">
        <v>994</v>
      </c>
      <c r="C288" s="103" t="s">
        <v>8</v>
      </c>
      <c r="D288" s="106" t="str">
        <f>IF(MouserListTable1218[[#This Row],[Vendor]]=FilterSpecs!$A$8,MouserListTable1218[[#This Row],[Mouser SKU]], MouserListTable1218[[#This Row],[Supplier SKU]])</f>
        <v>PRT-12070</v>
      </c>
      <c r="E288" s="121">
        <f>MouserListTable1218[[#This Row],[Tot '#]]-MouserListTable1218[[#This Row],['# Initial]]</f>
        <v>1</v>
      </c>
      <c r="F288" s="121">
        <f>MouserListTable1218[[#This Row],['#/Unit]]*FilterSpecs!$B$3+MouserListTable1218[[#This Row],[Extra Initial]]</f>
        <v>0</v>
      </c>
      <c r="G288" s="103" t="s">
        <v>1840</v>
      </c>
      <c r="H288" s="103" t="s">
        <v>1841</v>
      </c>
      <c r="I288" s="103" t="s">
        <v>1842</v>
      </c>
      <c r="J288" s="103">
        <v>1</v>
      </c>
      <c r="K288" s="157">
        <v>4.95</v>
      </c>
      <c r="L288" s="103" t="s">
        <v>1910</v>
      </c>
      <c r="M288" s="106"/>
      <c r="N288" s="157">
        <f>MouserListTable1218[[#This Row],['# Initial]]*MouserListTable1218[[#This Row],[Price (USD)]]</f>
        <v>0</v>
      </c>
      <c r="O288" s="106" t="s">
        <v>1839</v>
      </c>
      <c r="P288" s="103">
        <f t="shared" si="5"/>
        <v>270</v>
      </c>
      <c r="Q288" s="103" t="s">
        <v>8</v>
      </c>
      <c r="R28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474-PRT-12070</v>
      </c>
      <c r="S288" s="121">
        <v>0</v>
      </c>
      <c r="T288" s="121">
        <v>1</v>
      </c>
      <c r="U288" s="121">
        <v>0</v>
      </c>
      <c r="V288" s="121">
        <f>MouserListTable1218[[#This Row],['#/Unit]]*FilterSpecs!$C$3+MouserListTable1218[[#This Row],[Extra]]</f>
        <v>1</v>
      </c>
      <c r="W288" s="121">
        <f>IF(MouserListTable1218[[#This Row],[Tag]]=FilterSpecs!$F$7,MouserListTable1218[[#This Row],[Price (USD)]],0)</f>
        <v>0</v>
      </c>
      <c r="X288" s="121">
        <f>MouserListTable1218[[#This Row],[Tot '#]]*MouserListTable1218[[#This Row],[Price (USD)]]</f>
        <v>4.95</v>
      </c>
    </row>
    <row r="289" spans="1:24" s="146" customFormat="1" x14ac:dyDescent="0.3">
      <c r="A289" s="126" t="s">
        <v>896</v>
      </c>
      <c r="B289" s="126" t="s">
        <v>994</v>
      </c>
      <c r="C289" s="126" t="s">
        <v>8</v>
      </c>
      <c r="D289" s="106" t="str">
        <f>IF(MouserListTable1218[[#This Row],[Vendor]]=FilterSpecs!$A$8,MouserListTable1218[[#This Row],[Mouser SKU]], MouserListTable1218[[#This Row],[Supplier SKU]])</f>
        <v>PRT-12702</v>
      </c>
      <c r="E289" s="121">
        <f>MouserListTable1218[[#This Row],[Tot '#]]-MouserListTable1218[[#This Row],['# Initial]]</f>
        <v>0</v>
      </c>
      <c r="F289" s="121">
        <f>MouserListTable1218[[#This Row],['#/Unit]]*FilterSpecs!$B$3+MouserListTable1218[[#This Row],[Extra Initial]]</f>
        <v>0</v>
      </c>
      <c r="G289" s="103" t="s">
        <v>1848</v>
      </c>
      <c r="H289" s="103" t="s">
        <v>1849</v>
      </c>
      <c r="I289" s="103" t="s">
        <v>1850</v>
      </c>
      <c r="J289" s="103"/>
      <c r="K289" s="157">
        <v>2.95</v>
      </c>
      <c r="L289" s="103" t="s">
        <v>1910</v>
      </c>
      <c r="N289" s="157">
        <f>MouserListTable1218[[#This Row],['# Initial]]*MouserListTable1218[[#This Row],[Price (USD)]]</f>
        <v>0</v>
      </c>
      <c r="O289" s="106" t="s">
        <v>1847</v>
      </c>
      <c r="P289" s="103">
        <f t="shared" si="5"/>
        <v>271</v>
      </c>
      <c r="Q289" s="103" t="s">
        <v>8</v>
      </c>
      <c r="R28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474-PRT-12702</v>
      </c>
      <c r="S289" s="121">
        <v>0</v>
      </c>
      <c r="T289" s="121">
        <v>0</v>
      </c>
      <c r="U289" s="121">
        <v>0</v>
      </c>
      <c r="V289" s="121">
        <f>MouserListTable1218[[#This Row],['#/Unit]]*FilterSpecs!$C$3+MouserListTable1218[[#This Row],[Extra]]</f>
        <v>0</v>
      </c>
      <c r="W289" s="121">
        <f>IF(MouserListTable1218[[#This Row],[Tag]]=FilterSpecs!$F$7,MouserListTable1218[[#This Row],[Price (USD)]],0)</f>
        <v>0</v>
      </c>
      <c r="X289" s="121">
        <f>MouserListTable1218[[#This Row],[Tot '#]]*MouserListTable1218[[#This Row],[Price (USD)]]</f>
        <v>0</v>
      </c>
    </row>
    <row r="290" spans="1:24" s="146" customFormat="1" x14ac:dyDescent="0.3">
      <c r="A290" s="103" t="s">
        <v>896</v>
      </c>
      <c r="B290" s="103" t="s">
        <v>994</v>
      </c>
      <c r="C290" s="103" t="s">
        <v>8</v>
      </c>
      <c r="D290" s="106" t="str">
        <f>IF(MouserListTable1218[[#This Row],[Vendor]]=FilterSpecs!$A$8,MouserListTable1218[[#This Row],[Mouser SKU]], MouserListTable1218[[#This Row],[Supplier SKU]])</f>
        <v>DEV-07914</v>
      </c>
      <c r="E290" s="121">
        <f>MouserListTable1218[[#This Row],[Tot '#]]-MouserListTable1218[[#This Row],['# Initial]]</f>
        <v>1</v>
      </c>
      <c r="F290" s="121">
        <f>MouserListTable1218[[#This Row],['#/Unit]]*FilterSpecs!$B$3+MouserListTable1218[[#This Row],[Extra Initial]]</f>
        <v>5</v>
      </c>
      <c r="G290" s="103" t="s">
        <v>1772</v>
      </c>
      <c r="H290" s="103" t="s">
        <v>1773</v>
      </c>
      <c r="I290" s="103" t="s">
        <v>1774</v>
      </c>
      <c r="J290" s="103">
        <v>1</v>
      </c>
      <c r="K290" s="157">
        <v>9.9499999999999993</v>
      </c>
      <c r="L290" s="103" t="s">
        <v>1911</v>
      </c>
      <c r="M290" s="106"/>
      <c r="N290" s="157">
        <f>MouserListTable1218[[#This Row],['# Initial]]*MouserListTable1218[[#This Row],[Price (USD)]]</f>
        <v>49.75</v>
      </c>
      <c r="O290" s="106" t="s">
        <v>1771</v>
      </c>
      <c r="P290" s="103">
        <f t="shared" si="5"/>
        <v>272</v>
      </c>
      <c r="Q290" s="103" t="s">
        <v>8</v>
      </c>
      <c r="R29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474-DEV-07914</v>
      </c>
      <c r="S290" s="121">
        <v>1</v>
      </c>
      <c r="T290" s="121">
        <v>1</v>
      </c>
      <c r="U290" s="121">
        <v>0</v>
      </c>
      <c r="V290" s="121">
        <f>MouserListTable1218[[#This Row],['#/Unit]]*FilterSpecs!$C$3+MouserListTable1218[[#This Row],[Extra]]</f>
        <v>6</v>
      </c>
      <c r="W290" s="121">
        <f>IF(MouserListTable1218[[#This Row],[Tag]]=FilterSpecs!$F$7,MouserListTable1218[[#This Row],[Price (USD)]],0)</f>
        <v>9.9499999999999993</v>
      </c>
      <c r="X290" s="121">
        <f>MouserListTable1218[[#This Row],[Tot '#]]*MouserListTable1218[[#This Row],[Price (USD)]]</f>
        <v>59.699999999999996</v>
      </c>
    </row>
    <row r="291" spans="1:24" s="146" customFormat="1" x14ac:dyDescent="0.3">
      <c r="A291" s="103" t="s">
        <v>896</v>
      </c>
      <c r="B291" s="103" t="s">
        <v>994</v>
      </c>
      <c r="C291" s="103" t="s">
        <v>1898</v>
      </c>
      <c r="D291" s="106" t="str">
        <f>IF(MouserListTable1218[[#This Row],[Vendor]]=FilterSpecs!$A$8,MouserListTable1218[[#This Row],[Mouser SKU]], MouserListTable1218[[#This Row],[Supplier SKU]])</f>
        <v>2077</v>
      </c>
      <c r="E291" s="121">
        <f>MouserListTable1218[[#This Row],[Tot '#]]-MouserListTable1218[[#This Row],['# Initial]]</f>
        <v>0</v>
      </c>
      <c r="F291" s="121">
        <f>MouserListTable1218[[#This Row],['#/Unit]]*FilterSpecs!$B$3+MouserListTable1218[[#This Row],[Extra Initial]]</f>
        <v>0</v>
      </c>
      <c r="G291" s="103"/>
      <c r="H291" s="103"/>
      <c r="I291" s="126" t="s">
        <v>2101</v>
      </c>
      <c r="K291" s="158">
        <v>9.9499999999999993</v>
      </c>
      <c r="L291" s="126" t="s">
        <v>1910</v>
      </c>
      <c r="N291" s="157">
        <f>MouserListTable1218[[#This Row],['# Initial]]*MouserListTable1218[[#This Row],[Price (USD)]]</f>
        <v>0</v>
      </c>
      <c r="O291" s="106" t="s">
        <v>2100</v>
      </c>
      <c r="P291" s="103">
        <f t="shared" si="5"/>
        <v>273</v>
      </c>
      <c r="Q291" s="103" t="s">
        <v>1898</v>
      </c>
      <c r="R29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485-2077</v>
      </c>
      <c r="S291" s="121">
        <v>0</v>
      </c>
      <c r="T291" s="121">
        <v>0</v>
      </c>
      <c r="U291" s="121">
        <v>0</v>
      </c>
      <c r="V291" s="121">
        <f>MouserListTable1218[[#This Row],['#/Unit]]*FilterSpecs!$C$3+MouserListTable1218[[#This Row],[Extra]]</f>
        <v>0</v>
      </c>
      <c r="W291" s="121">
        <f>IF(MouserListTable1218[[#This Row],[Tag]]=FilterSpecs!$F$7,MouserListTable1218[[#This Row],[Price (USD)]],0)</f>
        <v>0</v>
      </c>
      <c r="X291" s="121">
        <f>MouserListTable1218[[#This Row],[Tot '#]]*MouserListTable1218[[#This Row],[Price (USD)]]</f>
        <v>0</v>
      </c>
    </row>
    <row r="292" spans="1:24" s="146" customFormat="1" x14ac:dyDescent="0.3">
      <c r="A292" s="103" t="s">
        <v>896</v>
      </c>
      <c r="B292" s="103" t="s">
        <v>994</v>
      </c>
      <c r="C292" s="103" t="s">
        <v>1898</v>
      </c>
      <c r="D292" s="106" t="str">
        <f>IF(MouserListTable1218[[#This Row],[Vendor]]=FilterSpecs!$A$8,MouserListTable1218[[#This Row],[Mouser SKU]], MouserListTable1218[[#This Row],[Supplier SKU]])</f>
        <v>196</v>
      </c>
      <c r="E292" s="121">
        <f>MouserListTable1218[[#This Row],[Tot '#]]-MouserListTable1218[[#This Row],['# Initial]]</f>
        <v>0</v>
      </c>
      <c r="F292" s="121">
        <f>MouserListTable1218[[#This Row],['#/Unit]]*FilterSpecs!$B$3+MouserListTable1218[[#This Row],[Extra Initial]]</f>
        <v>0</v>
      </c>
      <c r="G292" s="103"/>
      <c r="H292" s="103"/>
      <c r="I292" s="126" t="s">
        <v>2113</v>
      </c>
      <c r="K292" s="158">
        <v>14.95</v>
      </c>
      <c r="L292" s="126" t="s">
        <v>1910</v>
      </c>
      <c r="N292" s="157">
        <f>MouserListTable1218[[#This Row],['# Initial]]*MouserListTable1218[[#This Row],[Price (USD)]]</f>
        <v>0</v>
      </c>
      <c r="O292" s="106" t="s">
        <v>2112</v>
      </c>
      <c r="P292" s="103">
        <f t="shared" si="5"/>
        <v>274</v>
      </c>
      <c r="Q292" s="103" t="s">
        <v>1898</v>
      </c>
      <c r="R29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485-196</v>
      </c>
      <c r="S292" s="121">
        <v>0</v>
      </c>
      <c r="T292" s="121">
        <v>0</v>
      </c>
      <c r="U292" s="121">
        <v>0</v>
      </c>
      <c r="V292" s="121">
        <f>MouserListTable1218[[#This Row],['#/Unit]]*FilterSpecs!$C$3+MouserListTable1218[[#This Row],[Extra]]</f>
        <v>0</v>
      </c>
      <c r="W292" s="121">
        <f>IF(MouserListTable1218[[#This Row],[Tag]]=FilterSpecs!$F$7,MouserListTable1218[[#This Row],[Price (USD)]],0)</f>
        <v>0</v>
      </c>
      <c r="X292" s="121">
        <f>MouserListTable1218[[#This Row],[Tot '#]]*MouserListTable1218[[#This Row],[Price (USD)]]</f>
        <v>0</v>
      </c>
    </row>
    <row r="293" spans="1:24" s="146" customFormat="1" x14ac:dyDescent="0.3">
      <c r="A293" s="103" t="s">
        <v>896</v>
      </c>
      <c r="B293" s="103" t="s">
        <v>994</v>
      </c>
      <c r="C293" s="103" t="s">
        <v>1898</v>
      </c>
      <c r="D293" s="106" t="str">
        <f>IF(MouserListTable1218[[#This Row],[Vendor]]=FilterSpecs!$A$8,MouserListTable1218[[#This Row],[Mouser SKU]], MouserListTable1218[[#This Row],[Supplier SKU]])</f>
        <v>192</v>
      </c>
      <c r="E293" s="121">
        <f>MouserListTable1218[[#This Row],[Tot '#]]-MouserListTable1218[[#This Row],['# Initial]]</f>
        <v>0</v>
      </c>
      <c r="F293" s="121">
        <f>MouserListTable1218[[#This Row],['#/Unit]]*FilterSpecs!$B$3+MouserListTable1218[[#This Row],[Extra Initial]]</f>
        <v>0</v>
      </c>
      <c r="G293" s="103"/>
      <c r="H293" s="103"/>
      <c r="I293" s="126" t="s">
        <v>2105</v>
      </c>
      <c r="K293" s="158">
        <v>14.95</v>
      </c>
      <c r="L293" s="126" t="s">
        <v>1910</v>
      </c>
      <c r="N293" s="157">
        <f>MouserListTable1218[[#This Row],['# Initial]]*MouserListTable1218[[#This Row],[Price (USD)]]</f>
        <v>0</v>
      </c>
      <c r="O293" s="106" t="s">
        <v>2104</v>
      </c>
      <c r="P293" s="103">
        <f t="shared" si="5"/>
        <v>275</v>
      </c>
      <c r="Q293" s="103" t="s">
        <v>1898</v>
      </c>
      <c r="R29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485-192</v>
      </c>
      <c r="S293" s="121">
        <v>0</v>
      </c>
      <c r="T293" s="121">
        <v>0</v>
      </c>
      <c r="U293" s="121">
        <v>0</v>
      </c>
      <c r="V293" s="121">
        <f>MouserListTable1218[[#This Row],['#/Unit]]*FilterSpecs!$C$3+MouserListTable1218[[#This Row],[Extra]]</f>
        <v>0</v>
      </c>
      <c r="W293" s="121">
        <f>IF(MouserListTable1218[[#This Row],[Tag]]=FilterSpecs!$F$7,MouserListTable1218[[#This Row],[Price (USD)]],0)</f>
        <v>0</v>
      </c>
      <c r="X293" s="121">
        <f>MouserListTable1218[[#This Row],[Tot '#]]*MouserListTable1218[[#This Row],[Price (USD)]]</f>
        <v>0</v>
      </c>
    </row>
    <row r="294" spans="1:24" s="146" customFormat="1" x14ac:dyDescent="0.3">
      <c r="A294" s="103" t="s">
        <v>896</v>
      </c>
      <c r="B294" s="103" t="s">
        <v>994</v>
      </c>
      <c r="C294" s="103" t="s">
        <v>1898</v>
      </c>
      <c r="D294" s="106" t="str">
        <f>IF(MouserListTable1218[[#This Row],[Vendor]]=FilterSpecs!$A$8,MouserListTable1218[[#This Row],[Mouser SKU]], MouserListTable1218[[#This Row],[Supplier SKU]])</f>
        <v>443</v>
      </c>
      <c r="E294" s="121">
        <f>MouserListTable1218[[#This Row],[Tot '#]]-MouserListTable1218[[#This Row],['# Initial]]</f>
        <v>0</v>
      </c>
      <c r="F294" s="121">
        <f>MouserListTable1218[[#This Row],['#/Unit]]*FilterSpecs!$B$3+MouserListTable1218[[#This Row],[Extra Initial]]</f>
        <v>0</v>
      </c>
      <c r="G294" s="103"/>
      <c r="H294" s="103"/>
      <c r="I294" s="126" t="s">
        <v>2103</v>
      </c>
      <c r="K294" s="158">
        <v>19.95</v>
      </c>
      <c r="L294" s="126" t="s">
        <v>1910</v>
      </c>
      <c r="N294" s="157">
        <f>MouserListTable1218[[#This Row],['# Initial]]*MouserListTable1218[[#This Row],[Price (USD)]]</f>
        <v>0</v>
      </c>
      <c r="O294" s="106" t="s">
        <v>2102</v>
      </c>
      <c r="P294" s="103">
        <f t="shared" si="5"/>
        <v>276</v>
      </c>
      <c r="Q294" s="103" t="s">
        <v>1898</v>
      </c>
      <c r="R29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485-443</v>
      </c>
      <c r="S294" s="121">
        <v>0</v>
      </c>
      <c r="T294" s="121">
        <v>0</v>
      </c>
      <c r="U294" s="121">
        <v>0</v>
      </c>
      <c r="V294" s="121">
        <f>MouserListTable1218[[#This Row],['#/Unit]]*FilterSpecs!$C$3+MouserListTable1218[[#This Row],[Extra]]</f>
        <v>0</v>
      </c>
      <c r="W294" s="121">
        <f>IF(MouserListTable1218[[#This Row],[Tag]]=FilterSpecs!$F$7,MouserListTable1218[[#This Row],[Price (USD)]],0)</f>
        <v>0</v>
      </c>
      <c r="X294" s="121">
        <f>MouserListTable1218[[#This Row],[Tot '#]]*MouserListTable1218[[#This Row],[Price (USD)]]</f>
        <v>0</v>
      </c>
    </row>
    <row r="295" spans="1:24" s="146" customFormat="1" x14ac:dyDescent="0.3">
      <c r="A295" s="103" t="s">
        <v>896</v>
      </c>
      <c r="B295" s="103" t="s">
        <v>994</v>
      </c>
      <c r="C295" s="103" t="s">
        <v>1898</v>
      </c>
      <c r="D295" s="106" t="str">
        <f>IF(MouserListTable1218[[#This Row],[Vendor]]=FilterSpecs!$A$8,MouserListTable1218[[#This Row],[Mouser SKU]], MouserListTable1218[[#This Row],[Supplier SKU]])</f>
        <v>2017</v>
      </c>
      <c r="E295" s="121">
        <f>MouserListTable1218[[#This Row],[Tot '#]]-MouserListTable1218[[#This Row],['# Initial]]</f>
        <v>0</v>
      </c>
      <c r="F295" s="121">
        <f>MouserListTable1218[[#This Row],['#/Unit]]*FilterSpecs!$B$3+MouserListTable1218[[#This Row],[Extra Initial]]</f>
        <v>0</v>
      </c>
      <c r="G295" s="103"/>
      <c r="H295" s="103"/>
      <c r="I295" s="126" t="s">
        <v>2107</v>
      </c>
      <c r="K295" s="158">
        <v>0.75</v>
      </c>
      <c r="L295" s="126" t="s">
        <v>1910</v>
      </c>
      <c r="N295" s="157">
        <f>MouserListTable1218[[#This Row],['# Initial]]*MouserListTable1218[[#This Row],[Price (USD)]]</f>
        <v>0</v>
      </c>
      <c r="O295" s="106" t="s">
        <v>2106</v>
      </c>
      <c r="P295" s="103">
        <f t="shared" si="5"/>
        <v>277</v>
      </c>
      <c r="Q295" s="103" t="s">
        <v>1898</v>
      </c>
      <c r="R29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485-2017</v>
      </c>
      <c r="S295" s="121">
        <v>0</v>
      </c>
      <c r="T295" s="121">
        <v>0</v>
      </c>
      <c r="U295" s="121">
        <v>0</v>
      </c>
      <c r="V295" s="121">
        <f>MouserListTable1218[[#This Row],['#/Unit]]*FilterSpecs!$C$3+MouserListTable1218[[#This Row],[Extra]]</f>
        <v>0</v>
      </c>
      <c r="W295" s="121">
        <f>IF(MouserListTable1218[[#This Row],[Tag]]=FilterSpecs!$F$7,MouserListTable1218[[#This Row],[Price (USD)]],0)</f>
        <v>0</v>
      </c>
      <c r="X295" s="121">
        <f>MouserListTable1218[[#This Row],[Tot '#]]*MouserListTable1218[[#This Row],[Price (USD)]]</f>
        <v>0</v>
      </c>
    </row>
    <row r="296" spans="1:24" s="146" customFormat="1" x14ac:dyDescent="0.3">
      <c r="A296" s="103" t="s">
        <v>896</v>
      </c>
      <c r="B296" s="103" t="s">
        <v>994</v>
      </c>
      <c r="C296" s="103" t="s">
        <v>1898</v>
      </c>
      <c r="D296" s="106" t="str">
        <f>IF(MouserListTable1218[[#This Row],[Vendor]]=FilterSpecs!$A$8,MouserListTable1218[[#This Row],[Mouser SKU]], MouserListTable1218[[#This Row],[Supplier SKU]])</f>
        <v>2018</v>
      </c>
      <c r="E296" s="121">
        <f>MouserListTable1218[[#This Row],[Tot '#]]-MouserListTable1218[[#This Row],['# Initial]]</f>
        <v>0</v>
      </c>
      <c r="F296" s="121">
        <f>MouserListTable1218[[#This Row],['#/Unit]]*FilterSpecs!$B$3+MouserListTable1218[[#This Row],[Extra Initial]]</f>
        <v>0</v>
      </c>
      <c r="G296" s="103"/>
      <c r="H296" s="103"/>
      <c r="I296" s="126" t="s">
        <v>2109</v>
      </c>
      <c r="K296" s="158">
        <v>0.95</v>
      </c>
      <c r="L296" s="126" t="s">
        <v>1910</v>
      </c>
      <c r="N296" s="157">
        <f>MouserListTable1218[[#This Row],['# Initial]]*MouserListTable1218[[#This Row],[Price (USD)]]</f>
        <v>0</v>
      </c>
      <c r="O296" s="106" t="s">
        <v>2108</v>
      </c>
      <c r="P296" s="103">
        <f t="shared" si="5"/>
        <v>278</v>
      </c>
      <c r="Q296" s="103" t="s">
        <v>1898</v>
      </c>
      <c r="R29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485-2018</v>
      </c>
      <c r="S296" s="121">
        <v>0</v>
      </c>
      <c r="T296" s="121">
        <v>0</v>
      </c>
      <c r="U296" s="121">
        <v>0</v>
      </c>
      <c r="V296" s="121">
        <f>MouserListTable1218[[#This Row],['#/Unit]]*FilterSpecs!$C$3+MouserListTable1218[[#This Row],[Extra]]</f>
        <v>0</v>
      </c>
      <c r="W296" s="121">
        <f>IF(MouserListTable1218[[#This Row],[Tag]]=FilterSpecs!$F$7,MouserListTable1218[[#This Row],[Price (USD)]],0)</f>
        <v>0</v>
      </c>
      <c r="X296" s="121">
        <f>MouserListTable1218[[#This Row],[Tot '#]]*MouserListTable1218[[#This Row],[Price (USD)]]</f>
        <v>0</v>
      </c>
    </row>
    <row r="297" spans="1:24" s="146" customFormat="1" x14ac:dyDescent="0.3">
      <c r="A297" s="103" t="s">
        <v>896</v>
      </c>
      <c r="B297" s="103" t="s">
        <v>994</v>
      </c>
      <c r="C297" s="103" t="s">
        <v>1898</v>
      </c>
      <c r="D297" s="106" t="str">
        <f>IF(MouserListTable1218[[#This Row],[Vendor]]=FilterSpecs!$A$8,MouserListTable1218[[#This Row],[Mouser SKU]], MouserListTable1218[[#This Row],[Supplier SKU]])</f>
        <v>2463</v>
      </c>
      <c r="E297" s="121">
        <f>MouserListTable1218[[#This Row],[Tot '#]]-MouserListTable1218[[#This Row],['# Initial]]</f>
        <v>0</v>
      </c>
      <c r="F297" s="121">
        <f>MouserListTable1218[[#This Row],['#/Unit]]*FilterSpecs!$B$3+MouserListTable1218[[#This Row],[Extra Initial]]</f>
        <v>0</v>
      </c>
      <c r="G297" s="103"/>
      <c r="H297" s="103"/>
      <c r="I297" s="126" t="s">
        <v>2111</v>
      </c>
      <c r="K297" s="158">
        <v>0.95</v>
      </c>
      <c r="L297" s="126" t="s">
        <v>1910</v>
      </c>
      <c r="N297" s="157">
        <f>MouserListTable1218[[#This Row],['# Initial]]*MouserListTable1218[[#This Row],[Price (USD)]]</f>
        <v>0</v>
      </c>
      <c r="O297" s="106" t="s">
        <v>2110</v>
      </c>
      <c r="P297" s="103">
        <f t="shared" si="5"/>
        <v>279</v>
      </c>
      <c r="Q297" s="103" t="s">
        <v>1898</v>
      </c>
      <c r="R29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485-2463</v>
      </c>
      <c r="S297" s="121">
        <v>0</v>
      </c>
      <c r="T297" s="121">
        <v>0</v>
      </c>
      <c r="U297" s="121">
        <v>0</v>
      </c>
      <c r="V297" s="121">
        <f>MouserListTable1218[[#This Row],['#/Unit]]*FilterSpecs!$C$3+MouserListTable1218[[#This Row],[Extra]]</f>
        <v>0</v>
      </c>
      <c r="W297" s="121">
        <f>IF(MouserListTable1218[[#This Row],[Tag]]=FilterSpecs!$F$7,MouserListTable1218[[#This Row],[Price (USD)]],0)</f>
        <v>0</v>
      </c>
      <c r="X297" s="121">
        <f>MouserListTable1218[[#This Row],[Tot '#]]*MouserListTable1218[[#This Row],[Price (USD)]]</f>
        <v>0</v>
      </c>
    </row>
    <row r="298" spans="1:24" s="146" customFormat="1" x14ac:dyDescent="0.3">
      <c r="A298" s="103" t="s">
        <v>896</v>
      </c>
      <c r="B298" s="103" t="s">
        <v>994</v>
      </c>
      <c r="C298" s="103" t="s">
        <v>8</v>
      </c>
      <c r="D298" s="106" t="str">
        <f>IF(MouserListTable1218[[#This Row],[Vendor]]=FilterSpecs!$A$8,MouserListTable1218[[#This Row],[Mouser SKU]], MouserListTable1218[[#This Row],[Supplier SKU]])</f>
        <v>PRT-13268</v>
      </c>
      <c r="E298" s="121">
        <f>MouserListTable1218[[#This Row],[Tot '#]]-MouserListTable1218[[#This Row],['# Initial]]</f>
        <v>5</v>
      </c>
      <c r="F298" s="121">
        <f>MouserListTable1218[[#This Row],['#/Unit]]*FilterSpecs!$B$3+MouserListTable1218[[#This Row],[Extra Initial]]</f>
        <v>0</v>
      </c>
      <c r="G298" s="103" t="s">
        <v>946</v>
      </c>
      <c r="H298" s="103" t="s">
        <v>947</v>
      </c>
      <c r="I298" s="103" t="s">
        <v>948</v>
      </c>
      <c r="J298" s="103">
        <v>1</v>
      </c>
      <c r="K298" s="157">
        <v>7.95</v>
      </c>
      <c r="L298" s="103" t="s">
        <v>1910</v>
      </c>
      <c r="M298" s="106"/>
      <c r="N298" s="157">
        <f>MouserListTable1218[[#This Row],['# Initial]]*MouserListTable1218[[#This Row],[Price (USD)]]</f>
        <v>0</v>
      </c>
      <c r="O298" s="106" t="s">
        <v>945</v>
      </c>
      <c r="P298" s="103">
        <f t="shared" si="5"/>
        <v>280</v>
      </c>
      <c r="Q298" s="103" t="s">
        <v>8</v>
      </c>
      <c r="R29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474-PRT-13268</v>
      </c>
      <c r="S298" s="121">
        <v>0</v>
      </c>
      <c r="T298" s="121">
        <v>5</v>
      </c>
      <c r="U298" s="121">
        <v>0</v>
      </c>
      <c r="V298" s="121">
        <f>MouserListTable1218[[#This Row],['#/Unit]]*FilterSpecs!$C$3+MouserListTable1218[[#This Row],[Extra]]</f>
        <v>5</v>
      </c>
      <c r="W298" s="121">
        <f>IF(MouserListTable1218[[#This Row],[Tag]]=FilterSpecs!$F$7,MouserListTable1218[[#This Row],[Price (USD)]],0)</f>
        <v>0</v>
      </c>
      <c r="X298" s="121">
        <f>MouserListTable1218[[#This Row],[Tot '#]]*MouserListTable1218[[#This Row],[Price (USD)]]</f>
        <v>39.75</v>
      </c>
    </row>
    <row r="299" spans="1:24" s="146" customFormat="1" x14ac:dyDescent="0.3">
      <c r="A299" s="103" t="s">
        <v>896</v>
      </c>
      <c r="B299" s="103" t="s">
        <v>994</v>
      </c>
      <c r="C299" s="103" t="s">
        <v>8</v>
      </c>
      <c r="D299" s="106" t="str">
        <f>IF(MouserListTable1218[[#This Row],[Vendor]]=FilterSpecs!$A$8,MouserListTable1218[[#This Row],[Mouser SKU]], MouserListTable1218[[#This Row],[Supplier SKU]])</f>
        <v>DEV-13317</v>
      </c>
      <c r="E299" s="121">
        <f>MouserListTable1218[[#This Row],[Tot '#]]-MouserListTable1218[[#This Row],['# Initial]]</f>
        <v>0</v>
      </c>
      <c r="F299" s="121">
        <f>MouserListTable1218[[#This Row],['#/Unit]]*FilterSpecs!$B$3+MouserListTable1218[[#This Row],[Extra Initial]]</f>
        <v>10</v>
      </c>
      <c r="G299" s="103" t="s">
        <v>942</v>
      </c>
      <c r="H299" s="103" t="s">
        <v>943</v>
      </c>
      <c r="I299" s="103" t="s">
        <v>944</v>
      </c>
      <c r="J299" s="103">
        <v>1</v>
      </c>
      <c r="K299" s="157">
        <v>7.95</v>
      </c>
      <c r="L299" s="103" t="s">
        <v>1911</v>
      </c>
      <c r="M299" s="106"/>
      <c r="N299" s="157">
        <f>MouserListTable1218[[#This Row],['# Initial]]*MouserListTable1218[[#This Row],[Price (USD)]]</f>
        <v>79.5</v>
      </c>
      <c r="O299" s="106" t="s">
        <v>941</v>
      </c>
      <c r="P299" s="103">
        <f t="shared" si="5"/>
        <v>281</v>
      </c>
      <c r="Q299" s="103" t="s">
        <v>8</v>
      </c>
      <c r="R29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474-DEV-13317</v>
      </c>
      <c r="S299" s="121">
        <v>2</v>
      </c>
      <c r="T299" s="121">
        <v>0</v>
      </c>
      <c r="U299" s="121">
        <v>0</v>
      </c>
      <c r="V299" s="121">
        <f>MouserListTable1218[[#This Row],['#/Unit]]*FilterSpecs!$C$3+MouserListTable1218[[#This Row],[Extra]]</f>
        <v>10</v>
      </c>
      <c r="W299" s="121">
        <f>IF(MouserListTable1218[[#This Row],[Tag]]=FilterSpecs!$F$7,MouserListTable1218[[#This Row],[Price (USD)]],0)</f>
        <v>7.95</v>
      </c>
      <c r="X299" s="121">
        <f>MouserListTable1218[[#This Row],[Tot '#]]*MouserListTable1218[[#This Row],[Price (USD)]]</f>
        <v>79.5</v>
      </c>
    </row>
    <row r="300" spans="1:24" s="146" customFormat="1" x14ac:dyDescent="0.3">
      <c r="A300" s="103" t="s">
        <v>896</v>
      </c>
      <c r="B300" s="103" t="s">
        <v>1301</v>
      </c>
      <c r="C300" s="103" t="s">
        <v>8</v>
      </c>
      <c r="D300" s="106" t="str">
        <f>IF(MouserListTable1218[[#This Row],[Vendor]]=FilterSpecs!$A$8,MouserListTable1218[[#This Row],[Mouser SKU]], MouserListTable1218[[#This Row],[Supplier SKU]])</f>
        <v>PRT-11366</v>
      </c>
      <c r="E300" s="121">
        <f>MouserListTable1218[[#This Row],[Tot '#]]-MouserListTable1218[[#This Row],['# Initial]]</f>
        <v>0</v>
      </c>
      <c r="F300" s="121">
        <f>MouserListTable1218[[#This Row],['#/Unit]]*FilterSpecs!$B$3+MouserListTable1218[[#This Row],[Extra Initial]]</f>
        <v>5</v>
      </c>
      <c r="G300" s="103" t="s">
        <v>640</v>
      </c>
      <c r="H300" s="103" t="s">
        <v>641</v>
      </c>
      <c r="I300" s="103" t="s">
        <v>642</v>
      </c>
      <c r="J300" s="103"/>
      <c r="K300" s="157">
        <v>8.9499999999999993</v>
      </c>
      <c r="L300" s="103" t="s">
        <v>1913</v>
      </c>
      <c r="M300" s="106"/>
      <c r="N300" s="157">
        <f>MouserListTable1218[[#This Row],['# Initial]]*MouserListTable1218[[#This Row],[Price (USD)]]</f>
        <v>44.75</v>
      </c>
      <c r="O300" s="106" t="s">
        <v>639</v>
      </c>
      <c r="P300" s="103">
        <f t="shared" si="5"/>
        <v>282</v>
      </c>
      <c r="Q300" s="103" t="s">
        <v>8</v>
      </c>
      <c r="R30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474-PRT-11366</v>
      </c>
      <c r="S300" s="121">
        <v>1</v>
      </c>
      <c r="T300" s="121">
        <v>0</v>
      </c>
      <c r="U300" s="121">
        <v>0</v>
      </c>
      <c r="V300" s="121">
        <f>MouserListTable1218[[#This Row],['#/Unit]]*FilterSpecs!$C$3+MouserListTable1218[[#This Row],[Extra]]</f>
        <v>5</v>
      </c>
      <c r="W300" s="121">
        <f>IF(MouserListTable1218[[#This Row],[Tag]]=FilterSpecs!$F$7,MouserListTable1218[[#This Row],[Price (USD)]],0)</f>
        <v>0</v>
      </c>
      <c r="X300" s="121">
        <f>MouserListTable1218[[#This Row],[Tot '#]]*MouserListTable1218[[#This Row],[Price (USD)]]</f>
        <v>44.75</v>
      </c>
    </row>
    <row r="301" spans="1:24" s="146" customFormat="1" x14ac:dyDescent="0.3">
      <c r="A301" s="103" t="s">
        <v>896</v>
      </c>
      <c r="B301" s="103" t="s">
        <v>1301</v>
      </c>
      <c r="C301" s="103" t="s">
        <v>8</v>
      </c>
      <c r="D301" s="106" t="str">
        <f>IF(MouserListTable1218[[#This Row],[Vendor]]=FilterSpecs!$A$8,MouserListTable1218[[#This Row],[Mouser SKU]], MouserListTable1218[[#This Row],[Supplier SKU]])</f>
        <v>PRT-10088</v>
      </c>
      <c r="E301" s="121">
        <f>MouserListTable1218[[#This Row],[Tot '#]]-MouserListTable1218[[#This Row],['# Initial]]</f>
        <v>1</v>
      </c>
      <c r="F301" s="121">
        <f>MouserListTable1218[[#This Row],['#/Unit]]*FilterSpecs!$B$3+MouserListTable1218[[#This Row],[Extra Initial]]</f>
        <v>0</v>
      </c>
      <c r="G301" s="103" t="s">
        <v>660</v>
      </c>
      <c r="H301" s="103" t="s">
        <v>661</v>
      </c>
      <c r="I301" s="103" t="s">
        <v>662</v>
      </c>
      <c r="J301" s="103"/>
      <c r="K301" s="157">
        <v>11.95</v>
      </c>
      <c r="L301" s="103" t="s">
        <v>1911</v>
      </c>
      <c r="M301" s="106"/>
      <c r="N301" s="157">
        <f>MouserListTable1218[[#This Row],['# Initial]]*MouserListTable1218[[#This Row],[Price (USD)]]</f>
        <v>0</v>
      </c>
      <c r="O301" s="106" t="s">
        <v>659</v>
      </c>
      <c r="P301" s="103">
        <f t="shared" si="5"/>
        <v>283</v>
      </c>
      <c r="Q301" s="103" t="s">
        <v>8</v>
      </c>
      <c r="R30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474-PRT-10088</v>
      </c>
      <c r="S301" s="121">
        <v>0</v>
      </c>
      <c r="T301" s="121">
        <v>1</v>
      </c>
      <c r="U301" s="121">
        <v>0</v>
      </c>
      <c r="V301" s="121">
        <f>MouserListTable1218[[#This Row],['#/Unit]]*FilterSpecs!$C$3+MouserListTable1218[[#This Row],[Extra]]</f>
        <v>1</v>
      </c>
      <c r="W301" s="121">
        <f>IF(MouserListTable1218[[#This Row],[Tag]]=FilterSpecs!$F$7,MouserListTable1218[[#This Row],[Price (USD)]],0)</f>
        <v>11.95</v>
      </c>
      <c r="X301" s="121">
        <f>MouserListTable1218[[#This Row],[Tot '#]]*MouserListTable1218[[#This Row],[Price (USD)]]</f>
        <v>11.95</v>
      </c>
    </row>
    <row r="302" spans="1:24" s="146" customFormat="1" x14ac:dyDescent="0.3">
      <c r="A302" s="103" t="s">
        <v>896</v>
      </c>
      <c r="B302" s="103" t="s">
        <v>1301</v>
      </c>
      <c r="C302" s="103" t="s">
        <v>8</v>
      </c>
      <c r="D302" s="106" t="str">
        <f>IF(MouserListTable1218[[#This Row],[Vendor]]=FilterSpecs!$A$8,MouserListTable1218[[#This Row],[Mouser SKU]], MouserListTable1218[[#This Row],[Supplier SKU]])</f>
        <v>DEV-11632</v>
      </c>
      <c r="E302" s="121">
        <f>MouserListTable1218[[#This Row],[Tot '#]]-MouserListTable1218[[#This Row],['# Initial]]</f>
        <v>1</v>
      </c>
      <c r="F302" s="121">
        <f>MouserListTable1218[[#This Row],['#/Unit]]*FilterSpecs!$B$3+MouserListTable1218[[#This Row],[Extra Initial]]</f>
        <v>0</v>
      </c>
      <c r="G302" s="103" t="s">
        <v>1105</v>
      </c>
      <c r="H302" s="103" t="s">
        <v>1106</v>
      </c>
      <c r="I302" s="103" t="s">
        <v>1107</v>
      </c>
      <c r="J302" s="103">
        <v>1</v>
      </c>
      <c r="K302" s="157">
        <v>0.1</v>
      </c>
      <c r="L302" s="103" t="s">
        <v>1910</v>
      </c>
      <c r="M302" s="106"/>
      <c r="N302" s="157">
        <f>MouserListTable1218[[#This Row],['# Initial]]*MouserListTable1218[[#This Row],[Price (USD)]]</f>
        <v>0</v>
      </c>
      <c r="O302" s="106" t="s">
        <v>1104</v>
      </c>
      <c r="P302" s="103">
        <f t="shared" si="5"/>
        <v>284</v>
      </c>
      <c r="Q302" s="103" t="s">
        <v>8</v>
      </c>
      <c r="R30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474-DEV-11632</v>
      </c>
      <c r="S302" s="121">
        <v>0</v>
      </c>
      <c r="T302" s="121">
        <v>1</v>
      </c>
      <c r="U302" s="121">
        <v>0</v>
      </c>
      <c r="V302" s="121">
        <f>MouserListTable1218[[#This Row],['#/Unit]]*FilterSpecs!$C$3+MouserListTable1218[[#This Row],[Extra]]</f>
        <v>1</v>
      </c>
      <c r="W302" s="121">
        <f>IF(MouserListTable1218[[#This Row],[Tag]]=FilterSpecs!$F$7,MouserListTable1218[[#This Row],[Price (USD)]],0)</f>
        <v>0</v>
      </c>
      <c r="X302" s="121">
        <f>MouserListTable1218[[#This Row],[Tot '#]]*MouserListTable1218[[#This Row],[Price (USD)]]</f>
        <v>0.1</v>
      </c>
    </row>
    <row r="303" spans="1:24" s="146" customFormat="1" x14ac:dyDescent="0.3">
      <c r="A303" s="103" t="s">
        <v>896</v>
      </c>
      <c r="B303" s="106" t="s">
        <v>1301</v>
      </c>
      <c r="C303" s="106" t="s">
        <v>1898</v>
      </c>
      <c r="D303" s="106" t="str">
        <f>IF(MouserListTable1218[[#This Row],[Vendor]]=FilterSpecs!$A$8,MouserListTable1218[[#This Row],[Mouser SKU]], MouserListTable1218[[#This Row],[Supplier SKU]])</f>
        <v>2229</v>
      </c>
      <c r="E303" s="121">
        <f>MouserListTable1218[[#This Row],[Tot '#]]-MouserListTable1218[[#This Row],['# Initial]]</f>
        <v>0</v>
      </c>
      <c r="F303" s="121">
        <f>MouserListTable1218[[#This Row],['#/Unit]]*FilterSpecs!$B$3+MouserListTable1218[[#This Row],[Extra Initial]]</f>
        <v>0</v>
      </c>
      <c r="G303" s="103"/>
      <c r="H303" s="103"/>
      <c r="I303" s="126" t="s">
        <v>2092</v>
      </c>
      <c r="K303" s="158">
        <v>7.5</v>
      </c>
      <c r="L303" s="146" t="s">
        <v>1910</v>
      </c>
      <c r="N303" s="157">
        <f>MouserListTable1218[[#This Row],['# Initial]]*MouserListTable1218[[#This Row],[Price (USD)]]</f>
        <v>0</v>
      </c>
      <c r="O303" s="106" t="s">
        <v>2093</v>
      </c>
      <c r="P303" s="103">
        <f t="shared" si="5"/>
        <v>285</v>
      </c>
      <c r="Q303" s="103" t="s">
        <v>1898</v>
      </c>
      <c r="R30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485-2229</v>
      </c>
      <c r="S303" s="121">
        <v>0</v>
      </c>
      <c r="T303" s="121">
        <v>0</v>
      </c>
      <c r="U303" s="121">
        <v>0</v>
      </c>
      <c r="V303" s="121">
        <f>MouserListTable1218[[#This Row],['#/Unit]]*FilterSpecs!$C$3+MouserListTable1218[[#This Row],[Extra]]</f>
        <v>0</v>
      </c>
      <c r="W303" s="121">
        <f>IF(MouserListTable1218[[#This Row],[Tag]]=FilterSpecs!$F$7,MouserListTable1218[[#This Row],[Price (USD)]],0)</f>
        <v>0</v>
      </c>
      <c r="X303" s="121">
        <f>MouserListTable1218[[#This Row],[Tot '#]]*MouserListTable1218[[#This Row],[Price (USD)]]</f>
        <v>0</v>
      </c>
    </row>
    <row r="304" spans="1:24" s="146" customFormat="1" x14ac:dyDescent="0.3">
      <c r="A304" s="103" t="s">
        <v>896</v>
      </c>
      <c r="B304" s="106" t="s">
        <v>1301</v>
      </c>
      <c r="C304" s="106" t="s">
        <v>1898</v>
      </c>
      <c r="D304" s="106" t="str">
        <f>IF(MouserListTable1218[[#This Row],[Vendor]]=FilterSpecs!$A$8,MouserListTable1218[[#This Row],[Mouser SKU]], MouserListTable1218[[#This Row],[Supplier SKU]])</f>
        <v>2230</v>
      </c>
      <c r="E304" s="121">
        <f>MouserListTable1218[[#This Row],[Tot '#]]-MouserListTable1218[[#This Row],['# Initial]]</f>
        <v>0</v>
      </c>
      <c r="F304" s="121">
        <f>MouserListTable1218[[#This Row],['#/Unit]]*FilterSpecs!$B$3+MouserListTable1218[[#This Row],[Extra Initial]]</f>
        <v>0</v>
      </c>
      <c r="G304" s="103"/>
      <c r="H304" s="103"/>
      <c r="I304" s="126" t="s">
        <v>2090</v>
      </c>
      <c r="K304" s="158">
        <v>5.95</v>
      </c>
      <c r="L304" s="146" t="s">
        <v>1910</v>
      </c>
      <c r="N304" s="157">
        <f>MouserListTable1218[[#This Row],['# Initial]]*MouserListTable1218[[#This Row],[Price (USD)]]</f>
        <v>0</v>
      </c>
      <c r="O304" s="106" t="s">
        <v>2091</v>
      </c>
      <c r="P304" s="103">
        <f t="shared" si="5"/>
        <v>286</v>
      </c>
      <c r="Q304" s="103" t="s">
        <v>1898</v>
      </c>
      <c r="R30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485-2230</v>
      </c>
      <c r="S304" s="121">
        <v>0</v>
      </c>
      <c r="T304" s="121">
        <v>0</v>
      </c>
      <c r="U304" s="121">
        <v>0</v>
      </c>
      <c r="V304" s="121">
        <f>MouserListTable1218[[#This Row],['#/Unit]]*FilterSpecs!$C$3+MouserListTable1218[[#This Row],[Extra]]</f>
        <v>0</v>
      </c>
      <c r="W304" s="121">
        <f>IF(MouserListTable1218[[#This Row],[Tag]]=FilterSpecs!$F$7,MouserListTable1218[[#This Row],[Price (USD)]],0)</f>
        <v>0</v>
      </c>
      <c r="X304" s="121">
        <f>MouserListTable1218[[#This Row],[Tot '#]]*MouserListTable1218[[#This Row],[Price (USD)]]</f>
        <v>0</v>
      </c>
    </row>
    <row r="305" spans="1:24" s="146" customFormat="1" x14ac:dyDescent="0.3">
      <c r="A305" s="103" t="s">
        <v>896</v>
      </c>
      <c r="B305" s="103" t="s">
        <v>890</v>
      </c>
      <c r="C305" s="103" t="s">
        <v>8</v>
      </c>
      <c r="D305" s="106" t="str">
        <f>IF(MouserListTable1218[[#This Row],[Vendor]]=FilterSpecs!$A$8,MouserListTable1218[[#This Row],[Mouser SKU]], MouserListTable1218[[#This Row],[Supplier SKU]])</f>
        <v>COM-10594</v>
      </c>
      <c r="E305" s="121">
        <f>MouserListTable1218[[#This Row],[Tot '#]]-MouserListTable1218[[#This Row],['# Initial]]</f>
        <v>0</v>
      </c>
      <c r="F305" s="121">
        <f>MouserListTable1218[[#This Row],['#/Unit]]*FilterSpecs!$B$3+MouserListTable1218[[#This Row],[Extra Initial]]</f>
        <v>5</v>
      </c>
      <c r="G305" s="103" t="s">
        <v>648</v>
      </c>
      <c r="H305" s="103" t="s">
        <v>649</v>
      </c>
      <c r="I305" s="103" t="s">
        <v>650</v>
      </c>
      <c r="J305" s="103">
        <v>1</v>
      </c>
      <c r="K305" s="157">
        <v>0.95</v>
      </c>
      <c r="L305" s="103" t="s">
        <v>1911</v>
      </c>
      <c r="M305" s="106"/>
      <c r="N305" s="157">
        <f>MouserListTable1218[[#This Row],['# Initial]]*MouserListTable1218[[#This Row],[Price (USD)]]</f>
        <v>4.75</v>
      </c>
      <c r="O305" s="106" t="s">
        <v>647</v>
      </c>
      <c r="P305" s="103">
        <f t="shared" si="5"/>
        <v>287</v>
      </c>
      <c r="Q305" s="103" t="s">
        <v>8</v>
      </c>
      <c r="R30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474-COM-10594</v>
      </c>
      <c r="S305" s="121">
        <v>1</v>
      </c>
      <c r="T305" s="121">
        <v>0</v>
      </c>
      <c r="U305" s="121">
        <v>0</v>
      </c>
      <c r="V305" s="121">
        <f>MouserListTable1218[[#This Row],['#/Unit]]*FilterSpecs!$C$3+MouserListTable1218[[#This Row],[Extra]]</f>
        <v>5</v>
      </c>
      <c r="W305" s="121">
        <f>IF(MouserListTable1218[[#This Row],[Tag]]=FilterSpecs!$F$7,MouserListTable1218[[#This Row],[Price (USD)]],0)</f>
        <v>0.95</v>
      </c>
      <c r="X305" s="121">
        <f>MouserListTable1218[[#This Row],[Tot '#]]*MouserListTable1218[[#This Row],[Price (USD)]]</f>
        <v>4.75</v>
      </c>
    </row>
    <row r="306" spans="1:24" s="146" customFormat="1" x14ac:dyDescent="0.3">
      <c r="A306" s="103" t="s">
        <v>896</v>
      </c>
      <c r="B306" s="103" t="s">
        <v>890</v>
      </c>
      <c r="C306" s="103" t="s">
        <v>8</v>
      </c>
      <c r="D306" s="106" t="str">
        <f>IF(MouserListTable1218[[#This Row],[Vendor]]=FilterSpecs!$A$8,MouserListTable1218[[#This Row],[Mouser SKU]], MouserListTable1218[[#This Row],[Supplier SKU]])</f>
        <v>PRT-10230</v>
      </c>
      <c r="E306" s="121">
        <f>MouserListTable1218[[#This Row],[Tot '#]]-MouserListTable1218[[#This Row],['# Initial]]</f>
        <v>0</v>
      </c>
      <c r="F306" s="121">
        <f>MouserListTable1218[[#This Row],['#/Unit]]*FilterSpecs!$B$3+MouserListTable1218[[#This Row],[Extra Initial]]</f>
        <v>5</v>
      </c>
      <c r="G306" s="103" t="s">
        <v>656</v>
      </c>
      <c r="H306" s="103" t="s">
        <v>657</v>
      </c>
      <c r="I306" s="103" t="s">
        <v>658</v>
      </c>
      <c r="J306" s="103">
        <v>1</v>
      </c>
      <c r="K306" s="157">
        <v>0.95</v>
      </c>
      <c r="L306" s="103" t="s">
        <v>1911</v>
      </c>
      <c r="M306" s="106"/>
      <c r="N306" s="157">
        <f>MouserListTable1218[[#This Row],['# Initial]]*MouserListTable1218[[#This Row],[Price (USD)]]</f>
        <v>4.75</v>
      </c>
      <c r="O306" s="106" t="s">
        <v>655</v>
      </c>
      <c r="P306" s="103">
        <f t="shared" si="5"/>
        <v>288</v>
      </c>
      <c r="Q306" s="103" t="s">
        <v>8</v>
      </c>
      <c r="R30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474-PRT-10230</v>
      </c>
      <c r="S306" s="121">
        <v>1</v>
      </c>
      <c r="T306" s="121">
        <v>0</v>
      </c>
      <c r="U306" s="121">
        <v>0</v>
      </c>
      <c r="V306" s="121">
        <f>MouserListTable1218[[#This Row],['#/Unit]]*FilterSpecs!$C$3+MouserListTable1218[[#This Row],[Extra]]</f>
        <v>5</v>
      </c>
      <c r="W306" s="121">
        <f>IF(MouserListTable1218[[#This Row],[Tag]]=FilterSpecs!$F$7,MouserListTable1218[[#This Row],[Price (USD)]],0)</f>
        <v>0.95</v>
      </c>
      <c r="X306" s="121">
        <f>MouserListTable1218[[#This Row],[Tot '#]]*MouserListTable1218[[#This Row],[Price (USD)]]</f>
        <v>4.75</v>
      </c>
    </row>
    <row r="307" spans="1:24" s="146" customFormat="1" x14ac:dyDescent="0.3">
      <c r="A307" s="103" t="s">
        <v>896</v>
      </c>
      <c r="B307" s="103" t="s">
        <v>890</v>
      </c>
      <c r="C307" s="103" t="s">
        <v>1898</v>
      </c>
      <c r="D307" s="106" t="str">
        <f>IF(MouserListTable1218[[#This Row],[Vendor]]=FilterSpecs!$A$8,MouserListTable1218[[#This Row],[Mouser SKU]], MouserListTable1218[[#This Row],[Supplier SKU]])</f>
        <v>550</v>
      </c>
      <c r="E307" s="121">
        <f>MouserListTable1218[[#This Row],[Tot '#]]-MouserListTable1218[[#This Row],['# Initial]]</f>
        <v>0</v>
      </c>
      <c r="F307" s="121">
        <f>MouserListTable1218[[#This Row],['#/Unit]]*FilterSpecs!$B$3+MouserListTable1218[[#This Row],[Extra Initial]]</f>
        <v>0</v>
      </c>
      <c r="G307" s="103"/>
      <c r="H307" s="103"/>
      <c r="I307" s="126" t="s">
        <v>2117</v>
      </c>
      <c r="K307" s="158">
        <v>0.95</v>
      </c>
      <c r="L307" s="126" t="s">
        <v>1910</v>
      </c>
      <c r="N307" s="157">
        <f>MouserListTable1218[[#This Row],['# Initial]]*MouserListTable1218[[#This Row],[Price (USD)]]</f>
        <v>0</v>
      </c>
      <c r="O307" s="106" t="s">
        <v>2116</v>
      </c>
      <c r="P307" s="103">
        <f t="shared" si="5"/>
        <v>289</v>
      </c>
      <c r="Q307" s="103" t="s">
        <v>1898</v>
      </c>
      <c r="R30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485-550</v>
      </c>
      <c r="S307" s="121">
        <v>0</v>
      </c>
      <c r="T307" s="121">
        <v>0</v>
      </c>
      <c r="U307" s="121">
        <v>0</v>
      </c>
      <c r="V307" s="121">
        <f>MouserListTable1218[[#This Row],['#/Unit]]*FilterSpecs!$C$3+MouserListTable1218[[#This Row],[Extra]]</f>
        <v>0</v>
      </c>
      <c r="W307" s="121">
        <f>IF(MouserListTable1218[[#This Row],[Tag]]=FilterSpecs!$F$7,MouserListTable1218[[#This Row],[Price (USD)]],0)</f>
        <v>0</v>
      </c>
      <c r="X307" s="121">
        <f>MouserListTable1218[[#This Row],[Tot '#]]*MouserListTable1218[[#This Row],[Price (USD)]]</f>
        <v>0</v>
      </c>
    </row>
    <row r="308" spans="1:24" s="146" customFormat="1" x14ac:dyDescent="0.3">
      <c r="A308" s="103" t="s">
        <v>896</v>
      </c>
      <c r="B308" s="103" t="s">
        <v>890</v>
      </c>
      <c r="C308" s="103" t="s">
        <v>8</v>
      </c>
      <c r="D308" s="106" t="str">
        <f>IF(MouserListTable1218[[#This Row],[Vendor]]=FilterSpecs!$A$8,MouserListTable1218[[#This Row],[Mouser SKU]], MouserListTable1218[[#This Row],[Supplier SKU]])</f>
        <v>PRT-09353</v>
      </c>
      <c r="E308" s="121">
        <f>MouserListTable1218[[#This Row],[Tot '#]]-MouserListTable1218[[#This Row],['# Initial]]</f>
        <v>2</v>
      </c>
      <c r="F308" s="121">
        <f>MouserListTable1218[[#This Row],['#/Unit]]*FilterSpecs!$B$3+MouserListTable1218[[#This Row],[Extra Initial]]</f>
        <v>0</v>
      </c>
      <c r="G308" s="103" t="s">
        <v>1249</v>
      </c>
      <c r="H308" s="103" t="s">
        <v>1250</v>
      </c>
      <c r="I308" s="103" t="s">
        <v>1251</v>
      </c>
      <c r="J308" s="103">
        <v>1</v>
      </c>
      <c r="K308" s="157">
        <v>7.95</v>
      </c>
      <c r="L308" s="103" t="s">
        <v>1910</v>
      </c>
      <c r="M308" s="106"/>
      <c r="N308" s="157">
        <f>MouserListTable1218[[#This Row],['# Initial]]*MouserListTable1218[[#This Row],[Price (USD)]]</f>
        <v>0</v>
      </c>
      <c r="O308" s="106" t="s">
        <v>1248</v>
      </c>
      <c r="P308" s="103">
        <f t="shared" si="5"/>
        <v>290</v>
      </c>
      <c r="Q308" s="103" t="s">
        <v>8</v>
      </c>
      <c r="R30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474-PRT-09353</v>
      </c>
      <c r="S308" s="121">
        <v>0</v>
      </c>
      <c r="T308" s="121">
        <v>2</v>
      </c>
      <c r="U308" s="121">
        <v>0</v>
      </c>
      <c r="V308" s="121">
        <f>MouserListTable1218[[#This Row],['#/Unit]]*FilterSpecs!$C$3+MouserListTable1218[[#This Row],[Extra]]</f>
        <v>2</v>
      </c>
      <c r="W308" s="121">
        <f>IF(MouserListTable1218[[#This Row],[Tag]]=FilterSpecs!$F$7,MouserListTable1218[[#This Row],[Price (USD)]],0)</f>
        <v>0</v>
      </c>
      <c r="X308" s="121">
        <f>MouserListTable1218[[#This Row],[Tot '#]]*MouserListTable1218[[#This Row],[Price (USD)]]</f>
        <v>15.9</v>
      </c>
    </row>
    <row r="309" spans="1:24" s="144" customFormat="1" x14ac:dyDescent="0.3">
      <c r="A309" s="128" t="s">
        <v>896</v>
      </c>
      <c r="B309" s="128" t="s">
        <v>890</v>
      </c>
      <c r="C309" s="128" t="s">
        <v>1898</v>
      </c>
      <c r="D309" s="106" t="str">
        <f>IF(MouserListTable1218[[#This Row],[Vendor]]=FilterSpecs!$A$8,MouserListTable1218[[#This Row],[Mouser SKU]], MouserListTable1218[[#This Row],[Supplier SKU]])</f>
        <v>344</v>
      </c>
      <c r="E309" s="121">
        <f>MouserListTable1218[[#This Row],[Tot '#]]-MouserListTable1218[[#This Row],['# Initial]]</f>
        <v>0</v>
      </c>
      <c r="F309" s="121">
        <f>MouserListTable1218[[#This Row],['#/Unit]]*FilterSpecs!$B$3+MouserListTable1218[[#This Row],[Extra Initial]]</f>
        <v>0</v>
      </c>
      <c r="G309" s="146"/>
      <c r="H309" s="146"/>
      <c r="I309" s="128" t="s">
        <v>2478</v>
      </c>
      <c r="J309" s="153">
        <v>115</v>
      </c>
      <c r="K309" s="159">
        <v>4.95</v>
      </c>
      <c r="L309" s="126" t="s">
        <v>1910</v>
      </c>
      <c r="M309" s="146"/>
      <c r="N309" s="157">
        <f>MouserListTable1218[[#This Row],['# Initial]]*MouserListTable1218[[#This Row],[Price (USD)]]</f>
        <v>0</v>
      </c>
      <c r="O309" s="153" t="s">
        <v>2479</v>
      </c>
      <c r="P309" s="103">
        <f t="shared" si="5"/>
        <v>291</v>
      </c>
      <c r="Q309" s="103" t="s">
        <v>1898</v>
      </c>
      <c r="R30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485-344</v>
      </c>
      <c r="S309" s="121">
        <v>0</v>
      </c>
      <c r="T309" s="121">
        <v>0</v>
      </c>
      <c r="U309" s="121">
        <v>0</v>
      </c>
      <c r="V309" s="121">
        <f>MouserListTable1218[[#This Row],['#/Unit]]*FilterSpecs!$C$3+MouserListTable1218[[#This Row],[Extra]]</f>
        <v>0</v>
      </c>
      <c r="W309" s="121">
        <f>IF(MouserListTable1218[[#This Row],[Tag]]=FilterSpecs!$F$7,MouserListTable1218[[#This Row],[Price (USD)]],0)</f>
        <v>0</v>
      </c>
      <c r="X309" s="121">
        <f>MouserListTable1218[[#This Row],[Tot '#]]*MouserListTable1218[[#This Row],[Price (USD)]]</f>
        <v>0</v>
      </c>
    </row>
    <row r="310" spans="1:24" s="144" customFormat="1" x14ac:dyDescent="0.3">
      <c r="A310" s="103" t="s">
        <v>896</v>
      </c>
      <c r="B310" s="103" t="s">
        <v>2026</v>
      </c>
      <c r="C310" s="103" t="s">
        <v>8</v>
      </c>
      <c r="D310" s="106" t="str">
        <f>IF(MouserListTable1218[[#This Row],[Vendor]]=FilterSpecs!$A$8,MouserListTable1218[[#This Row],[Mouser SKU]], MouserListTable1218[[#This Row],[Supplier SKU]])</f>
        <v>TOL-10951</v>
      </c>
      <c r="E310" s="121">
        <f>MouserListTable1218[[#This Row],[Tot '#]]-MouserListTable1218[[#This Row],['# Initial]]</f>
        <v>1</v>
      </c>
      <c r="F310" s="121">
        <f>MouserListTable1218[[#This Row],['#/Unit]]*FilterSpecs!$B$3+MouserListTable1218[[#This Row],[Extra Initial]]</f>
        <v>0</v>
      </c>
      <c r="G310" s="103" t="s">
        <v>1257</v>
      </c>
      <c r="H310" s="103" t="s">
        <v>1258</v>
      </c>
      <c r="I310" s="103" t="s">
        <v>1259</v>
      </c>
      <c r="J310" s="103"/>
      <c r="K310" s="157">
        <v>34.950000000000003</v>
      </c>
      <c r="L310" s="103" t="s">
        <v>1913</v>
      </c>
      <c r="M310" s="106"/>
      <c r="N310" s="157">
        <f>MouserListTable1218[[#This Row],['# Initial]]*MouserListTable1218[[#This Row],[Price (USD)]]</f>
        <v>0</v>
      </c>
      <c r="O310" s="106" t="s">
        <v>1256</v>
      </c>
      <c r="P310" s="103">
        <f t="shared" si="5"/>
        <v>292</v>
      </c>
      <c r="Q310" s="103" t="s">
        <v>8</v>
      </c>
      <c r="R31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474-TOL-10951</v>
      </c>
      <c r="S310" s="121">
        <v>0</v>
      </c>
      <c r="T310" s="121">
        <v>1</v>
      </c>
      <c r="U310" s="121">
        <v>0</v>
      </c>
      <c r="V310" s="121">
        <f>MouserListTable1218[[#This Row],['#/Unit]]*FilterSpecs!$C$3+MouserListTable1218[[#This Row],[Extra]]</f>
        <v>1</v>
      </c>
      <c r="W310" s="121">
        <f>IF(MouserListTable1218[[#This Row],[Tag]]=FilterSpecs!$F$7,MouserListTable1218[[#This Row],[Price (USD)]],0)</f>
        <v>0</v>
      </c>
      <c r="X310" s="121">
        <f>MouserListTable1218[[#This Row],[Tot '#]]*MouserListTable1218[[#This Row],[Price (USD)]]</f>
        <v>34.950000000000003</v>
      </c>
    </row>
    <row r="311" spans="1:24" s="144" customFormat="1" x14ac:dyDescent="0.3">
      <c r="A311" s="126" t="s">
        <v>896</v>
      </c>
      <c r="B311" s="126" t="s">
        <v>2026</v>
      </c>
      <c r="C311" s="126" t="s">
        <v>8</v>
      </c>
      <c r="D311" s="106" t="str">
        <f>IF(MouserListTable1218[[#This Row],[Vendor]]=FilterSpecs!$A$8,MouserListTable1218[[#This Row],[Mouser SKU]], MouserListTable1218[[#This Row],[Supplier SKU]])</f>
        <v>TOL-10950</v>
      </c>
      <c r="E311" s="121">
        <f>MouserListTable1218[[#This Row],[Tot '#]]-MouserListTable1218[[#This Row],['# Initial]]</f>
        <v>0</v>
      </c>
      <c r="F311" s="121">
        <f>MouserListTable1218[[#This Row],['#/Unit]]*FilterSpecs!$B$3+MouserListTable1218[[#This Row],[Extra Initial]]</f>
        <v>1</v>
      </c>
      <c r="G311" s="103" t="s">
        <v>1261</v>
      </c>
      <c r="H311" s="103" t="s">
        <v>1262</v>
      </c>
      <c r="I311" s="103" t="s">
        <v>1263</v>
      </c>
      <c r="J311" s="103">
        <v>1</v>
      </c>
      <c r="K311" s="157">
        <v>9.9499999999999993</v>
      </c>
      <c r="L311" s="103" t="s">
        <v>1910</v>
      </c>
      <c r="M311" s="146"/>
      <c r="N311" s="157">
        <f>MouserListTable1218[[#This Row],['# Initial]]*MouserListTable1218[[#This Row],[Price (USD)]]</f>
        <v>9.9499999999999993</v>
      </c>
      <c r="O311" s="106" t="s">
        <v>1260</v>
      </c>
      <c r="P311" s="103">
        <f t="shared" si="5"/>
        <v>293</v>
      </c>
      <c r="Q311" s="103" t="s">
        <v>8</v>
      </c>
      <c r="R31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474-TOL-10950</v>
      </c>
      <c r="S311" s="121">
        <v>0</v>
      </c>
      <c r="T311" s="121">
        <v>1</v>
      </c>
      <c r="U311" s="121">
        <v>1</v>
      </c>
      <c r="V311" s="121">
        <f>MouserListTable1218[[#This Row],['#/Unit]]*FilterSpecs!$C$3+MouserListTable1218[[#This Row],[Extra]]</f>
        <v>1</v>
      </c>
      <c r="W311" s="121">
        <f>IF(MouserListTable1218[[#This Row],[Tag]]=FilterSpecs!$F$7,MouserListTable1218[[#This Row],[Price (USD)]],0)</f>
        <v>0</v>
      </c>
      <c r="X311" s="121">
        <f>MouserListTable1218[[#This Row],[Tot '#]]*MouserListTable1218[[#This Row],[Price (USD)]]</f>
        <v>9.9499999999999993</v>
      </c>
    </row>
    <row r="312" spans="1:24" s="144" customFormat="1" x14ac:dyDescent="0.3">
      <c r="A312" s="103" t="s">
        <v>896</v>
      </c>
      <c r="B312" s="103" t="s">
        <v>2026</v>
      </c>
      <c r="C312" s="103" t="s">
        <v>1898</v>
      </c>
      <c r="D312" s="106" t="str">
        <f>IF(MouserListTable1218[[#This Row],[Vendor]]=FilterSpecs!$A$8,MouserListTable1218[[#This Row],[Mouser SKU]], MouserListTable1218[[#This Row],[Supplier SKU]])</f>
        <v>2504</v>
      </c>
      <c r="E312" s="121">
        <f>MouserListTable1218[[#This Row],[Tot '#]]-MouserListTable1218[[#This Row],['# Initial]]</f>
        <v>0</v>
      </c>
      <c r="F312" s="121">
        <f>MouserListTable1218[[#This Row],['#/Unit]]*FilterSpecs!$B$3+MouserListTable1218[[#This Row],[Extra Initial]]</f>
        <v>3</v>
      </c>
      <c r="G312" s="103"/>
      <c r="H312" s="103"/>
      <c r="I312" s="103" t="s">
        <v>2121</v>
      </c>
      <c r="J312" s="146"/>
      <c r="K312" s="157">
        <v>4.95</v>
      </c>
      <c r="L312" s="103" t="s">
        <v>1910</v>
      </c>
      <c r="M312" s="106"/>
      <c r="N312" s="157">
        <f>MouserListTable1218[[#This Row],['# Initial]]*MouserListTable1218[[#This Row],[Price (USD)]]</f>
        <v>14.850000000000001</v>
      </c>
      <c r="O312" s="106" t="s">
        <v>2120</v>
      </c>
      <c r="P312" s="103">
        <f t="shared" si="5"/>
        <v>294</v>
      </c>
      <c r="Q312" s="103" t="s">
        <v>1898</v>
      </c>
      <c r="R31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485-2504</v>
      </c>
      <c r="S312" s="121">
        <v>0</v>
      </c>
      <c r="T312" s="121">
        <v>3</v>
      </c>
      <c r="U312" s="121">
        <v>3</v>
      </c>
      <c r="V312" s="121">
        <f>MouserListTable1218[[#This Row],['#/Unit]]*FilterSpecs!$C$3+MouserListTable1218[[#This Row],[Extra]]</f>
        <v>3</v>
      </c>
      <c r="W312" s="121">
        <f>IF(MouserListTable1218[[#This Row],[Tag]]=FilterSpecs!$F$7,MouserListTable1218[[#This Row],[Price (USD)]],0)</f>
        <v>0</v>
      </c>
      <c r="X312" s="121">
        <f>MouserListTable1218[[#This Row],[Tot '#]]*MouserListTable1218[[#This Row],[Price (USD)]]</f>
        <v>14.850000000000001</v>
      </c>
    </row>
    <row r="313" spans="1:24" s="144" customFormat="1" x14ac:dyDescent="0.3">
      <c r="A313" s="103" t="s">
        <v>896</v>
      </c>
      <c r="B313" s="103" t="s">
        <v>2026</v>
      </c>
      <c r="C313" s="103" t="s">
        <v>1898</v>
      </c>
      <c r="D313" s="106" t="str">
        <f>IF(MouserListTable1218[[#This Row],[Vendor]]=FilterSpecs!$A$8,MouserListTable1218[[#This Row],[Mouser SKU]], MouserListTable1218[[#This Row],[Supplier SKU]])</f>
        <v>437</v>
      </c>
      <c r="E313" s="121">
        <f>MouserListTable1218[[#This Row],[Tot '#]]-MouserListTable1218[[#This Row],['# Initial]]</f>
        <v>0</v>
      </c>
      <c r="F313" s="121">
        <f>MouserListTable1218[[#This Row],['#/Unit]]*FilterSpecs!$B$3+MouserListTable1218[[#This Row],[Extra Initial]]</f>
        <v>1</v>
      </c>
      <c r="G313" s="103"/>
      <c r="H313" s="103"/>
      <c r="I313" s="103" t="s">
        <v>2123</v>
      </c>
      <c r="J313" s="146"/>
      <c r="K313" s="157">
        <v>17.95</v>
      </c>
      <c r="L313" s="103" t="s">
        <v>1910</v>
      </c>
      <c r="M313" s="106"/>
      <c r="N313" s="157">
        <f>MouserListTable1218[[#This Row],['# Initial]]*MouserListTable1218[[#This Row],[Price (USD)]]</f>
        <v>17.95</v>
      </c>
      <c r="O313" s="106" t="s">
        <v>2122</v>
      </c>
      <c r="P313" s="103">
        <f t="shared" si="5"/>
        <v>295</v>
      </c>
      <c r="Q313" s="103" t="s">
        <v>1898</v>
      </c>
      <c r="R31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485-437</v>
      </c>
      <c r="S313" s="121">
        <v>0</v>
      </c>
      <c r="T313" s="121">
        <v>1</v>
      </c>
      <c r="U313" s="121">
        <v>1</v>
      </c>
      <c r="V313" s="121">
        <f>MouserListTable1218[[#This Row],['#/Unit]]*FilterSpecs!$C$3+MouserListTable1218[[#This Row],[Extra]]</f>
        <v>1</v>
      </c>
      <c r="W313" s="121">
        <f>IF(MouserListTable1218[[#This Row],[Tag]]=FilterSpecs!$F$7,MouserListTable1218[[#This Row],[Price (USD)]],0)</f>
        <v>0</v>
      </c>
      <c r="X313" s="121">
        <f>MouserListTable1218[[#This Row],[Tot '#]]*MouserListTable1218[[#This Row],[Price (USD)]]</f>
        <v>17.95</v>
      </c>
    </row>
    <row r="314" spans="1:24" s="144" customFormat="1" x14ac:dyDescent="0.3">
      <c r="A314" s="103" t="s">
        <v>896</v>
      </c>
      <c r="B314" s="103" t="s">
        <v>1302</v>
      </c>
      <c r="C314" s="103" t="s">
        <v>8</v>
      </c>
      <c r="D314" s="106" t="str">
        <f>IF(MouserListTable1218[[#This Row],[Vendor]]=FilterSpecs!$A$8,MouserListTable1218[[#This Row],[Mouser SKU]], MouserListTable1218[[#This Row],[Supplier SKU]])</f>
        <v>PRT-11510</v>
      </c>
      <c r="E314" s="121">
        <f>MouserListTable1218[[#This Row],[Tot '#]]-MouserListTable1218[[#This Row],['# Initial]]</f>
        <v>0</v>
      </c>
      <c r="F314" s="121">
        <f>MouserListTable1218[[#This Row],['#/Unit]]*FilterSpecs!$B$3+MouserListTable1218[[#This Row],[Extra Initial]]</f>
        <v>3</v>
      </c>
      <c r="G314" s="103" t="s">
        <v>1089</v>
      </c>
      <c r="H314" s="103" t="s">
        <v>1090</v>
      </c>
      <c r="I314" s="103" t="s">
        <v>1091</v>
      </c>
      <c r="J314" s="103">
        <v>1</v>
      </c>
      <c r="K314" s="157">
        <v>1.95</v>
      </c>
      <c r="L314" s="103" t="s">
        <v>1910</v>
      </c>
      <c r="M314" s="103" t="s">
        <v>1210</v>
      </c>
      <c r="N314" s="157">
        <f>MouserListTable1218[[#This Row],['# Initial]]*MouserListTable1218[[#This Row],[Price (USD)]]</f>
        <v>5.85</v>
      </c>
      <c r="O314" s="106" t="s">
        <v>1088</v>
      </c>
      <c r="P314" s="103">
        <f t="shared" si="5"/>
        <v>296</v>
      </c>
      <c r="Q314" s="103" t="s">
        <v>8</v>
      </c>
      <c r="R31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474-PRT-11510</v>
      </c>
      <c r="S314" s="121">
        <v>0</v>
      </c>
      <c r="T314" s="121">
        <v>3</v>
      </c>
      <c r="U314" s="121">
        <v>3</v>
      </c>
      <c r="V314" s="121">
        <f>MouserListTable1218[[#This Row],['#/Unit]]*FilterSpecs!$C$3+MouserListTable1218[[#This Row],[Extra]]</f>
        <v>3</v>
      </c>
      <c r="W314" s="121">
        <f>IF(MouserListTable1218[[#This Row],[Tag]]=FilterSpecs!$F$7,MouserListTable1218[[#This Row],[Price (USD)]],0)</f>
        <v>0</v>
      </c>
      <c r="X314" s="121">
        <f>MouserListTable1218[[#This Row],[Tot '#]]*MouserListTable1218[[#This Row],[Price (USD)]]</f>
        <v>5.85</v>
      </c>
    </row>
    <row r="315" spans="1:24" s="144" customFormat="1" x14ac:dyDescent="0.3">
      <c r="A315" s="103" t="s">
        <v>896</v>
      </c>
      <c r="B315" s="103" t="s">
        <v>1302</v>
      </c>
      <c r="C315" s="103" t="s">
        <v>8</v>
      </c>
      <c r="D315" s="106" t="str">
        <f>IF(MouserListTable1218[[#This Row],[Vendor]]=FilterSpecs!$A$8,MouserListTable1218[[#This Row],[Mouser SKU]], MouserListTable1218[[#This Row],[Supplier SKU]])</f>
        <v>PRT-14340</v>
      </c>
      <c r="E315" s="121">
        <f>MouserListTable1218[[#This Row],[Tot '#]]-MouserListTable1218[[#This Row],['# Initial]]</f>
        <v>0</v>
      </c>
      <c r="F315" s="121">
        <f>MouserListTable1218[[#This Row],['#/Unit]]*FilterSpecs!$B$3+MouserListTable1218[[#This Row],[Extra Initial]]</f>
        <v>3</v>
      </c>
      <c r="G315" s="103" t="s">
        <v>1269</v>
      </c>
      <c r="H315" s="103" t="s">
        <v>1270</v>
      </c>
      <c r="I315" s="103" t="s">
        <v>1271</v>
      </c>
      <c r="J315" s="103"/>
      <c r="K315" s="157">
        <v>1.5</v>
      </c>
      <c r="L315" s="103" t="s">
        <v>1910</v>
      </c>
      <c r="M315" s="106"/>
      <c r="N315" s="157">
        <f>MouserListTable1218[[#This Row],['# Initial]]*MouserListTable1218[[#This Row],[Price (USD)]]</f>
        <v>4.5</v>
      </c>
      <c r="O315" s="106" t="s">
        <v>1268</v>
      </c>
      <c r="P315" s="103">
        <f t="shared" si="5"/>
        <v>297</v>
      </c>
      <c r="Q315" s="103" t="s">
        <v>8</v>
      </c>
      <c r="R31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474-PRT-14340</v>
      </c>
      <c r="S315" s="121">
        <v>0</v>
      </c>
      <c r="T315" s="121">
        <v>3</v>
      </c>
      <c r="U315" s="121">
        <v>3</v>
      </c>
      <c r="V315" s="121">
        <f>MouserListTable1218[[#This Row],['#/Unit]]*FilterSpecs!$C$3+MouserListTable1218[[#This Row],[Extra]]</f>
        <v>3</v>
      </c>
      <c r="W315" s="121">
        <f>IF(MouserListTable1218[[#This Row],[Tag]]=FilterSpecs!$F$7,MouserListTable1218[[#This Row],[Price (USD)]],0)</f>
        <v>0</v>
      </c>
      <c r="X315" s="121">
        <f>MouserListTable1218[[#This Row],[Tot '#]]*MouserListTable1218[[#This Row],[Price (USD)]]</f>
        <v>4.5</v>
      </c>
    </row>
    <row r="316" spans="1:24" s="144" customFormat="1" x14ac:dyDescent="0.3">
      <c r="A316" s="103" t="s">
        <v>896</v>
      </c>
      <c r="B316" s="103" t="s">
        <v>1302</v>
      </c>
      <c r="C316" s="103" t="s">
        <v>8</v>
      </c>
      <c r="D316" s="106" t="str">
        <f>IF(MouserListTable1218[[#This Row],[Vendor]]=FilterSpecs!$A$8,MouserListTable1218[[#This Row],[Mouser SKU]], MouserListTable1218[[#This Row],[Supplier SKU]])</f>
        <v>PRT-00121</v>
      </c>
      <c r="E316" s="121">
        <f>MouserListTable1218[[#This Row],[Tot '#]]-MouserListTable1218[[#This Row],['# Initial]]</f>
        <v>0</v>
      </c>
      <c r="F316" s="121">
        <f>MouserListTable1218[[#This Row],['#/Unit]]*FilterSpecs!$B$3+MouserListTable1218[[#This Row],[Extra Initial]]</f>
        <v>5</v>
      </c>
      <c r="G316" s="103" t="s">
        <v>1085</v>
      </c>
      <c r="H316" s="103" t="s">
        <v>1086</v>
      </c>
      <c r="I316" s="103" t="s">
        <v>1087</v>
      </c>
      <c r="J316" s="103">
        <v>1</v>
      </c>
      <c r="K316" s="157">
        <v>0.95</v>
      </c>
      <c r="L316" s="103" t="s">
        <v>1911</v>
      </c>
      <c r="M316" s="103" t="s">
        <v>1210</v>
      </c>
      <c r="N316" s="157">
        <f>MouserListTable1218[[#This Row],['# Initial]]*MouserListTable1218[[#This Row],[Price (USD)]]</f>
        <v>4.75</v>
      </c>
      <c r="O316" s="106" t="s">
        <v>1084</v>
      </c>
      <c r="P316" s="103">
        <f t="shared" si="5"/>
        <v>298</v>
      </c>
      <c r="Q316" s="103" t="s">
        <v>8</v>
      </c>
      <c r="R31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474-PRT-00121</v>
      </c>
      <c r="S316" s="121">
        <v>1</v>
      </c>
      <c r="T316" s="121">
        <v>0</v>
      </c>
      <c r="U316" s="121">
        <v>0</v>
      </c>
      <c r="V316" s="121">
        <f>MouserListTable1218[[#This Row],['#/Unit]]*FilterSpecs!$C$3+MouserListTable1218[[#This Row],[Extra]]</f>
        <v>5</v>
      </c>
      <c r="W316" s="121">
        <f>IF(MouserListTable1218[[#This Row],[Tag]]=FilterSpecs!$F$7,MouserListTable1218[[#This Row],[Price (USD)]],0)</f>
        <v>0.95</v>
      </c>
      <c r="X316" s="121">
        <f>MouserListTable1218[[#This Row],[Tot '#]]*MouserListTable1218[[#This Row],[Price (USD)]]</f>
        <v>4.75</v>
      </c>
    </row>
    <row r="317" spans="1:24" s="144" customFormat="1" x14ac:dyDescent="0.3">
      <c r="A317" s="103" t="s">
        <v>896</v>
      </c>
      <c r="B317" s="103" t="s">
        <v>1302</v>
      </c>
      <c r="C317" s="103" t="s">
        <v>1898</v>
      </c>
      <c r="D317" s="106" t="str">
        <f>IF(MouserListTable1218[[#This Row],[Vendor]]=FilterSpecs!$A$8,MouserListTable1218[[#This Row],[Mouser SKU]], MouserListTable1218[[#This Row],[Supplier SKU]])</f>
        <v>977</v>
      </c>
      <c r="E317" s="121">
        <f>MouserListTable1218[[#This Row],[Tot '#]]-MouserListTable1218[[#This Row],['# Initial]]</f>
        <v>0</v>
      </c>
      <c r="F317" s="121">
        <f>MouserListTable1218[[#This Row],['#/Unit]]*FilterSpecs!$B$3+MouserListTable1218[[#This Row],[Extra Initial]]</f>
        <v>10</v>
      </c>
      <c r="G317" s="103"/>
      <c r="H317" s="103"/>
      <c r="I317" s="103" t="s">
        <v>2119</v>
      </c>
      <c r="J317" s="146"/>
      <c r="K317" s="157">
        <v>0.75</v>
      </c>
      <c r="L317" s="103" t="s">
        <v>1911</v>
      </c>
      <c r="M317" s="106"/>
      <c r="N317" s="157">
        <f>MouserListTable1218[[#This Row],['# Initial]]*MouserListTable1218[[#This Row],[Price (USD)]]</f>
        <v>7.5</v>
      </c>
      <c r="O317" s="106" t="s">
        <v>2118</v>
      </c>
      <c r="P317" s="103">
        <f t="shared" si="5"/>
        <v>299</v>
      </c>
      <c r="Q317" s="103" t="s">
        <v>1898</v>
      </c>
      <c r="R31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485-977</v>
      </c>
      <c r="S317" s="121">
        <v>2</v>
      </c>
      <c r="T317" s="121">
        <v>0</v>
      </c>
      <c r="U317" s="121">
        <v>0</v>
      </c>
      <c r="V317" s="121">
        <f>MouserListTable1218[[#This Row],['#/Unit]]*FilterSpecs!$C$3+MouserListTable1218[[#This Row],[Extra]]</f>
        <v>10</v>
      </c>
      <c r="W317" s="121">
        <f>IF(MouserListTable1218[[#This Row],[Tag]]=FilterSpecs!$F$7,MouserListTable1218[[#This Row],[Price (USD)]],0)</f>
        <v>0.75</v>
      </c>
      <c r="X317" s="121">
        <f>MouserListTable1218[[#This Row],[Tot '#]]*MouserListTable1218[[#This Row],[Price (USD)]]</f>
        <v>7.5</v>
      </c>
    </row>
    <row r="318" spans="1:24" s="144" customFormat="1" x14ac:dyDescent="0.3">
      <c r="A318" s="103" t="s">
        <v>896</v>
      </c>
      <c r="B318" s="103" t="s">
        <v>1302</v>
      </c>
      <c r="C318" s="103" t="s">
        <v>8</v>
      </c>
      <c r="D318" s="106" t="str">
        <f>IF(MouserListTable1218[[#This Row],[Vendor]]=FilterSpecs!$A$8,MouserListTable1218[[#This Row],[Mouser SKU]], MouserListTable1218[[#This Row],[Supplier SKU]])</f>
        <v>PRT-09599</v>
      </c>
      <c r="E318" s="121">
        <f>MouserListTable1218[[#This Row],[Tot '#]]-MouserListTable1218[[#This Row],['# Initial]]</f>
        <v>2</v>
      </c>
      <c r="F318" s="121">
        <f>MouserListTable1218[[#This Row],['#/Unit]]*FilterSpecs!$B$3+MouserListTable1218[[#This Row],[Extra Initial]]</f>
        <v>0</v>
      </c>
      <c r="G318" s="103" t="s">
        <v>1265</v>
      </c>
      <c r="H318" s="103" t="s">
        <v>1266</v>
      </c>
      <c r="I318" s="103" t="s">
        <v>1267</v>
      </c>
      <c r="J318" s="103">
        <v>1</v>
      </c>
      <c r="K318" s="157">
        <v>1.95</v>
      </c>
      <c r="L318" s="103" t="s">
        <v>1913</v>
      </c>
      <c r="M318" s="106"/>
      <c r="N318" s="157">
        <f>MouserListTable1218[[#This Row],['# Initial]]*MouserListTable1218[[#This Row],[Price (USD)]]</f>
        <v>0</v>
      </c>
      <c r="O318" s="106" t="s">
        <v>1264</v>
      </c>
      <c r="P318" s="103">
        <f t="shared" si="5"/>
        <v>300</v>
      </c>
      <c r="Q318" s="103" t="s">
        <v>8</v>
      </c>
      <c r="R31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474-PRT-09599</v>
      </c>
      <c r="S318" s="121">
        <v>0</v>
      </c>
      <c r="T318" s="121">
        <v>2</v>
      </c>
      <c r="U318" s="121">
        <v>0</v>
      </c>
      <c r="V318" s="121">
        <f>MouserListTable1218[[#This Row],['#/Unit]]*FilterSpecs!$C$3+MouserListTable1218[[#This Row],[Extra]]</f>
        <v>2</v>
      </c>
      <c r="W318" s="121">
        <f>IF(MouserListTable1218[[#This Row],[Tag]]=FilterSpecs!$F$7,MouserListTable1218[[#This Row],[Price (USD)]],0)</f>
        <v>0</v>
      </c>
      <c r="X318" s="121">
        <f>MouserListTable1218[[#This Row],[Tot '#]]*MouserListTable1218[[#This Row],[Price (USD)]]</f>
        <v>3.9</v>
      </c>
    </row>
    <row r="319" spans="1:24" s="144" customFormat="1" x14ac:dyDescent="0.3">
      <c r="A319" s="103" t="s">
        <v>896</v>
      </c>
      <c r="B319" s="103" t="s">
        <v>1302</v>
      </c>
      <c r="C319" s="103" t="s">
        <v>1906</v>
      </c>
      <c r="D319" s="106" t="str">
        <f>IF(MouserListTable1218[[#This Row],[Vendor]]=FilterSpecs!$A$8,MouserListTable1218[[#This Row],[Mouser SKU]], MouserListTable1218[[#This Row],[Supplier SKU]])</f>
        <v>474-PRT-09599</v>
      </c>
      <c r="E319" s="121">
        <f>MouserListTable1218[[#This Row],[Tot '#]]-MouserListTable1218[[#This Row],['# Initial]]</f>
        <v>0</v>
      </c>
      <c r="F319" s="121">
        <f>MouserListTable1218[[#This Row],['#/Unit]]*FilterSpecs!$B$3+MouserListTable1218[[#This Row],[Extra Initial]]</f>
        <v>2</v>
      </c>
      <c r="G319" s="103" t="s">
        <v>1265</v>
      </c>
      <c r="H319" s="103" t="s">
        <v>1266</v>
      </c>
      <c r="I319" s="103" t="s">
        <v>1267</v>
      </c>
      <c r="J319" s="103">
        <v>1</v>
      </c>
      <c r="K319" s="157">
        <v>1.95</v>
      </c>
      <c r="L319" s="103" t="s">
        <v>1910</v>
      </c>
      <c r="M319" s="106"/>
      <c r="N319" s="157">
        <f>MouserListTable1218[[#This Row],['# Initial]]*MouserListTable1218[[#This Row],[Price (USD)]]</f>
        <v>3.9</v>
      </c>
      <c r="O319" s="106" t="s">
        <v>1264</v>
      </c>
      <c r="P319" s="103">
        <f t="shared" si="5"/>
        <v>301</v>
      </c>
      <c r="Q319" s="103" t="s">
        <v>8</v>
      </c>
      <c r="R31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474-PRT-09599</v>
      </c>
      <c r="S319" s="121">
        <v>0</v>
      </c>
      <c r="T319" s="121">
        <v>2</v>
      </c>
      <c r="U319" s="121">
        <v>2</v>
      </c>
      <c r="V319" s="121">
        <f>MouserListTable1218[[#This Row],['#/Unit]]*FilterSpecs!$C$3+MouserListTable1218[[#This Row],[Extra]]</f>
        <v>2</v>
      </c>
      <c r="W319" s="121">
        <f>IF(MouserListTable1218[[#This Row],[Tag]]=FilterSpecs!$F$7,MouserListTable1218[[#This Row],[Price (USD)]],0)</f>
        <v>0</v>
      </c>
      <c r="X319" s="121">
        <f>MouserListTable1218[[#This Row],[Tot '#]]*MouserListTable1218[[#This Row],[Price (USD)]]</f>
        <v>3.9</v>
      </c>
    </row>
    <row r="320" spans="1:24" s="144" customFormat="1" x14ac:dyDescent="0.3">
      <c r="A320" s="103" t="s">
        <v>896</v>
      </c>
      <c r="B320" s="103" t="s">
        <v>1302</v>
      </c>
      <c r="C320" s="103" t="s">
        <v>8</v>
      </c>
      <c r="D320" s="106" t="str">
        <f>IF(MouserListTable1218[[#This Row],[Vendor]]=FilterSpecs!$A$8,MouserListTable1218[[#This Row],[Mouser SKU]], MouserListTable1218[[#This Row],[Supplier SKU]])</f>
        <v>PRT-09771</v>
      </c>
      <c r="E320" s="121">
        <f>MouserListTable1218[[#This Row],[Tot '#]]-MouserListTable1218[[#This Row],['# Initial]]</f>
        <v>0</v>
      </c>
      <c r="F320" s="121">
        <f>MouserListTable1218[[#This Row],['#/Unit]]*FilterSpecs!$B$3+MouserListTable1218[[#This Row],[Extra Initial]]</f>
        <v>3</v>
      </c>
      <c r="G320" s="103" t="s">
        <v>1081</v>
      </c>
      <c r="H320" s="103" t="s">
        <v>1082</v>
      </c>
      <c r="I320" s="103" t="s">
        <v>1083</v>
      </c>
      <c r="J320" s="103"/>
      <c r="K320" s="157">
        <v>3.95</v>
      </c>
      <c r="L320" s="103" t="s">
        <v>1910</v>
      </c>
      <c r="M320" s="106"/>
      <c r="N320" s="157">
        <f>MouserListTable1218[[#This Row],['# Initial]]*MouserListTable1218[[#This Row],[Price (USD)]]</f>
        <v>11.850000000000001</v>
      </c>
      <c r="O320" s="106" t="s">
        <v>1080</v>
      </c>
      <c r="P320" s="103">
        <f>IF($P318="List #",1,$P318+1)</f>
        <v>301</v>
      </c>
      <c r="Q320" s="103" t="s">
        <v>8</v>
      </c>
      <c r="R32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474-PRT-09771</v>
      </c>
      <c r="S320" s="121">
        <v>0</v>
      </c>
      <c r="T320" s="121">
        <v>3</v>
      </c>
      <c r="U320" s="121">
        <v>3</v>
      </c>
      <c r="V320" s="121">
        <f>MouserListTable1218[[#This Row],['#/Unit]]*FilterSpecs!$C$3+MouserListTable1218[[#This Row],[Extra]]</f>
        <v>3</v>
      </c>
      <c r="W320" s="121">
        <f>IF(MouserListTable1218[[#This Row],[Tag]]=FilterSpecs!$F$7,MouserListTable1218[[#This Row],[Price (USD)]],0)</f>
        <v>0</v>
      </c>
      <c r="X320" s="121">
        <f>MouserListTable1218[[#This Row],[Tot '#]]*MouserListTable1218[[#This Row],[Price (USD)]]</f>
        <v>11.850000000000001</v>
      </c>
    </row>
    <row r="321" spans="1:24" s="144" customFormat="1" x14ac:dyDescent="0.3">
      <c r="A321" s="103" t="s">
        <v>896</v>
      </c>
      <c r="B321" s="103" t="s">
        <v>995</v>
      </c>
      <c r="C321" s="103" t="s">
        <v>8</v>
      </c>
      <c r="D321" s="106" t="str">
        <f>IF(MouserListTable1218[[#This Row],[Vendor]]=FilterSpecs!$A$8,MouserListTable1218[[#This Row],[Mouser SKU]], MouserListTable1218[[#This Row],[Supplier SKU]])</f>
        <v>PRT-11796</v>
      </c>
      <c r="E321" s="121">
        <f>MouserListTable1218[[#This Row],[Tot '#]]-MouserListTable1218[[#This Row],['# Initial]]</f>
        <v>0</v>
      </c>
      <c r="F321" s="121">
        <f>MouserListTable1218[[#This Row],['#/Unit]]*FilterSpecs!$B$3+MouserListTable1218[[#This Row],[Extra Initial]]</f>
        <v>3</v>
      </c>
      <c r="G321" s="103" t="s">
        <v>644</v>
      </c>
      <c r="H321" s="103" t="s">
        <v>645</v>
      </c>
      <c r="I321" s="103" t="s">
        <v>646</v>
      </c>
      <c r="J321" s="103"/>
      <c r="K321" s="157">
        <v>3.95</v>
      </c>
      <c r="L321" s="103" t="s">
        <v>1910</v>
      </c>
      <c r="M321" s="106"/>
      <c r="N321" s="157">
        <f>MouserListTable1218[[#This Row],['# Initial]]*MouserListTable1218[[#This Row],[Price (USD)]]</f>
        <v>11.850000000000001</v>
      </c>
      <c r="O321" s="106" t="s">
        <v>643</v>
      </c>
      <c r="P321" s="103">
        <f t="shared" si="5"/>
        <v>302</v>
      </c>
      <c r="Q321" s="103" t="s">
        <v>8</v>
      </c>
      <c r="R32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474-PRT-11796</v>
      </c>
      <c r="S321" s="121">
        <v>0</v>
      </c>
      <c r="T321" s="121">
        <v>3</v>
      </c>
      <c r="U321" s="121">
        <v>3</v>
      </c>
      <c r="V321" s="121">
        <f>MouserListTable1218[[#This Row],['#/Unit]]*FilterSpecs!$C$3+MouserListTable1218[[#This Row],[Extra]]</f>
        <v>3</v>
      </c>
      <c r="W321" s="121">
        <f>IF(MouserListTable1218[[#This Row],[Tag]]=FilterSpecs!$F$7,MouserListTable1218[[#This Row],[Price (USD)]],0)</f>
        <v>0</v>
      </c>
      <c r="X321" s="121">
        <f>MouserListTable1218[[#This Row],[Tot '#]]*MouserListTable1218[[#This Row],[Price (USD)]]</f>
        <v>11.850000000000001</v>
      </c>
    </row>
    <row r="322" spans="1:24" s="144" customFormat="1" x14ac:dyDescent="0.3">
      <c r="A322" s="103" t="s">
        <v>896</v>
      </c>
      <c r="B322" s="103" t="s">
        <v>995</v>
      </c>
      <c r="C322" s="103" t="s">
        <v>8</v>
      </c>
      <c r="D322" s="106" t="str">
        <f>IF(MouserListTable1218[[#This Row],[Vendor]]=FilterSpecs!$A$8,MouserListTable1218[[#This Row],[Mouser SKU]], MouserListTable1218[[#This Row],[Supplier SKU]])</f>
        <v>PRT-10927</v>
      </c>
      <c r="E322" s="121">
        <f>MouserListTable1218[[#This Row],[Tot '#]]-MouserListTable1218[[#This Row],['# Initial]]</f>
        <v>0</v>
      </c>
      <c r="F322" s="121">
        <f>MouserListTable1218[[#This Row],['#/Unit]]*FilterSpecs!$B$3+MouserListTable1218[[#This Row],[Extra Initial]]</f>
        <v>5</v>
      </c>
      <c r="G322" s="103" t="s">
        <v>652</v>
      </c>
      <c r="H322" s="103" t="s">
        <v>653</v>
      </c>
      <c r="I322" s="103" t="s">
        <v>654</v>
      </c>
      <c r="J322" s="103">
        <v>1</v>
      </c>
      <c r="K322" s="157">
        <v>2.95</v>
      </c>
      <c r="L322" s="103" t="s">
        <v>1911</v>
      </c>
      <c r="M322" s="106"/>
      <c r="N322" s="157">
        <f>MouserListTable1218[[#This Row],['# Initial]]*MouserListTable1218[[#This Row],[Price (USD)]]</f>
        <v>14.75</v>
      </c>
      <c r="O322" s="106" t="s">
        <v>651</v>
      </c>
      <c r="P322" s="103">
        <f t="shared" si="5"/>
        <v>303</v>
      </c>
      <c r="Q322" s="103" t="s">
        <v>8</v>
      </c>
      <c r="R32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474-PRT-10927</v>
      </c>
      <c r="S322" s="121">
        <v>1</v>
      </c>
      <c r="T322" s="121">
        <v>0</v>
      </c>
      <c r="U322" s="121">
        <v>0</v>
      </c>
      <c r="V322" s="121">
        <f>MouserListTable1218[[#This Row],['#/Unit]]*FilterSpecs!$C$3+MouserListTable1218[[#This Row],[Extra]]</f>
        <v>5</v>
      </c>
      <c r="W322" s="121">
        <f>IF(MouserListTable1218[[#This Row],[Tag]]=FilterSpecs!$F$7,MouserListTable1218[[#This Row],[Price (USD)]],0)</f>
        <v>2.95</v>
      </c>
      <c r="X322" s="121">
        <f>MouserListTable1218[[#This Row],[Tot '#]]*MouserListTable1218[[#This Row],[Price (USD)]]</f>
        <v>14.75</v>
      </c>
    </row>
    <row r="323" spans="1:24" s="144" customFormat="1" x14ac:dyDescent="0.3">
      <c r="A323" s="103" t="s">
        <v>896</v>
      </c>
      <c r="B323" s="103" t="s">
        <v>995</v>
      </c>
      <c r="C323" s="103" t="s">
        <v>8</v>
      </c>
      <c r="D323" s="106" t="str">
        <f>IF(MouserListTable1218[[#This Row],[Vendor]]=FilterSpecs!$A$8,MouserListTable1218[[#This Row],[Mouser SKU]], MouserListTable1218[[#This Row],[Supplier SKU]])</f>
        <v>PRT-10453</v>
      </c>
      <c r="E323" s="121">
        <f>MouserListTable1218[[#This Row],[Tot '#]]-MouserListTable1218[[#This Row],['# Initial]]</f>
        <v>0</v>
      </c>
      <c r="F323" s="121">
        <f>MouserListTable1218[[#This Row],['#/Unit]]*FilterSpecs!$B$3+MouserListTable1218[[#This Row],[Extra Initial]]</f>
        <v>5</v>
      </c>
      <c r="G323" s="103" t="s">
        <v>708</v>
      </c>
      <c r="H323" s="103" t="s">
        <v>709</v>
      </c>
      <c r="I323" s="103" t="s">
        <v>710</v>
      </c>
      <c r="J323" s="103">
        <v>1</v>
      </c>
      <c r="K323" s="157">
        <v>1.5</v>
      </c>
      <c r="L323" s="103" t="s">
        <v>1911</v>
      </c>
      <c r="M323" s="106"/>
      <c r="N323" s="157">
        <f>MouserListTable1218[[#This Row],['# Initial]]*MouserListTable1218[[#This Row],[Price (USD)]]</f>
        <v>7.5</v>
      </c>
      <c r="O323" s="106" t="s">
        <v>707</v>
      </c>
      <c r="P323" s="103">
        <f t="shared" si="5"/>
        <v>304</v>
      </c>
      <c r="Q323" s="103" t="s">
        <v>8</v>
      </c>
      <c r="R32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474-PRT-10453</v>
      </c>
      <c r="S323" s="121">
        <v>1</v>
      </c>
      <c r="T323" s="121">
        <v>0</v>
      </c>
      <c r="U323" s="121">
        <v>0</v>
      </c>
      <c r="V323" s="121">
        <f>MouserListTable1218[[#This Row],['#/Unit]]*FilterSpecs!$C$3+MouserListTable1218[[#This Row],[Extra]]</f>
        <v>5</v>
      </c>
      <c r="W323" s="121">
        <f>IF(MouserListTable1218[[#This Row],[Tag]]=FilterSpecs!$F$7,MouserListTable1218[[#This Row],[Price (USD)]],0)</f>
        <v>1.5</v>
      </c>
      <c r="X323" s="121">
        <f>MouserListTable1218[[#This Row],[Tot '#]]*MouserListTable1218[[#This Row],[Price (USD)]]</f>
        <v>7.5</v>
      </c>
    </row>
    <row r="324" spans="1:24" s="144" customFormat="1" x14ac:dyDescent="0.3">
      <c r="A324" s="103" t="s">
        <v>896</v>
      </c>
      <c r="B324" s="103" t="s">
        <v>995</v>
      </c>
      <c r="C324" s="103" t="s">
        <v>8</v>
      </c>
      <c r="D324" s="106" t="str">
        <f>IF(MouserListTable1218[[#This Row],[Vendor]]=FilterSpecs!$A$8,MouserListTable1218[[#This Row],[Mouser SKU]], MouserListTable1218[[#This Row],[Supplier SKU]])</f>
        <v>PRT-10738</v>
      </c>
      <c r="E324" s="121">
        <f>MouserListTable1218[[#This Row],[Tot '#]]-MouserListTable1218[[#This Row],['# Initial]]</f>
        <v>0</v>
      </c>
      <c r="F324" s="121">
        <f>MouserListTable1218[[#This Row],['#/Unit]]*FilterSpecs!$B$3+MouserListTable1218[[#This Row],[Extra Initial]]</f>
        <v>3</v>
      </c>
      <c r="G324" s="103" t="s">
        <v>910</v>
      </c>
      <c r="H324" s="103" t="s">
        <v>911</v>
      </c>
      <c r="I324" s="103" t="s">
        <v>912</v>
      </c>
      <c r="J324" s="103">
        <v>1</v>
      </c>
      <c r="K324" s="157">
        <v>3.95</v>
      </c>
      <c r="L324" s="103" t="s">
        <v>1910</v>
      </c>
      <c r="M324" s="106"/>
      <c r="N324" s="157">
        <f>MouserListTable1218[[#This Row],['# Initial]]*MouserListTable1218[[#This Row],[Price (USD)]]</f>
        <v>11.850000000000001</v>
      </c>
      <c r="O324" s="106" t="s">
        <v>909</v>
      </c>
      <c r="P324" s="103">
        <f t="shared" si="5"/>
        <v>305</v>
      </c>
      <c r="Q324" s="103" t="s">
        <v>8</v>
      </c>
      <c r="R32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474-PRT-10738</v>
      </c>
      <c r="S324" s="121">
        <v>0</v>
      </c>
      <c r="T324" s="121">
        <v>3</v>
      </c>
      <c r="U324" s="121">
        <v>3</v>
      </c>
      <c r="V324" s="121">
        <f>MouserListTable1218[[#This Row],['#/Unit]]*FilterSpecs!$C$3+MouserListTable1218[[#This Row],[Extra]]</f>
        <v>3</v>
      </c>
      <c r="W324" s="121">
        <f>IF(MouserListTable1218[[#This Row],[Tag]]=FilterSpecs!$F$7,MouserListTable1218[[#This Row],[Price (USD)]],0)</f>
        <v>0</v>
      </c>
      <c r="X324" s="121">
        <f>MouserListTable1218[[#This Row],[Tot '#]]*MouserListTable1218[[#This Row],[Price (USD)]]</f>
        <v>11.850000000000001</v>
      </c>
    </row>
    <row r="325" spans="1:24" s="144" customFormat="1" x14ac:dyDescent="0.3">
      <c r="A325" s="103" t="s">
        <v>896</v>
      </c>
      <c r="B325" s="103" t="s">
        <v>995</v>
      </c>
      <c r="C325" s="103" t="s">
        <v>8</v>
      </c>
      <c r="D325" s="106" t="str">
        <f>IF(MouserListTable1218[[#This Row],[Vendor]]=FilterSpecs!$A$8,MouserListTable1218[[#This Row],[Mouser SKU]], MouserListTable1218[[#This Row],[Supplier SKU]])</f>
        <v>PRT-10450</v>
      </c>
      <c r="E325" s="121">
        <f>MouserListTable1218[[#This Row],[Tot '#]]-MouserListTable1218[[#This Row],['# Initial]]</f>
        <v>0</v>
      </c>
      <c r="F325" s="121">
        <f>MouserListTable1218[[#This Row],['#/Unit]]*FilterSpecs!$B$3+MouserListTable1218[[#This Row],[Extra Initial]]</f>
        <v>5</v>
      </c>
      <c r="G325" s="103" t="s">
        <v>914</v>
      </c>
      <c r="H325" s="103" t="s">
        <v>915</v>
      </c>
      <c r="I325" s="103" t="s">
        <v>916</v>
      </c>
      <c r="J325" s="103">
        <v>1</v>
      </c>
      <c r="K325" s="157">
        <v>0.46</v>
      </c>
      <c r="L325" s="103" t="s">
        <v>1911</v>
      </c>
      <c r="M325" s="106"/>
      <c r="N325" s="157">
        <f>MouserListTable1218[[#This Row],['# Initial]]*MouserListTable1218[[#This Row],[Price (USD)]]</f>
        <v>2.3000000000000003</v>
      </c>
      <c r="O325" s="106" t="s">
        <v>913</v>
      </c>
      <c r="P325" s="103">
        <f t="shared" si="5"/>
        <v>306</v>
      </c>
      <c r="Q325" s="103" t="s">
        <v>8</v>
      </c>
      <c r="R32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474-PRT-10450</v>
      </c>
      <c r="S325" s="121">
        <v>1</v>
      </c>
      <c r="T325" s="121">
        <v>0</v>
      </c>
      <c r="U325" s="121">
        <v>0</v>
      </c>
      <c r="V325" s="121">
        <f>MouserListTable1218[[#This Row],['#/Unit]]*FilterSpecs!$C$3+MouserListTable1218[[#This Row],[Extra]]</f>
        <v>5</v>
      </c>
      <c r="W325" s="121">
        <f>IF(MouserListTable1218[[#This Row],[Tag]]=FilterSpecs!$F$7,MouserListTable1218[[#This Row],[Price (USD)]],0)</f>
        <v>0.46</v>
      </c>
      <c r="X325" s="121">
        <f>MouserListTable1218[[#This Row],[Tot '#]]*MouserListTable1218[[#This Row],[Price (USD)]]</f>
        <v>2.3000000000000003</v>
      </c>
    </row>
    <row r="326" spans="1:24" s="144" customFormat="1" x14ac:dyDescent="0.3">
      <c r="A326" s="103" t="s">
        <v>896</v>
      </c>
      <c r="B326" s="103" t="s">
        <v>995</v>
      </c>
      <c r="C326" s="103" t="s">
        <v>8</v>
      </c>
      <c r="D326" s="106" t="str">
        <f>IF(MouserListTable1218[[#This Row],[Vendor]]=FilterSpecs!$A$8,MouserListTable1218[[#This Row],[Mouser SKU]], MouserListTable1218[[#This Row],[Supplier SKU]])</f>
        <v>PRT-10463</v>
      </c>
      <c r="E326" s="121">
        <f>MouserListTable1218[[#This Row],[Tot '#]]-MouserListTable1218[[#This Row],['# Initial]]</f>
        <v>0</v>
      </c>
      <c r="F326" s="121">
        <f>MouserListTable1218[[#This Row],['#/Unit]]*FilterSpecs!$B$3+MouserListTable1218[[#This Row],[Extra Initial]]</f>
        <v>10</v>
      </c>
      <c r="G326" s="103" t="s">
        <v>938</v>
      </c>
      <c r="H326" s="103" t="s">
        <v>939</v>
      </c>
      <c r="I326" s="103" t="s">
        <v>940</v>
      </c>
      <c r="J326" s="103">
        <v>1</v>
      </c>
      <c r="K326" s="157">
        <v>3.95</v>
      </c>
      <c r="L326" s="103" t="s">
        <v>1911</v>
      </c>
      <c r="M326" s="106"/>
      <c r="N326" s="157">
        <f>MouserListTable1218[[#This Row],['# Initial]]*MouserListTable1218[[#This Row],[Price (USD)]]</f>
        <v>39.5</v>
      </c>
      <c r="O326" s="106" t="s">
        <v>937</v>
      </c>
      <c r="P326" s="103">
        <f t="shared" si="5"/>
        <v>307</v>
      </c>
      <c r="Q326" s="103" t="s">
        <v>8</v>
      </c>
      <c r="R32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474-PRT-10463</v>
      </c>
      <c r="S326" s="121">
        <v>2</v>
      </c>
      <c r="T326" s="121">
        <v>0</v>
      </c>
      <c r="U326" s="121">
        <v>0</v>
      </c>
      <c r="V326" s="121">
        <f>MouserListTable1218[[#This Row],['#/Unit]]*FilterSpecs!$C$3+MouserListTable1218[[#This Row],[Extra]]</f>
        <v>10</v>
      </c>
      <c r="W326" s="121">
        <f>IF(MouserListTable1218[[#This Row],[Tag]]=FilterSpecs!$F$7,MouserListTable1218[[#This Row],[Price (USD)]],0)</f>
        <v>3.95</v>
      </c>
      <c r="X326" s="121">
        <f>MouserListTable1218[[#This Row],[Tot '#]]*MouserListTable1218[[#This Row],[Price (USD)]]</f>
        <v>39.5</v>
      </c>
    </row>
    <row r="327" spans="1:24" s="146" customFormat="1" x14ac:dyDescent="0.3">
      <c r="A327" s="103" t="s">
        <v>896</v>
      </c>
      <c r="B327" s="103" t="s">
        <v>1303</v>
      </c>
      <c r="C327" s="103" t="s">
        <v>8</v>
      </c>
      <c r="D327" s="106" t="str">
        <f>IF(MouserListTable1218[[#This Row],[Vendor]]=FilterSpecs!$A$8,MouserListTable1218[[#This Row],[Mouser SKU]], MouserListTable1218[[#This Row],[Supplier SKU]])</f>
        <v>PRT-10561</v>
      </c>
      <c r="E327" s="121">
        <f>MouserListTable1218[[#This Row],[Tot '#]]-MouserListTable1218[[#This Row],['# Initial]]</f>
        <v>0</v>
      </c>
      <c r="F327" s="121">
        <f>MouserListTable1218[[#This Row],['#/Unit]]*FilterSpecs!$B$3+MouserListTable1218[[#This Row],[Extra Initial]]</f>
        <v>1</v>
      </c>
      <c r="G327" s="103" t="s">
        <v>1241</v>
      </c>
      <c r="H327" s="103" t="s">
        <v>1242</v>
      </c>
      <c r="I327" s="103" t="s">
        <v>1243</v>
      </c>
      <c r="J327" s="103">
        <v>1</v>
      </c>
      <c r="K327" s="157">
        <v>2.95</v>
      </c>
      <c r="L327" s="103" t="s">
        <v>1910</v>
      </c>
      <c r="M327" s="106"/>
      <c r="N327" s="157">
        <f>MouserListTable1218[[#This Row],['# Initial]]*MouserListTable1218[[#This Row],[Price (USD)]]</f>
        <v>2.95</v>
      </c>
      <c r="O327" s="106" t="s">
        <v>1240</v>
      </c>
      <c r="P327" s="103">
        <f t="shared" si="5"/>
        <v>308</v>
      </c>
      <c r="Q327" s="103" t="s">
        <v>8</v>
      </c>
      <c r="R32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474-PRT-10561</v>
      </c>
      <c r="S327" s="121">
        <v>0</v>
      </c>
      <c r="T327" s="121">
        <v>1</v>
      </c>
      <c r="U327" s="121">
        <v>1</v>
      </c>
      <c r="V327" s="121">
        <f>MouserListTable1218[[#This Row],['#/Unit]]*FilterSpecs!$C$3+MouserListTable1218[[#This Row],[Extra]]</f>
        <v>1</v>
      </c>
      <c r="W327" s="121">
        <f>IF(MouserListTable1218[[#This Row],[Tag]]=FilterSpecs!$F$7,MouserListTable1218[[#This Row],[Price (USD)]],0)</f>
        <v>0</v>
      </c>
      <c r="X327" s="121">
        <f>MouserListTable1218[[#This Row],[Tot '#]]*MouserListTable1218[[#This Row],[Price (USD)]]</f>
        <v>2.95</v>
      </c>
    </row>
    <row r="328" spans="1:24" s="146" customFormat="1" x14ac:dyDescent="0.3">
      <c r="A328" s="103" t="s">
        <v>896</v>
      </c>
      <c r="B328" s="103" t="s">
        <v>1303</v>
      </c>
      <c r="C328" s="103" t="s">
        <v>8</v>
      </c>
      <c r="D328" s="106" t="str">
        <f>IF(MouserListTable1218[[#This Row],[Vendor]]=FilterSpecs!$A$8,MouserListTable1218[[#This Row],[Mouser SKU]], MouserListTable1218[[#This Row],[Supplier SKU]])</f>
        <v>PRT-13827</v>
      </c>
      <c r="E328" s="121">
        <f>MouserListTable1218[[#This Row],[Tot '#]]-MouserListTable1218[[#This Row],['# Initial]]</f>
        <v>0</v>
      </c>
      <c r="F328" s="121">
        <f>MouserListTable1218[[#This Row],['#/Unit]]*FilterSpecs!$B$3+MouserListTable1218[[#This Row],[Extra Initial]]</f>
        <v>1</v>
      </c>
      <c r="G328" s="103" t="s">
        <v>1245</v>
      </c>
      <c r="H328" s="103" t="s">
        <v>1246</v>
      </c>
      <c r="I328" s="103" t="s">
        <v>1247</v>
      </c>
      <c r="J328" s="103">
        <v>1</v>
      </c>
      <c r="K328" s="157">
        <v>3.95</v>
      </c>
      <c r="L328" s="103" t="s">
        <v>1910</v>
      </c>
      <c r="M328" s="106"/>
      <c r="N328" s="157">
        <f>MouserListTable1218[[#This Row],['# Initial]]*MouserListTable1218[[#This Row],[Price (USD)]]</f>
        <v>3.95</v>
      </c>
      <c r="O328" s="106" t="s">
        <v>1244</v>
      </c>
      <c r="P328" s="103">
        <f t="shared" si="5"/>
        <v>309</v>
      </c>
      <c r="Q328" s="103" t="s">
        <v>8</v>
      </c>
      <c r="R32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474-PRT-13827</v>
      </c>
      <c r="S328" s="121">
        <v>0</v>
      </c>
      <c r="T328" s="121">
        <v>1</v>
      </c>
      <c r="U328" s="121">
        <v>1</v>
      </c>
      <c r="V328" s="121">
        <f>MouserListTable1218[[#This Row],['#/Unit]]*FilterSpecs!$C$3+MouserListTable1218[[#This Row],[Extra]]</f>
        <v>1</v>
      </c>
      <c r="W328" s="121">
        <f>IF(MouserListTable1218[[#This Row],[Tag]]=FilterSpecs!$F$7,MouserListTable1218[[#This Row],[Price (USD)]],0)</f>
        <v>0</v>
      </c>
      <c r="X328" s="121">
        <f>MouserListTable1218[[#This Row],[Tot '#]]*MouserListTable1218[[#This Row],[Price (USD)]]</f>
        <v>3.95</v>
      </c>
    </row>
    <row r="329" spans="1:24" s="146" customFormat="1" x14ac:dyDescent="0.3">
      <c r="A329" s="103" t="s">
        <v>897</v>
      </c>
      <c r="B329" s="103" t="s">
        <v>891</v>
      </c>
      <c r="C329" s="103" t="s">
        <v>8</v>
      </c>
      <c r="D329" s="106" t="str">
        <f>IF(MouserListTable1218[[#This Row],[Vendor]]=FilterSpecs!$A$8,MouserListTable1218[[#This Row],[Mouser SKU]], MouserListTable1218[[#This Row],[Supplier SKU]])</f>
        <v>BOB-10467</v>
      </c>
      <c r="E329" s="121">
        <f>MouserListTable1218[[#This Row],[Tot '#]]-MouserListTable1218[[#This Row],['# Initial]]</f>
        <v>0</v>
      </c>
      <c r="F329" s="121">
        <f>MouserListTable1218[[#This Row],['#/Unit]]*FilterSpecs!$B$3+MouserListTable1218[[#This Row],[Extra Initial]]</f>
        <v>4</v>
      </c>
      <c r="G329" s="103" t="s">
        <v>1296</v>
      </c>
      <c r="H329" s="103" t="s">
        <v>1297</v>
      </c>
      <c r="I329" s="103" t="s">
        <v>1298</v>
      </c>
      <c r="J329" s="103">
        <v>1</v>
      </c>
      <c r="K329" s="157">
        <v>1.5</v>
      </c>
      <c r="L329" s="106" t="s">
        <v>1911</v>
      </c>
      <c r="M329" s="103"/>
      <c r="N329" s="157">
        <f>MouserListTable1218[[#This Row],['# Initial]]*MouserListTable1218[[#This Row],[Price (USD)]]</f>
        <v>6</v>
      </c>
      <c r="O329" s="106" t="s">
        <v>1295</v>
      </c>
      <c r="P329" s="103">
        <f t="shared" si="5"/>
        <v>310</v>
      </c>
      <c r="Q329" s="103" t="s">
        <v>8</v>
      </c>
      <c r="R32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474-BOB-10467</v>
      </c>
      <c r="S329" s="121">
        <v>0</v>
      </c>
      <c r="T329" s="121">
        <v>4</v>
      </c>
      <c r="U329" s="121">
        <v>4</v>
      </c>
      <c r="V329" s="121">
        <f>MouserListTable1218[[#This Row],['#/Unit]]*FilterSpecs!$C$3+MouserListTable1218[[#This Row],[Extra]]</f>
        <v>4</v>
      </c>
      <c r="W329" s="121">
        <f>IF(MouserListTable1218[[#This Row],[Tag]]=FilterSpecs!$F$7,MouserListTable1218[[#This Row],[Price (USD)]],0)</f>
        <v>1.5</v>
      </c>
      <c r="X329" s="121">
        <f>MouserListTable1218[[#This Row],[Tot '#]]*MouserListTable1218[[#This Row],[Price (USD)]]</f>
        <v>6</v>
      </c>
    </row>
    <row r="330" spans="1:24" s="146" customFormat="1" x14ac:dyDescent="0.3">
      <c r="A330" s="103" t="s">
        <v>897</v>
      </c>
      <c r="B330" s="103" t="s">
        <v>891</v>
      </c>
      <c r="C330" s="103" t="s">
        <v>8</v>
      </c>
      <c r="D330" s="106" t="str">
        <f>IF(MouserListTable1218[[#This Row],[Vendor]]=FilterSpecs!$A$8,MouserListTable1218[[#This Row],[Mouser SKU]], MouserListTable1218[[#This Row],[Supplier SKU]])</f>
        <v>COM-10443</v>
      </c>
      <c r="E330" s="121">
        <f>MouserListTable1218[[#This Row],[Tot '#]]-MouserListTable1218[[#This Row],['# Initial]]</f>
        <v>0</v>
      </c>
      <c r="F330" s="121">
        <f>MouserListTable1218[[#This Row],['#/Unit]]*FilterSpecs!$B$3+MouserListTable1218[[#This Row],[Extra Initial]]</f>
        <v>5</v>
      </c>
      <c r="G330" s="103" t="s">
        <v>604</v>
      </c>
      <c r="H330" s="103" t="s">
        <v>605</v>
      </c>
      <c r="I330" s="103" t="s">
        <v>606</v>
      </c>
      <c r="J330" s="103"/>
      <c r="K330" s="157">
        <v>1.95</v>
      </c>
      <c r="L330" s="103" t="s">
        <v>1911</v>
      </c>
      <c r="M330" s="103"/>
      <c r="N330" s="157">
        <f>MouserListTable1218[[#This Row],['# Initial]]*MouserListTable1218[[#This Row],[Price (USD)]]</f>
        <v>9.75</v>
      </c>
      <c r="O330" s="106" t="s">
        <v>603</v>
      </c>
      <c r="P330" s="103">
        <f t="shared" si="5"/>
        <v>311</v>
      </c>
      <c r="Q330" s="103" t="s">
        <v>8</v>
      </c>
      <c r="R33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474-COM-10443</v>
      </c>
      <c r="S330" s="121">
        <v>1</v>
      </c>
      <c r="T330" s="121">
        <v>0</v>
      </c>
      <c r="U330" s="121">
        <v>0</v>
      </c>
      <c r="V330" s="121">
        <f>MouserListTable1218[[#This Row],['#/Unit]]*FilterSpecs!$C$3+MouserListTable1218[[#This Row],[Extra]]</f>
        <v>5</v>
      </c>
      <c r="W330" s="121">
        <f>IF(MouserListTable1218[[#This Row],[Tag]]=FilterSpecs!$F$7,MouserListTable1218[[#This Row],[Price (USD)]],0)</f>
        <v>1.95</v>
      </c>
      <c r="X330" s="121">
        <f>MouserListTable1218[[#This Row],[Tot '#]]*MouserListTable1218[[#This Row],[Price (USD)]]</f>
        <v>9.75</v>
      </c>
    </row>
    <row r="331" spans="1:24" s="146" customFormat="1" x14ac:dyDescent="0.3">
      <c r="A331" s="103" t="s">
        <v>897</v>
      </c>
      <c r="B331" s="103" t="s">
        <v>891</v>
      </c>
      <c r="C331" s="103" t="s">
        <v>8</v>
      </c>
      <c r="D331" s="106" t="str">
        <f>IF(MouserListTable1218[[#This Row],[Vendor]]=FilterSpecs!$A$8,MouserListTable1218[[#This Row],[Mouser SKU]], MouserListTable1218[[#This Row],[Supplier SKU]])</f>
        <v>COM-10440</v>
      </c>
      <c r="E331" s="121">
        <f>MouserListTable1218[[#This Row],[Tot '#]]-MouserListTable1218[[#This Row],['# Initial]]</f>
        <v>0</v>
      </c>
      <c r="F331" s="121">
        <f>MouserListTable1218[[#This Row],['#/Unit]]*FilterSpecs!$B$3+MouserListTable1218[[#This Row],[Extra Initial]]</f>
        <v>5</v>
      </c>
      <c r="G331" s="103" t="s">
        <v>608</v>
      </c>
      <c r="H331" s="103" t="s">
        <v>609</v>
      </c>
      <c r="I331" s="103" t="s">
        <v>610</v>
      </c>
      <c r="J331" s="103"/>
      <c r="K331" s="157">
        <v>1.95</v>
      </c>
      <c r="L331" s="103" t="s">
        <v>1911</v>
      </c>
      <c r="M331" s="103"/>
      <c r="N331" s="157">
        <f>MouserListTable1218[[#This Row],['# Initial]]*MouserListTable1218[[#This Row],[Price (USD)]]</f>
        <v>9.75</v>
      </c>
      <c r="O331" s="106" t="s">
        <v>607</v>
      </c>
      <c r="P331" s="103">
        <f t="shared" si="5"/>
        <v>312</v>
      </c>
      <c r="Q331" s="103" t="s">
        <v>8</v>
      </c>
      <c r="R33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474-COM-10440</v>
      </c>
      <c r="S331" s="121">
        <v>1</v>
      </c>
      <c r="T331" s="121">
        <v>0</v>
      </c>
      <c r="U331" s="121">
        <v>0</v>
      </c>
      <c r="V331" s="121">
        <f>MouserListTable1218[[#This Row],['#/Unit]]*FilterSpecs!$C$3+MouserListTable1218[[#This Row],[Extra]]</f>
        <v>5</v>
      </c>
      <c r="W331" s="121">
        <f>IF(MouserListTable1218[[#This Row],[Tag]]=FilterSpecs!$F$7,MouserListTable1218[[#This Row],[Price (USD)]],0)</f>
        <v>1.95</v>
      </c>
      <c r="X331" s="121">
        <f>MouserListTable1218[[#This Row],[Tot '#]]*MouserListTable1218[[#This Row],[Price (USD)]]</f>
        <v>9.75</v>
      </c>
    </row>
    <row r="332" spans="1:24" s="146" customFormat="1" x14ac:dyDescent="0.3">
      <c r="A332" s="103" t="s">
        <v>897</v>
      </c>
      <c r="B332" s="103" t="s">
        <v>891</v>
      </c>
      <c r="C332" s="103" t="s">
        <v>8</v>
      </c>
      <c r="D332" s="106" t="str">
        <f>IF(MouserListTable1218[[#This Row],[Vendor]]=FilterSpecs!$A$8,MouserListTable1218[[#This Row],[Mouser SKU]], MouserListTable1218[[#This Row],[Supplier SKU]])</f>
        <v>COM-10442</v>
      </c>
      <c r="E332" s="121">
        <f>MouserListTable1218[[#This Row],[Tot '#]]-MouserListTable1218[[#This Row],['# Initial]]</f>
        <v>0</v>
      </c>
      <c r="F332" s="121">
        <f>MouserListTable1218[[#This Row],['#/Unit]]*FilterSpecs!$B$3+MouserListTable1218[[#This Row],[Extra Initial]]</f>
        <v>5</v>
      </c>
      <c r="G332" s="103" t="s">
        <v>1299</v>
      </c>
      <c r="H332" s="103" t="s">
        <v>1300</v>
      </c>
      <c r="I332" s="103" t="s">
        <v>1294</v>
      </c>
      <c r="J332" s="103"/>
      <c r="K332" s="157">
        <v>1.95</v>
      </c>
      <c r="L332" s="103" t="s">
        <v>1911</v>
      </c>
      <c r="M332" s="103"/>
      <c r="N332" s="157">
        <f>MouserListTable1218[[#This Row],['# Initial]]*MouserListTable1218[[#This Row],[Price (USD)]]</f>
        <v>9.75</v>
      </c>
      <c r="O332" s="106" t="s">
        <v>1293</v>
      </c>
      <c r="P332" s="103">
        <f t="shared" si="5"/>
        <v>313</v>
      </c>
      <c r="Q332" s="103" t="s">
        <v>8</v>
      </c>
      <c r="R33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474-COM-10442</v>
      </c>
      <c r="S332" s="121">
        <v>1</v>
      </c>
      <c r="T332" s="121">
        <v>0</v>
      </c>
      <c r="U332" s="121">
        <v>0</v>
      </c>
      <c r="V332" s="121">
        <f>MouserListTable1218[[#This Row],['#/Unit]]*FilterSpecs!$C$3+MouserListTable1218[[#This Row],[Extra]]</f>
        <v>5</v>
      </c>
      <c r="W332" s="121">
        <f>IF(MouserListTable1218[[#This Row],[Tag]]=FilterSpecs!$F$7,MouserListTable1218[[#This Row],[Price (USD)]],0)</f>
        <v>1.95</v>
      </c>
      <c r="X332" s="121">
        <f>MouserListTable1218[[#This Row],[Tot '#]]*MouserListTable1218[[#This Row],[Price (USD)]]</f>
        <v>9.75</v>
      </c>
    </row>
    <row r="333" spans="1:24" s="144" customFormat="1" x14ac:dyDescent="0.3">
      <c r="A333" s="126" t="s">
        <v>897</v>
      </c>
      <c r="B333" s="126" t="s">
        <v>891</v>
      </c>
      <c r="C333" s="126" t="s">
        <v>8</v>
      </c>
      <c r="D333" s="106" t="str">
        <f>IF(MouserListTable1218[[#This Row],[Vendor]]=FilterSpecs!$A$8,MouserListTable1218[[#This Row],[Mouser SKU]], MouserListTable1218[[#This Row],[Supplier SKU]])</f>
        <v>COM-10441</v>
      </c>
      <c r="E333" s="121">
        <f>MouserListTable1218[[#This Row],[Tot '#]]-MouserListTable1218[[#This Row],['# Initial]]</f>
        <v>0</v>
      </c>
      <c r="F333" s="121">
        <f>MouserListTable1218[[#This Row],['#/Unit]]*FilterSpecs!$B$3+MouserListTable1218[[#This Row],[Extra Initial]]</f>
        <v>0</v>
      </c>
      <c r="G333" s="103" t="s">
        <v>1710</v>
      </c>
      <c r="H333" s="103" t="s">
        <v>1711</v>
      </c>
      <c r="I333" s="103" t="s">
        <v>1712</v>
      </c>
      <c r="J333" s="103"/>
      <c r="K333" s="157">
        <v>1.95</v>
      </c>
      <c r="L333" s="103" t="s">
        <v>1910</v>
      </c>
      <c r="M333" s="103"/>
      <c r="N333" s="157">
        <f>MouserListTable1218[[#This Row],['# Initial]]*MouserListTable1218[[#This Row],[Price (USD)]]</f>
        <v>0</v>
      </c>
      <c r="O333" s="106" t="s">
        <v>1709</v>
      </c>
      <c r="P333" s="103">
        <f t="shared" si="5"/>
        <v>314</v>
      </c>
      <c r="Q333" s="103" t="s">
        <v>8</v>
      </c>
      <c r="R33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474-COM-10441</v>
      </c>
      <c r="S333" s="121">
        <v>0</v>
      </c>
      <c r="T333" s="121">
        <v>0</v>
      </c>
      <c r="U333" s="121">
        <v>0</v>
      </c>
      <c r="V333" s="121">
        <f>MouserListTable1218[[#This Row],['#/Unit]]*FilterSpecs!$C$3+MouserListTable1218[[#This Row],[Extra]]</f>
        <v>0</v>
      </c>
      <c r="W333" s="121">
        <f>IF(MouserListTable1218[[#This Row],[Tag]]=FilterSpecs!$F$7,MouserListTable1218[[#This Row],[Price (USD)]],0)</f>
        <v>0</v>
      </c>
      <c r="X333" s="121">
        <f>MouserListTable1218[[#This Row],[Tot '#]]*MouserListTable1218[[#This Row],[Price (USD)]]</f>
        <v>0</v>
      </c>
    </row>
    <row r="334" spans="1:24" s="144" customFormat="1" x14ac:dyDescent="0.3">
      <c r="A334" s="103" t="s">
        <v>897</v>
      </c>
      <c r="B334" s="103" t="s">
        <v>891</v>
      </c>
      <c r="C334" s="103" t="s">
        <v>8</v>
      </c>
      <c r="D334" s="106" t="str">
        <f>IF(MouserListTable1218[[#This Row],[Vendor]]=FilterSpecs!$A$8,MouserListTable1218[[#This Row],[Mouser SKU]], MouserListTable1218[[#This Row],[Supplier SKU]])</f>
        <v>COM-10439</v>
      </c>
      <c r="E334" s="121">
        <f>MouserListTable1218[[#This Row],[Tot '#]]-MouserListTable1218[[#This Row],['# Initial]]</f>
        <v>1</v>
      </c>
      <c r="F334" s="121">
        <f>MouserListTable1218[[#This Row],['#/Unit]]*FilterSpecs!$B$3+MouserListTable1218[[#This Row],[Extra Initial]]</f>
        <v>0</v>
      </c>
      <c r="G334" s="103" t="s">
        <v>1714</v>
      </c>
      <c r="H334" s="103" t="s">
        <v>1715</v>
      </c>
      <c r="I334" s="103" t="s">
        <v>1716</v>
      </c>
      <c r="J334" s="103"/>
      <c r="K334" s="157">
        <v>1.95</v>
      </c>
      <c r="L334" s="103" t="s">
        <v>1910</v>
      </c>
      <c r="M334" s="103"/>
      <c r="N334" s="157">
        <f>MouserListTable1218[[#This Row],['# Initial]]*MouserListTable1218[[#This Row],[Price (USD)]]</f>
        <v>0</v>
      </c>
      <c r="O334" s="106" t="s">
        <v>1713</v>
      </c>
      <c r="P334" s="103">
        <f t="shared" ref="P334:P397" si="6">IF($P333="List #",1,$P333+1)</f>
        <v>315</v>
      </c>
      <c r="Q334" s="103" t="s">
        <v>8</v>
      </c>
      <c r="R33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474-COM-10439</v>
      </c>
      <c r="S334" s="121">
        <v>0</v>
      </c>
      <c r="T334" s="121">
        <v>1</v>
      </c>
      <c r="U334" s="121">
        <v>0</v>
      </c>
      <c r="V334" s="121">
        <f>MouserListTable1218[[#This Row],['#/Unit]]*FilterSpecs!$C$3+MouserListTable1218[[#This Row],[Extra]]</f>
        <v>1</v>
      </c>
      <c r="W334" s="121">
        <f>IF(MouserListTable1218[[#This Row],[Tag]]=FilterSpecs!$F$7,MouserListTable1218[[#This Row],[Price (USD)]],0)</f>
        <v>0</v>
      </c>
      <c r="X334" s="121">
        <f>MouserListTable1218[[#This Row],[Tot '#]]*MouserListTable1218[[#This Row],[Price (USD)]]</f>
        <v>1.95</v>
      </c>
    </row>
    <row r="335" spans="1:24" s="144" customFormat="1" x14ac:dyDescent="0.3">
      <c r="A335" s="103" t="s">
        <v>897</v>
      </c>
      <c r="B335" s="103" t="s">
        <v>891</v>
      </c>
      <c r="C335" s="103" t="s">
        <v>1898</v>
      </c>
      <c r="D335" s="106" t="str">
        <f>IF(MouserListTable1218[[#This Row],[Vendor]]=FilterSpecs!$A$8,MouserListTable1218[[#This Row],[Mouser SKU]], MouserListTable1218[[#This Row],[Supplier SKU]])</f>
        <v>1119</v>
      </c>
      <c r="E335" s="121">
        <f>MouserListTable1218[[#This Row],[Tot '#]]-MouserListTable1218[[#This Row],['# Initial]]</f>
        <v>0</v>
      </c>
      <c r="F335" s="121">
        <f>MouserListTable1218[[#This Row],['#/Unit]]*FilterSpecs!$B$3+MouserListTable1218[[#This Row],[Extra Initial]]</f>
        <v>0</v>
      </c>
      <c r="G335" s="103"/>
      <c r="H335" s="103"/>
      <c r="I335" s="126" t="s">
        <v>2137</v>
      </c>
      <c r="J335" s="146"/>
      <c r="K335" s="158">
        <v>2.5</v>
      </c>
      <c r="L335" s="126" t="s">
        <v>1910</v>
      </c>
      <c r="M335" s="146"/>
      <c r="N335" s="157">
        <f>MouserListTable1218[[#This Row],['# Initial]]*MouserListTable1218[[#This Row],[Price (USD)]]</f>
        <v>0</v>
      </c>
      <c r="O335" s="106" t="s">
        <v>2136</v>
      </c>
      <c r="P335" s="103">
        <f t="shared" si="6"/>
        <v>316</v>
      </c>
      <c r="Q335" s="103" t="s">
        <v>1898</v>
      </c>
      <c r="R33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485-1119</v>
      </c>
      <c r="S335" s="121">
        <v>0</v>
      </c>
      <c r="T335" s="121">
        <v>0</v>
      </c>
      <c r="U335" s="121">
        <v>0</v>
      </c>
      <c r="V335" s="121">
        <f>MouserListTable1218[[#This Row],['#/Unit]]*FilterSpecs!$C$3+MouserListTable1218[[#This Row],[Extra]]</f>
        <v>0</v>
      </c>
      <c r="W335" s="121">
        <f>IF(MouserListTable1218[[#This Row],[Tag]]=FilterSpecs!$F$7,MouserListTable1218[[#This Row],[Price (USD)]],0)</f>
        <v>0</v>
      </c>
      <c r="X335" s="121">
        <f>MouserListTable1218[[#This Row],[Tot '#]]*MouserListTable1218[[#This Row],[Price (USD)]]</f>
        <v>0</v>
      </c>
    </row>
    <row r="336" spans="1:24" s="144" customFormat="1" x14ac:dyDescent="0.3">
      <c r="A336" s="103" t="s">
        <v>897</v>
      </c>
      <c r="B336" s="103" t="s">
        <v>891</v>
      </c>
      <c r="C336" s="103" t="s">
        <v>8</v>
      </c>
      <c r="D336" s="106" t="str">
        <f>IF(MouserListTable1218[[#This Row],[Vendor]]=FilterSpecs!$A$8,MouserListTable1218[[#This Row],[Mouser SKU]], MouserListTable1218[[#This Row],[Supplier SKU]])</f>
        <v>COM-00097</v>
      </c>
      <c r="E336" s="121">
        <f>MouserListTable1218[[#This Row],[Tot '#]]-MouserListTable1218[[#This Row],['# Initial]]</f>
        <v>0</v>
      </c>
      <c r="F336" s="121">
        <f>MouserListTable1218[[#This Row],['#/Unit]]*FilterSpecs!$B$3+MouserListTable1218[[#This Row],[Extra Initial]]</f>
        <v>5</v>
      </c>
      <c r="G336" s="103" t="s">
        <v>616</v>
      </c>
      <c r="H336" s="103" t="s">
        <v>617</v>
      </c>
      <c r="I336" s="103" t="s">
        <v>618</v>
      </c>
      <c r="J336" s="103">
        <v>1</v>
      </c>
      <c r="K336" s="157">
        <v>0.35</v>
      </c>
      <c r="L336" s="103" t="s">
        <v>1911</v>
      </c>
      <c r="M336" s="103"/>
      <c r="N336" s="157">
        <f>MouserListTable1218[[#This Row],['# Initial]]*MouserListTable1218[[#This Row],[Price (USD)]]</f>
        <v>1.75</v>
      </c>
      <c r="O336" s="106" t="s">
        <v>615</v>
      </c>
      <c r="P336" s="103">
        <f t="shared" si="6"/>
        <v>317</v>
      </c>
      <c r="Q336" s="103" t="s">
        <v>8</v>
      </c>
      <c r="R33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474-COM-00097</v>
      </c>
      <c r="S336" s="121">
        <v>1</v>
      </c>
      <c r="T336" s="121">
        <v>0</v>
      </c>
      <c r="U336" s="121">
        <v>0</v>
      </c>
      <c r="V336" s="121">
        <f>MouserListTable1218[[#This Row],['#/Unit]]*FilterSpecs!$C$3+MouserListTable1218[[#This Row],[Extra]]</f>
        <v>5</v>
      </c>
      <c r="W336" s="121">
        <f>IF(MouserListTable1218[[#This Row],[Tag]]=FilterSpecs!$F$7,MouserListTable1218[[#This Row],[Price (USD)]],0)</f>
        <v>0.35</v>
      </c>
      <c r="X336" s="121">
        <f>MouserListTable1218[[#This Row],[Tot '#]]*MouserListTable1218[[#This Row],[Price (USD)]]</f>
        <v>1.75</v>
      </c>
    </row>
    <row r="337" spans="1:24" s="144" customFormat="1" x14ac:dyDescent="0.3">
      <c r="A337" s="103" t="s">
        <v>897</v>
      </c>
      <c r="B337" s="103" t="s">
        <v>891</v>
      </c>
      <c r="C337" s="103" t="s">
        <v>8</v>
      </c>
      <c r="D337" s="106" t="str">
        <f>IF(MouserListTable1218[[#This Row],[Vendor]]=FilterSpecs!$A$8,MouserListTable1218[[#This Row],[Mouser SKU]], MouserListTable1218[[#This Row],[Supplier SKU]])</f>
        <v>COM-08605</v>
      </c>
      <c r="E337" s="121">
        <f>MouserListTable1218[[#This Row],[Tot '#]]-MouserListTable1218[[#This Row],['# Initial]]</f>
        <v>0</v>
      </c>
      <c r="F337" s="121">
        <f>MouserListTable1218[[#This Row],['#/Unit]]*FilterSpecs!$B$3+MouserListTable1218[[#This Row],[Extra Initial]]</f>
        <v>5</v>
      </c>
      <c r="G337" s="103" t="s">
        <v>628</v>
      </c>
      <c r="H337" s="103" t="s">
        <v>629</v>
      </c>
      <c r="I337" s="103" t="s">
        <v>630</v>
      </c>
      <c r="J337" s="103">
        <v>1</v>
      </c>
      <c r="K337" s="157">
        <v>0.5</v>
      </c>
      <c r="L337" s="103" t="s">
        <v>1911</v>
      </c>
      <c r="M337" s="103"/>
      <c r="N337" s="157">
        <f>MouserListTable1218[[#This Row],['# Initial]]*MouserListTable1218[[#This Row],[Price (USD)]]</f>
        <v>2.5</v>
      </c>
      <c r="O337" s="106" t="s">
        <v>627</v>
      </c>
      <c r="P337" s="103">
        <f t="shared" si="6"/>
        <v>318</v>
      </c>
      <c r="Q337" s="103" t="s">
        <v>8</v>
      </c>
      <c r="R33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474-COM-08605</v>
      </c>
      <c r="S337" s="121">
        <v>1</v>
      </c>
      <c r="T337" s="121">
        <v>0</v>
      </c>
      <c r="U337" s="121">
        <v>0</v>
      </c>
      <c r="V337" s="121">
        <f>MouserListTable1218[[#This Row],['#/Unit]]*FilterSpecs!$C$3+MouserListTable1218[[#This Row],[Extra]]</f>
        <v>5</v>
      </c>
      <c r="W337" s="121">
        <f>IF(MouserListTable1218[[#This Row],[Tag]]=FilterSpecs!$F$7,MouserListTable1218[[#This Row],[Price (USD)]],0)</f>
        <v>0.5</v>
      </c>
      <c r="X337" s="121">
        <f>MouserListTable1218[[#This Row],[Tot '#]]*MouserListTable1218[[#This Row],[Price (USD)]]</f>
        <v>2.5</v>
      </c>
    </row>
    <row r="338" spans="1:24" s="144" customFormat="1" x14ac:dyDescent="0.3">
      <c r="A338" s="103" t="s">
        <v>897</v>
      </c>
      <c r="B338" s="103" t="s">
        <v>891</v>
      </c>
      <c r="C338" s="103" t="s">
        <v>8</v>
      </c>
      <c r="D338" s="106" t="str">
        <f>IF(MouserListTable1218[[#This Row],[Vendor]]=FilterSpecs!$A$8,MouserListTable1218[[#This Row],[Mouser SKU]], MouserListTable1218[[#This Row],[Supplier SKU]])</f>
        <v>COM-09190</v>
      </c>
      <c r="E338" s="121">
        <f>MouserListTable1218[[#This Row],[Tot '#]]-MouserListTable1218[[#This Row],['# Initial]]</f>
        <v>0</v>
      </c>
      <c r="F338" s="121">
        <f>MouserListTable1218[[#This Row],['#/Unit]]*FilterSpecs!$B$3+MouserListTable1218[[#This Row],[Extra Initial]]</f>
        <v>5</v>
      </c>
      <c r="G338" s="103" t="s">
        <v>624</v>
      </c>
      <c r="H338" s="103" t="s">
        <v>625</v>
      </c>
      <c r="I338" s="103" t="s">
        <v>626</v>
      </c>
      <c r="J338" s="103">
        <v>1</v>
      </c>
      <c r="K338" s="157">
        <v>0.5</v>
      </c>
      <c r="L338" s="103" t="s">
        <v>1911</v>
      </c>
      <c r="M338" s="103"/>
      <c r="N338" s="157">
        <f>MouserListTable1218[[#This Row],['# Initial]]*MouserListTable1218[[#This Row],[Price (USD)]]</f>
        <v>2.5</v>
      </c>
      <c r="O338" s="106" t="s">
        <v>623</v>
      </c>
      <c r="P338" s="103">
        <f t="shared" si="6"/>
        <v>319</v>
      </c>
      <c r="Q338" s="103" t="s">
        <v>8</v>
      </c>
      <c r="R33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474-COM-09190</v>
      </c>
      <c r="S338" s="121">
        <v>1</v>
      </c>
      <c r="T338" s="121">
        <v>0</v>
      </c>
      <c r="U338" s="121">
        <v>0</v>
      </c>
      <c r="V338" s="121">
        <f>MouserListTable1218[[#This Row],['#/Unit]]*FilterSpecs!$C$3+MouserListTable1218[[#This Row],[Extra]]</f>
        <v>5</v>
      </c>
      <c r="W338" s="121">
        <f>IF(MouserListTable1218[[#This Row],[Tag]]=FilterSpecs!$F$7,MouserListTable1218[[#This Row],[Price (USD)]],0)</f>
        <v>0.5</v>
      </c>
      <c r="X338" s="121">
        <f>MouserListTable1218[[#This Row],[Tot '#]]*MouserListTable1218[[#This Row],[Price (USD)]]</f>
        <v>2.5</v>
      </c>
    </row>
    <row r="339" spans="1:24" s="144" customFormat="1" x14ac:dyDescent="0.3">
      <c r="A339" s="103" t="s">
        <v>897</v>
      </c>
      <c r="B339" s="103" t="s">
        <v>891</v>
      </c>
      <c r="C339" s="103" t="s">
        <v>1898</v>
      </c>
      <c r="D339" s="106" t="str">
        <f>IF(MouserListTable1218[[#This Row],[Vendor]]=FilterSpecs!$A$8,MouserListTable1218[[#This Row],[Mouser SKU]], MouserListTable1218[[#This Row],[Supplier SKU]])</f>
        <v>3105</v>
      </c>
      <c r="E339" s="121">
        <f>MouserListTable1218[[#This Row],[Tot '#]]-MouserListTable1218[[#This Row],['# Initial]]</f>
        <v>0</v>
      </c>
      <c r="F339" s="121">
        <f>MouserListTable1218[[#This Row],['#/Unit]]*FilterSpecs!$B$3+MouserListTable1218[[#This Row],[Extra Initial]]</f>
        <v>0</v>
      </c>
      <c r="G339" s="103"/>
      <c r="H339" s="103"/>
      <c r="I339" s="126" t="s">
        <v>2125</v>
      </c>
      <c r="J339" s="146"/>
      <c r="K339" s="158">
        <v>1.95</v>
      </c>
      <c r="L339" s="126" t="s">
        <v>1910</v>
      </c>
      <c r="M339" s="146"/>
      <c r="N339" s="157">
        <f>MouserListTable1218[[#This Row],['# Initial]]*MouserListTable1218[[#This Row],[Price (USD)]]</f>
        <v>0</v>
      </c>
      <c r="O339" s="106" t="s">
        <v>2124</v>
      </c>
      <c r="P339" s="103">
        <f t="shared" si="6"/>
        <v>320</v>
      </c>
      <c r="Q339" s="103" t="s">
        <v>1898</v>
      </c>
      <c r="R33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485-3105</v>
      </c>
      <c r="S339" s="121">
        <v>0</v>
      </c>
      <c r="T339" s="121">
        <v>0</v>
      </c>
      <c r="U339" s="121">
        <v>0</v>
      </c>
      <c r="V339" s="121">
        <f>MouserListTable1218[[#This Row],['#/Unit]]*FilterSpecs!$C$3+MouserListTable1218[[#This Row],[Extra]]</f>
        <v>0</v>
      </c>
      <c r="W339" s="121">
        <f>IF(MouserListTable1218[[#This Row],[Tag]]=FilterSpecs!$F$7,MouserListTable1218[[#This Row],[Price (USD)]],0)</f>
        <v>0</v>
      </c>
      <c r="X339" s="121">
        <f>MouserListTable1218[[#This Row],[Tot '#]]*MouserListTable1218[[#This Row],[Price (USD)]]</f>
        <v>0</v>
      </c>
    </row>
    <row r="340" spans="1:24" s="146" customFormat="1" x14ac:dyDescent="0.3">
      <c r="A340" s="103" t="s">
        <v>897</v>
      </c>
      <c r="B340" s="103" t="s">
        <v>891</v>
      </c>
      <c r="C340" s="103" t="s">
        <v>1898</v>
      </c>
      <c r="D340" s="106" t="str">
        <f>IF(MouserListTable1218[[#This Row],[Vendor]]=FilterSpecs!$A$8,MouserListTable1218[[#This Row],[Mouser SKU]], MouserListTable1218[[#This Row],[Supplier SKU]])</f>
        <v>3104</v>
      </c>
      <c r="E340" s="121">
        <f>MouserListTable1218[[#This Row],[Tot '#]]-MouserListTable1218[[#This Row],['# Initial]]</f>
        <v>0</v>
      </c>
      <c r="F340" s="121">
        <f>MouserListTable1218[[#This Row],['#/Unit]]*FilterSpecs!$B$3+MouserListTable1218[[#This Row],[Extra Initial]]</f>
        <v>0</v>
      </c>
      <c r="G340" s="103"/>
      <c r="H340" s="103"/>
      <c r="I340" s="126" t="s">
        <v>2127</v>
      </c>
      <c r="K340" s="158">
        <v>1.95</v>
      </c>
      <c r="L340" s="126" t="s">
        <v>1910</v>
      </c>
      <c r="N340" s="157">
        <f>MouserListTable1218[[#This Row],['# Initial]]*MouserListTable1218[[#This Row],[Price (USD)]]</f>
        <v>0</v>
      </c>
      <c r="O340" s="106" t="s">
        <v>2126</v>
      </c>
      <c r="P340" s="103">
        <f t="shared" si="6"/>
        <v>321</v>
      </c>
      <c r="Q340" s="103" t="s">
        <v>1898</v>
      </c>
      <c r="R34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485-3104</v>
      </c>
      <c r="S340" s="121">
        <v>0</v>
      </c>
      <c r="T340" s="121">
        <v>0</v>
      </c>
      <c r="U340" s="121">
        <v>0</v>
      </c>
      <c r="V340" s="121">
        <f>MouserListTable1218[[#This Row],['#/Unit]]*FilterSpecs!$C$3+MouserListTable1218[[#This Row],[Extra]]</f>
        <v>0</v>
      </c>
      <c r="W340" s="121">
        <f>IF(MouserListTable1218[[#This Row],[Tag]]=FilterSpecs!$F$7,MouserListTable1218[[#This Row],[Price (USD)]],0)</f>
        <v>0</v>
      </c>
      <c r="X340" s="121">
        <f>MouserListTable1218[[#This Row],[Tot '#]]*MouserListTable1218[[#This Row],[Price (USD)]]</f>
        <v>0</v>
      </c>
    </row>
    <row r="341" spans="1:24" s="146" customFormat="1" x14ac:dyDescent="0.3">
      <c r="A341" s="103" t="s">
        <v>897</v>
      </c>
      <c r="B341" s="103" t="s">
        <v>891</v>
      </c>
      <c r="C341" s="103" t="s">
        <v>8</v>
      </c>
      <c r="D341" s="106" t="str">
        <f>IF(MouserListTable1218[[#This Row],[Vendor]]=FilterSpecs!$A$8,MouserListTable1218[[#This Row],[Mouser SKU]], MouserListTable1218[[#This Row],[Supplier SKU]])</f>
        <v>COM-10791</v>
      </c>
      <c r="E341" s="121">
        <f>MouserListTable1218[[#This Row],[Tot '#]]-MouserListTable1218[[#This Row],['# Initial]]</f>
        <v>0</v>
      </c>
      <c r="F341" s="121">
        <f>MouserListTable1218[[#This Row],['#/Unit]]*FilterSpecs!$B$3+MouserListTable1218[[#This Row],[Extra Initial]]</f>
        <v>5</v>
      </c>
      <c r="G341" s="103" t="s">
        <v>620</v>
      </c>
      <c r="H341" s="103" t="s">
        <v>621</v>
      </c>
      <c r="I341" s="103" t="s">
        <v>622</v>
      </c>
      <c r="J341" s="103">
        <v>1</v>
      </c>
      <c r="K341" s="157">
        <v>0.5</v>
      </c>
      <c r="L341" s="103" t="s">
        <v>1911</v>
      </c>
      <c r="M341" s="103"/>
      <c r="N341" s="157">
        <f>MouserListTable1218[[#This Row],['# Initial]]*MouserListTable1218[[#This Row],[Price (USD)]]</f>
        <v>2.5</v>
      </c>
      <c r="O341" s="106" t="s">
        <v>619</v>
      </c>
      <c r="P341" s="103">
        <f t="shared" si="6"/>
        <v>322</v>
      </c>
      <c r="Q341" s="103" t="s">
        <v>8</v>
      </c>
      <c r="R34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474-COM-10791</v>
      </c>
      <c r="S341" s="121">
        <v>1</v>
      </c>
      <c r="T341" s="121">
        <v>0</v>
      </c>
      <c r="U341" s="121">
        <v>0</v>
      </c>
      <c r="V341" s="121">
        <f>MouserListTable1218[[#This Row],['#/Unit]]*FilterSpecs!$C$3+MouserListTable1218[[#This Row],[Extra]]</f>
        <v>5</v>
      </c>
      <c r="W341" s="121">
        <f>IF(MouserListTable1218[[#This Row],[Tag]]=FilterSpecs!$F$7,MouserListTable1218[[#This Row],[Price (USD)]],0)</f>
        <v>0.5</v>
      </c>
      <c r="X341" s="121">
        <f>MouserListTable1218[[#This Row],[Tot '#]]*MouserListTable1218[[#This Row],[Price (USD)]]</f>
        <v>2.5</v>
      </c>
    </row>
    <row r="342" spans="1:24" s="146" customFormat="1" x14ac:dyDescent="0.3">
      <c r="A342" s="103" t="s">
        <v>897</v>
      </c>
      <c r="B342" s="103" t="s">
        <v>891</v>
      </c>
      <c r="C342" s="103" t="s">
        <v>8</v>
      </c>
      <c r="D342" s="106" t="str">
        <f>IF(MouserListTable1218[[#This Row],[Vendor]]=FilterSpecs!$A$8,MouserListTable1218[[#This Row],[Mouser SKU]], MouserListTable1218[[#This Row],[Supplier SKU]])</f>
        <v>COM-08837</v>
      </c>
      <c r="E342" s="121">
        <f>MouserListTable1218[[#This Row],[Tot '#]]-MouserListTable1218[[#This Row],['# Initial]]</f>
        <v>2</v>
      </c>
      <c r="F342" s="121">
        <f>MouserListTable1218[[#This Row],['#/Unit]]*FilterSpecs!$B$3+MouserListTable1218[[#This Row],[Extra Initial]]</f>
        <v>5</v>
      </c>
      <c r="G342" s="103" t="s">
        <v>532</v>
      </c>
      <c r="H342" s="103" t="s">
        <v>533</v>
      </c>
      <c r="I342" s="103" t="s">
        <v>534</v>
      </c>
      <c r="J342" s="103">
        <v>1</v>
      </c>
      <c r="K342" s="157">
        <v>0.95</v>
      </c>
      <c r="L342" s="106" t="s">
        <v>1911</v>
      </c>
      <c r="M342" s="103"/>
      <c r="N342" s="157">
        <f>MouserListTable1218[[#This Row],['# Initial]]*MouserListTable1218[[#This Row],[Price (USD)]]</f>
        <v>4.75</v>
      </c>
      <c r="O342" s="106" t="s">
        <v>531</v>
      </c>
      <c r="P342" s="103">
        <f t="shared" si="6"/>
        <v>323</v>
      </c>
      <c r="Q342" s="103" t="s">
        <v>8</v>
      </c>
      <c r="R34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474-COM-08837</v>
      </c>
      <c r="S342" s="121">
        <v>1</v>
      </c>
      <c r="T342" s="121">
        <v>2</v>
      </c>
      <c r="U342" s="121">
        <v>0</v>
      </c>
      <c r="V342" s="121">
        <f>MouserListTable1218[[#This Row],['#/Unit]]*FilterSpecs!$C$3+MouserListTable1218[[#This Row],[Extra]]</f>
        <v>7</v>
      </c>
      <c r="W342" s="121">
        <f>IF(MouserListTable1218[[#This Row],[Tag]]=FilterSpecs!$F$7,MouserListTable1218[[#This Row],[Price (USD)]],0)</f>
        <v>0.95</v>
      </c>
      <c r="X342" s="121">
        <f>MouserListTable1218[[#This Row],[Tot '#]]*MouserListTable1218[[#This Row],[Price (USD)]]</f>
        <v>6.6499999999999995</v>
      </c>
    </row>
    <row r="343" spans="1:24" s="146" customFormat="1" x14ac:dyDescent="0.3">
      <c r="A343" s="103" t="s">
        <v>897</v>
      </c>
      <c r="B343" s="103" t="s">
        <v>891</v>
      </c>
      <c r="C343" s="103" t="s">
        <v>8</v>
      </c>
      <c r="D343" s="106" t="str">
        <f>IF(MouserListTable1218[[#This Row],[Vendor]]=FilterSpecs!$A$8,MouserListTable1218[[#This Row],[Mouser SKU]], MouserListTable1218[[#This Row],[Supplier SKU]])</f>
        <v>COM-00102</v>
      </c>
      <c r="E343" s="121">
        <f>MouserListTable1218[[#This Row],[Tot '#]]-MouserListTable1218[[#This Row],['# Initial]]</f>
        <v>0</v>
      </c>
      <c r="F343" s="121">
        <f>MouserListTable1218[[#This Row],['#/Unit]]*FilterSpecs!$B$3+MouserListTable1218[[#This Row],[Extra Initial]]</f>
        <v>5</v>
      </c>
      <c r="G343" s="103" t="s">
        <v>632</v>
      </c>
      <c r="H343" s="103" t="s">
        <v>633</v>
      </c>
      <c r="I343" s="103" t="s">
        <v>2579</v>
      </c>
      <c r="J343" s="103">
        <v>1</v>
      </c>
      <c r="K343" s="157">
        <v>1.5</v>
      </c>
      <c r="L343" s="103" t="s">
        <v>1911</v>
      </c>
      <c r="M343" s="103"/>
      <c r="N343" s="157">
        <f>MouserListTable1218[[#This Row],['# Initial]]*MouserListTable1218[[#This Row],[Price (USD)]]</f>
        <v>7.5</v>
      </c>
      <c r="O343" s="106" t="s">
        <v>631</v>
      </c>
      <c r="P343" s="103">
        <f t="shared" si="6"/>
        <v>324</v>
      </c>
      <c r="Q343" s="103" t="s">
        <v>8</v>
      </c>
      <c r="R34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474-COM-00102</v>
      </c>
      <c r="S343" s="121">
        <v>1</v>
      </c>
      <c r="T343" s="121">
        <v>0</v>
      </c>
      <c r="U343" s="121">
        <v>0</v>
      </c>
      <c r="V343" s="121">
        <f>MouserListTable1218[[#This Row],['#/Unit]]*FilterSpecs!$C$3+MouserListTable1218[[#This Row],[Extra]]</f>
        <v>5</v>
      </c>
      <c r="W343" s="121">
        <f>IF(MouserListTable1218[[#This Row],[Tag]]=FilterSpecs!$F$7,MouserListTable1218[[#This Row],[Price (USD)]],0)</f>
        <v>1.5</v>
      </c>
      <c r="X343" s="121">
        <f>MouserListTable1218[[#This Row],[Tot '#]]*MouserListTable1218[[#This Row],[Price (USD)]]</f>
        <v>7.5</v>
      </c>
    </row>
    <row r="344" spans="1:24" s="146" customFormat="1" x14ac:dyDescent="0.3">
      <c r="A344" s="103" t="s">
        <v>897</v>
      </c>
      <c r="B344" s="103" t="s">
        <v>891</v>
      </c>
      <c r="C344" s="103" t="s">
        <v>8</v>
      </c>
      <c r="D344" s="106" t="str">
        <f>IF(MouserListTable1218[[#This Row],[Vendor]]=FilterSpecs!$A$8,MouserListTable1218[[#This Row],[Mouser SKU]], MouserListTable1218[[#This Row],[Supplier SKU]])</f>
        <v>COM-09609</v>
      </c>
      <c r="E344" s="121">
        <f>MouserListTable1218[[#This Row],[Tot '#]]-MouserListTable1218[[#This Row],['# Initial]]</f>
        <v>0</v>
      </c>
      <c r="F344" s="121">
        <f>MouserListTable1218[[#This Row],['#/Unit]]*FilterSpecs!$B$3+MouserListTable1218[[#This Row],[Extra Initial]]</f>
        <v>0</v>
      </c>
      <c r="G344" s="103" t="s">
        <v>1335</v>
      </c>
      <c r="H344" s="103" t="s">
        <v>1336</v>
      </c>
      <c r="I344" s="103" t="s">
        <v>1337</v>
      </c>
      <c r="J344" s="103">
        <v>1</v>
      </c>
      <c r="K344" s="157">
        <v>0.75</v>
      </c>
      <c r="L344" s="103" t="s">
        <v>1913</v>
      </c>
      <c r="M344" s="103"/>
      <c r="N344" s="157">
        <f>MouserListTable1218[[#This Row],['# Initial]]*MouserListTable1218[[#This Row],[Price (USD)]]</f>
        <v>0</v>
      </c>
      <c r="O344" s="106" t="s">
        <v>1334</v>
      </c>
      <c r="P344" s="103">
        <f t="shared" si="6"/>
        <v>325</v>
      </c>
      <c r="Q344" s="103" t="s">
        <v>8</v>
      </c>
      <c r="R34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474-COM-09609</v>
      </c>
      <c r="S344" s="121">
        <v>0</v>
      </c>
      <c r="T344" s="121">
        <v>0</v>
      </c>
      <c r="U344" s="121">
        <v>0</v>
      </c>
      <c r="V344" s="121">
        <f>MouserListTable1218[[#This Row],['#/Unit]]*FilterSpecs!$C$3+MouserListTable1218[[#This Row],[Extra]]</f>
        <v>0</v>
      </c>
      <c r="W344" s="121">
        <f>IF(MouserListTable1218[[#This Row],[Tag]]=FilterSpecs!$F$7,MouserListTable1218[[#This Row],[Price (USD)]],0)</f>
        <v>0</v>
      </c>
      <c r="X344" s="121">
        <f>MouserListTable1218[[#This Row],[Tot '#]]*MouserListTable1218[[#This Row],[Price (USD)]]</f>
        <v>0</v>
      </c>
    </row>
    <row r="345" spans="1:24" s="144" customFormat="1" x14ac:dyDescent="0.3">
      <c r="A345" s="103" t="s">
        <v>897</v>
      </c>
      <c r="B345" s="103" t="s">
        <v>891</v>
      </c>
      <c r="C345" s="103" t="s">
        <v>8</v>
      </c>
      <c r="D345" s="106" t="str">
        <f>IF(MouserListTable1218[[#This Row],[Vendor]]=FilterSpecs!$A$8,MouserListTable1218[[#This Row],[Mouser SKU]], MouserListTable1218[[#This Row],[Supplier SKU]])</f>
        <v>COM-13834</v>
      </c>
      <c r="E345" s="121">
        <f>MouserListTable1218[[#This Row],[Tot '#]]-MouserListTable1218[[#This Row],['# Initial]]</f>
        <v>1</v>
      </c>
      <c r="F345" s="121">
        <f>MouserListTable1218[[#This Row],['#/Unit]]*FilterSpecs!$B$3+MouserListTable1218[[#This Row],[Extra Initial]]</f>
        <v>0</v>
      </c>
      <c r="G345" s="103" t="s">
        <v>1678</v>
      </c>
      <c r="H345" s="103" t="s">
        <v>1679</v>
      </c>
      <c r="I345" s="103" t="s">
        <v>1680</v>
      </c>
      <c r="J345" s="103">
        <v>1</v>
      </c>
      <c r="K345" s="157">
        <v>0.95</v>
      </c>
      <c r="L345" s="103" t="s">
        <v>1910</v>
      </c>
      <c r="M345" s="103"/>
      <c r="N345" s="157">
        <f>MouserListTable1218[[#This Row],['# Initial]]*MouserListTable1218[[#This Row],[Price (USD)]]</f>
        <v>0</v>
      </c>
      <c r="O345" s="106" t="s">
        <v>1677</v>
      </c>
      <c r="P345" s="103">
        <f t="shared" si="6"/>
        <v>326</v>
      </c>
      <c r="Q345" s="103" t="s">
        <v>8</v>
      </c>
      <c r="R34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474-COM-13834</v>
      </c>
      <c r="S345" s="121">
        <v>0</v>
      </c>
      <c r="T345" s="121">
        <v>1</v>
      </c>
      <c r="U345" s="121">
        <v>0</v>
      </c>
      <c r="V345" s="121">
        <f>MouserListTable1218[[#This Row],['#/Unit]]*FilterSpecs!$C$3+MouserListTable1218[[#This Row],[Extra]]</f>
        <v>1</v>
      </c>
      <c r="W345" s="121">
        <f>IF(MouserListTable1218[[#This Row],[Tag]]=FilterSpecs!$F$7,MouserListTable1218[[#This Row],[Price (USD)]],0)</f>
        <v>0</v>
      </c>
      <c r="X345" s="121">
        <f>MouserListTable1218[[#This Row],[Tot '#]]*MouserListTable1218[[#This Row],[Price (USD)]]</f>
        <v>0.95</v>
      </c>
    </row>
    <row r="346" spans="1:24" s="144" customFormat="1" x14ac:dyDescent="0.3">
      <c r="A346" s="103" t="s">
        <v>897</v>
      </c>
      <c r="B346" s="103" t="s">
        <v>891</v>
      </c>
      <c r="C346" s="103" t="s">
        <v>8</v>
      </c>
      <c r="D346" s="106" t="str">
        <f>IF(MouserListTable1218[[#This Row],[Vendor]]=FilterSpecs!$A$8,MouserListTable1218[[#This Row],[Mouser SKU]], MouserListTable1218[[#This Row],[Supplier SKU]])</f>
        <v>COM-10063</v>
      </c>
      <c r="E346" s="121">
        <f>MouserListTable1218[[#This Row],[Tot '#]]-MouserListTable1218[[#This Row],['# Initial]]</f>
        <v>1</v>
      </c>
      <c r="F346" s="121">
        <f>MouserListTable1218[[#This Row],['#/Unit]]*FilterSpecs!$B$3+MouserListTable1218[[#This Row],[Extra Initial]]</f>
        <v>0</v>
      </c>
      <c r="G346" s="103" t="s">
        <v>1694</v>
      </c>
      <c r="H346" s="103" t="s">
        <v>1695</v>
      </c>
      <c r="I346" s="103" t="s">
        <v>1696</v>
      </c>
      <c r="J346" s="103">
        <v>1</v>
      </c>
      <c r="K346" s="157">
        <v>1.95</v>
      </c>
      <c r="L346" s="103" t="s">
        <v>1910</v>
      </c>
      <c r="M346" s="103"/>
      <c r="N346" s="157">
        <f>MouserListTable1218[[#This Row],['# Initial]]*MouserListTable1218[[#This Row],[Price (USD)]]</f>
        <v>0</v>
      </c>
      <c r="O346" s="106" t="s">
        <v>1693</v>
      </c>
      <c r="P346" s="103">
        <f t="shared" si="6"/>
        <v>327</v>
      </c>
      <c r="Q346" s="103" t="s">
        <v>8</v>
      </c>
      <c r="R34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474-COM-10063</v>
      </c>
      <c r="S346" s="121">
        <v>0</v>
      </c>
      <c r="T346" s="121">
        <v>1</v>
      </c>
      <c r="U346" s="121">
        <v>0</v>
      </c>
      <c r="V346" s="121">
        <f>MouserListTable1218[[#This Row],['#/Unit]]*FilterSpecs!$C$3+MouserListTable1218[[#This Row],[Extra]]</f>
        <v>1</v>
      </c>
      <c r="W346" s="121">
        <f>IF(MouserListTable1218[[#This Row],[Tag]]=FilterSpecs!$F$7,MouserListTable1218[[#This Row],[Price (USD)]],0)</f>
        <v>0</v>
      </c>
      <c r="X346" s="121">
        <f>MouserListTable1218[[#This Row],[Tot '#]]*MouserListTable1218[[#This Row],[Price (USD)]]</f>
        <v>1.95</v>
      </c>
    </row>
    <row r="347" spans="1:24" s="144" customFormat="1" x14ac:dyDescent="0.3">
      <c r="A347" s="103" t="s">
        <v>897</v>
      </c>
      <c r="B347" s="103" t="s">
        <v>891</v>
      </c>
      <c r="C347" s="103" t="s">
        <v>8</v>
      </c>
      <c r="D347" s="106" t="str">
        <f>IF(MouserListTable1218[[#This Row],[Vendor]]=FilterSpecs!$A$8,MouserListTable1218[[#This Row],[Mouser SKU]], MouserListTable1218[[#This Row],[Supplier SKU]])</f>
        <v>COM-09426</v>
      </c>
      <c r="E347" s="121">
        <f>MouserListTable1218[[#This Row],[Tot '#]]-MouserListTable1218[[#This Row],['# Initial]]</f>
        <v>1</v>
      </c>
      <c r="F347" s="121">
        <f>MouserListTable1218[[#This Row],['#/Unit]]*FilterSpecs!$B$3+MouserListTable1218[[#This Row],[Extra Initial]]</f>
        <v>0</v>
      </c>
      <c r="G347" s="103" t="s">
        <v>1690</v>
      </c>
      <c r="H347" s="103" t="s">
        <v>1691</v>
      </c>
      <c r="I347" s="103" t="s">
        <v>1692</v>
      </c>
      <c r="J347" s="103">
        <v>1</v>
      </c>
      <c r="K347" s="157">
        <v>3.5</v>
      </c>
      <c r="L347" s="103" t="s">
        <v>1913</v>
      </c>
      <c r="M347" s="103"/>
      <c r="N347" s="157">
        <f>MouserListTable1218[[#This Row],['# Initial]]*MouserListTable1218[[#This Row],[Price (USD)]]</f>
        <v>0</v>
      </c>
      <c r="O347" s="106" t="s">
        <v>1689</v>
      </c>
      <c r="P347" s="103">
        <f t="shared" si="6"/>
        <v>328</v>
      </c>
      <c r="Q347" s="103" t="s">
        <v>8</v>
      </c>
      <c r="R34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474-COM-09426</v>
      </c>
      <c r="S347" s="121">
        <v>0</v>
      </c>
      <c r="T347" s="121">
        <v>1</v>
      </c>
      <c r="U347" s="121">
        <v>0</v>
      </c>
      <c r="V347" s="121">
        <f>MouserListTable1218[[#This Row],['#/Unit]]*FilterSpecs!$C$3+MouserListTable1218[[#This Row],[Extra]]</f>
        <v>1</v>
      </c>
      <c r="W347" s="121">
        <f>IF(MouserListTable1218[[#This Row],[Tag]]=FilterSpecs!$F$7,MouserListTable1218[[#This Row],[Price (USD)]],0)</f>
        <v>0</v>
      </c>
      <c r="X347" s="121">
        <f>MouserListTable1218[[#This Row],[Tot '#]]*MouserListTable1218[[#This Row],[Price (USD)]]</f>
        <v>3.5</v>
      </c>
    </row>
    <row r="348" spans="1:24" s="146" customFormat="1" x14ac:dyDescent="0.3">
      <c r="A348" s="103" t="s">
        <v>897</v>
      </c>
      <c r="B348" s="103" t="s">
        <v>891</v>
      </c>
      <c r="C348" s="103" t="s">
        <v>8</v>
      </c>
      <c r="D348" s="106" t="str">
        <f>IF(MouserListTable1218[[#This Row],[Vendor]]=FilterSpecs!$A$8,MouserListTable1218[[#This Row],[Mouser SKU]], MouserListTable1218[[#This Row],[Supplier SKU]])</f>
        <v>COM-10002</v>
      </c>
      <c r="E348" s="121">
        <f>MouserListTable1218[[#This Row],[Tot '#]]-MouserListTable1218[[#This Row],['# Initial]]</f>
        <v>3</v>
      </c>
      <c r="F348" s="121">
        <f>MouserListTable1218[[#This Row],['#/Unit]]*FilterSpecs!$B$3+MouserListTable1218[[#This Row],[Extra Initial]]</f>
        <v>0</v>
      </c>
      <c r="G348" s="103" t="s">
        <v>732</v>
      </c>
      <c r="H348" s="103" t="s">
        <v>733</v>
      </c>
      <c r="I348" s="103" t="s">
        <v>734</v>
      </c>
      <c r="J348" s="103"/>
      <c r="K348" s="157">
        <v>1.5</v>
      </c>
      <c r="L348" s="103" t="s">
        <v>1910</v>
      </c>
      <c r="M348" s="106"/>
      <c r="N348" s="157">
        <f>MouserListTable1218[[#This Row],['# Initial]]*MouserListTable1218[[#This Row],[Price (USD)]]</f>
        <v>0</v>
      </c>
      <c r="O348" s="106" t="s">
        <v>731</v>
      </c>
      <c r="P348" s="103">
        <f t="shared" si="6"/>
        <v>329</v>
      </c>
      <c r="Q348" s="103" t="s">
        <v>8</v>
      </c>
      <c r="R34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474-COM-10002</v>
      </c>
      <c r="S348" s="121">
        <v>0</v>
      </c>
      <c r="T348" s="121">
        <v>3</v>
      </c>
      <c r="U348" s="121">
        <v>0</v>
      </c>
      <c r="V348" s="121">
        <f>MouserListTable1218[[#This Row],['#/Unit]]*FilterSpecs!$C$3+MouserListTable1218[[#This Row],[Extra]]</f>
        <v>3</v>
      </c>
      <c r="W348" s="121">
        <f>IF(MouserListTable1218[[#This Row],[Tag]]=FilterSpecs!$F$7,MouserListTable1218[[#This Row],[Price (USD)]],0)</f>
        <v>0</v>
      </c>
      <c r="X348" s="121">
        <f>MouserListTable1218[[#This Row],[Tot '#]]*MouserListTable1218[[#This Row],[Price (USD)]]</f>
        <v>4.5</v>
      </c>
    </row>
    <row r="349" spans="1:24" s="146" customFormat="1" x14ac:dyDescent="0.3">
      <c r="A349" s="103" t="s">
        <v>897</v>
      </c>
      <c r="B349" s="103" t="s">
        <v>891</v>
      </c>
      <c r="C349" s="126" t="s">
        <v>8</v>
      </c>
      <c r="D349" s="106" t="str">
        <f>IF(MouserListTable1218[[#This Row],[Vendor]]=FilterSpecs!$A$8,MouserListTable1218[[#This Row],[Mouser SKU]], MouserListTable1218[[#This Row],[Supplier SKU]])</f>
        <v>COM-10001</v>
      </c>
      <c r="E349" s="121">
        <f>MouserListTable1218[[#This Row],[Tot '#]]-MouserListTable1218[[#This Row],['# Initial]]</f>
        <v>0</v>
      </c>
      <c r="F349" s="121">
        <f>MouserListTable1218[[#This Row],['#/Unit]]*FilterSpecs!$B$3+MouserListTable1218[[#This Row],[Extra Initial]]</f>
        <v>0</v>
      </c>
      <c r="G349" s="103" t="s">
        <v>732</v>
      </c>
      <c r="H349" s="103" t="s">
        <v>733</v>
      </c>
      <c r="I349" s="103" t="s">
        <v>1667</v>
      </c>
      <c r="J349" s="103"/>
      <c r="K349" s="157">
        <v>1.5</v>
      </c>
      <c r="L349" s="103" t="s">
        <v>1913</v>
      </c>
      <c r="N349" s="157">
        <f>MouserListTable1218[[#This Row],['# Initial]]*MouserListTable1218[[#This Row],[Price (USD)]]</f>
        <v>0</v>
      </c>
      <c r="O349" s="106" t="s">
        <v>1668</v>
      </c>
      <c r="P349" s="103">
        <f t="shared" si="6"/>
        <v>330</v>
      </c>
      <c r="Q349" s="103" t="s">
        <v>8</v>
      </c>
      <c r="R34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474-COM-10001</v>
      </c>
      <c r="S349" s="121">
        <v>0</v>
      </c>
      <c r="T349" s="121">
        <v>0</v>
      </c>
      <c r="U349" s="121">
        <v>0</v>
      </c>
      <c r="V349" s="121">
        <f>MouserListTable1218[[#This Row],['#/Unit]]*FilterSpecs!$C$3+MouserListTable1218[[#This Row],[Extra]]</f>
        <v>0</v>
      </c>
      <c r="W349" s="121">
        <f>IF(MouserListTable1218[[#This Row],[Tag]]=FilterSpecs!$F$7,MouserListTable1218[[#This Row],[Price (USD)]],0)</f>
        <v>0</v>
      </c>
      <c r="X349" s="121">
        <f>MouserListTable1218[[#This Row],[Tot '#]]*MouserListTable1218[[#This Row],[Price (USD)]]</f>
        <v>0</v>
      </c>
    </row>
    <row r="350" spans="1:24" s="144" customFormat="1" x14ac:dyDescent="0.3">
      <c r="A350" s="103" t="s">
        <v>897</v>
      </c>
      <c r="B350" s="103" t="s">
        <v>891</v>
      </c>
      <c r="C350" s="103" t="s">
        <v>1898</v>
      </c>
      <c r="D350" s="106" t="str">
        <f>IF(MouserListTable1218[[#This Row],[Vendor]]=FilterSpecs!$A$8,MouserListTable1218[[#This Row],[Mouser SKU]], MouserListTable1218[[#This Row],[Supplier SKU]])</f>
        <v>2047</v>
      </c>
      <c r="E350" s="121">
        <f>MouserListTable1218[[#This Row],[Tot '#]]-MouserListTable1218[[#This Row],['# Initial]]</f>
        <v>0</v>
      </c>
      <c r="F350" s="121">
        <f>MouserListTable1218[[#This Row],['#/Unit]]*FilterSpecs!$B$3+MouserListTable1218[[#This Row],[Extra Initial]]</f>
        <v>10</v>
      </c>
      <c r="G350" s="103"/>
      <c r="H350" s="103"/>
      <c r="I350" s="126" t="s">
        <v>2129</v>
      </c>
      <c r="J350" s="146"/>
      <c r="K350" s="158">
        <v>0.5</v>
      </c>
      <c r="L350" s="126" t="s">
        <v>1911</v>
      </c>
      <c r="M350" s="146"/>
      <c r="N350" s="157">
        <f>MouserListTable1218[[#This Row],['# Initial]]*MouserListTable1218[[#This Row],[Price (USD)]]</f>
        <v>5</v>
      </c>
      <c r="O350" s="106" t="s">
        <v>2128</v>
      </c>
      <c r="P350" s="103">
        <f t="shared" si="6"/>
        <v>331</v>
      </c>
      <c r="Q350" s="103" t="s">
        <v>1898</v>
      </c>
      <c r="R35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485-2047</v>
      </c>
      <c r="S350" s="121">
        <f>SUM(S542:S549)</f>
        <v>2</v>
      </c>
      <c r="T350" s="121">
        <f t="shared" ref="T350:U350" si="7">SUM(T541:T548)</f>
        <v>0</v>
      </c>
      <c r="U350" s="121">
        <f t="shared" si="7"/>
        <v>0</v>
      </c>
      <c r="V350" s="121">
        <f>MouserListTable1218[[#This Row],['#/Unit]]*FilterSpecs!$C$3+MouserListTable1218[[#This Row],[Extra]]</f>
        <v>10</v>
      </c>
      <c r="W350" s="121">
        <f>IF(MouserListTable1218[[#This Row],[Tag]]=FilterSpecs!$F$7,MouserListTable1218[[#This Row],[Price (USD)]],0)</f>
        <v>0.5</v>
      </c>
      <c r="X350" s="121">
        <f>MouserListTable1218[[#This Row],[Tot '#]]*MouserListTable1218[[#This Row],[Price (USD)]]</f>
        <v>5</v>
      </c>
    </row>
    <row r="351" spans="1:24" s="144" customFormat="1" x14ac:dyDescent="0.3">
      <c r="A351" s="103" t="s">
        <v>897</v>
      </c>
      <c r="B351" s="103" t="s">
        <v>891</v>
      </c>
      <c r="C351" s="103" t="s">
        <v>1898</v>
      </c>
      <c r="D351" s="106" t="str">
        <f>IF(MouserListTable1218[[#This Row],[Vendor]]=FilterSpecs!$A$8,MouserListTable1218[[#This Row],[Mouser SKU]], MouserListTable1218[[#This Row],[Supplier SKU]])</f>
        <v>2055</v>
      </c>
      <c r="E351" s="121">
        <f>MouserListTable1218[[#This Row],[Tot '#]]-MouserListTable1218[[#This Row],['# Initial]]</f>
        <v>0</v>
      </c>
      <c r="F351" s="121">
        <f>MouserListTable1218[[#This Row],['#/Unit]]*FilterSpecs!$B$3+MouserListTable1218[[#This Row],[Extra Initial]]</f>
        <v>0</v>
      </c>
      <c r="G351" s="103"/>
      <c r="H351" s="103"/>
      <c r="I351" s="126" t="s">
        <v>2131</v>
      </c>
      <c r="J351" s="146"/>
      <c r="K351" s="158">
        <v>0.95</v>
      </c>
      <c r="L351" s="126" t="s">
        <v>1910</v>
      </c>
      <c r="M351" s="146"/>
      <c r="N351" s="157">
        <f>MouserListTable1218[[#This Row],['# Initial]]*MouserListTable1218[[#This Row],[Price (USD)]]</f>
        <v>0</v>
      </c>
      <c r="O351" s="106" t="s">
        <v>2130</v>
      </c>
      <c r="P351" s="103">
        <f t="shared" si="6"/>
        <v>332</v>
      </c>
      <c r="Q351" s="103" t="s">
        <v>1898</v>
      </c>
      <c r="R35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485-2055</v>
      </c>
      <c r="S351" s="121">
        <v>0</v>
      </c>
      <c r="T351" s="121">
        <v>0</v>
      </c>
      <c r="U351" s="121">
        <v>0</v>
      </c>
      <c r="V351" s="121">
        <f>MouserListTable1218[[#This Row],['#/Unit]]*FilterSpecs!$C$3+MouserListTable1218[[#This Row],[Extra]]</f>
        <v>0</v>
      </c>
      <c r="W351" s="121">
        <f>IF(MouserListTable1218[[#This Row],[Tag]]=FilterSpecs!$F$7,MouserListTable1218[[#This Row],[Price (USD)]],0)</f>
        <v>0</v>
      </c>
      <c r="X351" s="121">
        <f>MouserListTable1218[[#This Row],[Tot '#]]*MouserListTable1218[[#This Row],[Price (USD)]]</f>
        <v>0</v>
      </c>
    </row>
    <row r="352" spans="1:24" s="144" customFormat="1" x14ac:dyDescent="0.3">
      <c r="A352" s="103" t="s">
        <v>897</v>
      </c>
      <c r="B352" s="103" t="s">
        <v>891</v>
      </c>
      <c r="C352" s="103" t="s">
        <v>1898</v>
      </c>
      <c r="D352" s="106" t="str">
        <f>IF(MouserListTable1218[[#This Row],[Vendor]]=FilterSpecs!$A$8,MouserListTable1218[[#This Row],[Mouser SKU]], MouserListTable1218[[#This Row],[Supplier SKU]])</f>
        <v>2058</v>
      </c>
      <c r="E352" s="121">
        <f>MouserListTable1218[[#This Row],[Tot '#]]-MouserListTable1218[[#This Row],['# Initial]]</f>
        <v>0</v>
      </c>
      <c r="F352" s="121">
        <f>MouserListTable1218[[#This Row],['#/Unit]]*FilterSpecs!$B$3+MouserListTable1218[[#This Row],[Extra Initial]]</f>
        <v>0</v>
      </c>
      <c r="G352" s="103"/>
      <c r="H352" s="103"/>
      <c r="I352" s="126" t="s">
        <v>2133</v>
      </c>
      <c r="J352" s="146"/>
      <c r="K352" s="158">
        <v>0.95</v>
      </c>
      <c r="L352" s="126" t="s">
        <v>1910</v>
      </c>
      <c r="M352" s="146"/>
      <c r="N352" s="157">
        <f>MouserListTable1218[[#This Row],['# Initial]]*MouserListTable1218[[#This Row],[Price (USD)]]</f>
        <v>0</v>
      </c>
      <c r="O352" s="106" t="s">
        <v>2132</v>
      </c>
      <c r="P352" s="103">
        <f t="shared" si="6"/>
        <v>333</v>
      </c>
      <c r="Q352" s="103" t="s">
        <v>1898</v>
      </c>
      <c r="R35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485-2058</v>
      </c>
      <c r="S352" s="121">
        <v>0</v>
      </c>
      <c r="T352" s="121">
        <v>0</v>
      </c>
      <c r="U352" s="121">
        <v>0</v>
      </c>
      <c r="V352" s="121">
        <f>MouserListTable1218[[#This Row],['#/Unit]]*FilterSpecs!$C$3+MouserListTable1218[[#This Row],[Extra]]</f>
        <v>0</v>
      </c>
      <c r="W352" s="121">
        <f>IF(MouserListTable1218[[#This Row],[Tag]]=FilterSpecs!$F$7,MouserListTable1218[[#This Row],[Price (USD)]],0)</f>
        <v>0</v>
      </c>
      <c r="X352" s="121">
        <f>MouserListTable1218[[#This Row],[Tot '#]]*MouserListTable1218[[#This Row],[Price (USD)]]</f>
        <v>0</v>
      </c>
    </row>
    <row r="353" spans="1:24" s="144" customFormat="1" x14ac:dyDescent="0.3">
      <c r="A353" s="103" t="s">
        <v>897</v>
      </c>
      <c r="B353" s="103" t="s">
        <v>891</v>
      </c>
      <c r="C353" s="103" t="s">
        <v>1898</v>
      </c>
      <c r="D353" s="106" t="str">
        <f>IF(MouserListTable1218[[#This Row],[Vendor]]=FilterSpecs!$A$8,MouserListTable1218[[#This Row],[Mouser SKU]], MouserListTable1218[[#This Row],[Supplier SKU]])</f>
        <v>2056</v>
      </c>
      <c r="E353" s="121">
        <f>MouserListTable1218[[#This Row],[Tot '#]]-MouserListTable1218[[#This Row],['# Initial]]</f>
        <v>0</v>
      </c>
      <c r="F353" s="121">
        <f>MouserListTable1218[[#This Row],['#/Unit]]*FilterSpecs!$B$3+MouserListTable1218[[#This Row],[Extra Initial]]</f>
        <v>0</v>
      </c>
      <c r="G353" s="103"/>
      <c r="H353" s="103"/>
      <c r="I353" s="126" t="s">
        <v>2135</v>
      </c>
      <c r="J353" s="146"/>
      <c r="K353" s="158">
        <v>3.95</v>
      </c>
      <c r="L353" s="126" t="s">
        <v>1910</v>
      </c>
      <c r="M353" s="146"/>
      <c r="N353" s="157">
        <f>MouserListTable1218[[#This Row],['# Initial]]*MouserListTable1218[[#This Row],[Price (USD)]]</f>
        <v>0</v>
      </c>
      <c r="O353" s="106" t="s">
        <v>2134</v>
      </c>
      <c r="P353" s="103">
        <f t="shared" si="6"/>
        <v>334</v>
      </c>
      <c r="Q353" s="103" t="s">
        <v>1898</v>
      </c>
      <c r="R35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485-2056</v>
      </c>
      <c r="S353" s="121">
        <v>0</v>
      </c>
      <c r="T353" s="121">
        <v>0</v>
      </c>
      <c r="U353" s="121">
        <v>0</v>
      </c>
      <c r="V353" s="121">
        <f>MouserListTable1218[[#This Row],['#/Unit]]*FilterSpecs!$C$3+MouserListTable1218[[#This Row],[Extra]]</f>
        <v>0</v>
      </c>
      <c r="W353" s="121">
        <f>IF(MouserListTable1218[[#This Row],[Tag]]=FilterSpecs!$F$7,MouserListTable1218[[#This Row],[Price (USD)]],0)</f>
        <v>0</v>
      </c>
      <c r="X353" s="121">
        <f>MouserListTable1218[[#This Row],[Tot '#]]*MouserListTable1218[[#This Row],[Price (USD)]]</f>
        <v>0</v>
      </c>
    </row>
    <row r="354" spans="1:24" s="144" customFormat="1" x14ac:dyDescent="0.3">
      <c r="A354" s="106" t="s">
        <v>897</v>
      </c>
      <c r="B354" s="106" t="s">
        <v>2027</v>
      </c>
      <c r="C354" s="106" t="s">
        <v>1898</v>
      </c>
      <c r="D354" s="106" t="str">
        <f>IF(MouserListTable1218[[#This Row],[Vendor]]=FilterSpecs!$A$8,MouserListTable1218[[#This Row],[Mouser SKU]], MouserListTable1218[[#This Row],[Supplier SKU]])</f>
        <v>2103</v>
      </c>
      <c r="E354" s="121">
        <f>MouserListTable1218[[#This Row],[Tot '#]]-MouserListTable1218[[#This Row],['# Initial]]</f>
        <v>0</v>
      </c>
      <c r="F354" s="121">
        <f>MouserListTable1218[[#This Row],['#/Unit]]*FilterSpecs!$B$3+MouserListTable1218[[#This Row],[Extra Initial]]</f>
        <v>0</v>
      </c>
      <c r="G354" s="103"/>
      <c r="H354" s="103"/>
      <c r="I354" s="146" t="s">
        <v>2139</v>
      </c>
      <c r="J354" s="146"/>
      <c r="K354" s="158">
        <v>1.95</v>
      </c>
      <c r="L354" s="146" t="s">
        <v>1910</v>
      </c>
      <c r="M354" s="146"/>
      <c r="N354" s="157">
        <f>MouserListTable1218[[#This Row],['# Initial]]*MouserListTable1218[[#This Row],[Price (USD)]]</f>
        <v>0</v>
      </c>
      <c r="O354" s="106" t="s">
        <v>2138</v>
      </c>
      <c r="P354" s="103">
        <f t="shared" si="6"/>
        <v>335</v>
      </c>
      <c r="Q354" s="103" t="s">
        <v>1898</v>
      </c>
      <c r="R35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485-2103</v>
      </c>
      <c r="S354" s="121">
        <v>0</v>
      </c>
      <c r="T354" s="121">
        <v>0</v>
      </c>
      <c r="U354" s="121">
        <v>0</v>
      </c>
      <c r="V354" s="121">
        <f>MouserListTable1218[[#This Row],['#/Unit]]*FilterSpecs!$C$3+MouserListTable1218[[#This Row],[Extra]]</f>
        <v>0</v>
      </c>
      <c r="W354" s="121">
        <f>IF(MouserListTable1218[[#This Row],[Tag]]=FilterSpecs!$F$7,MouserListTable1218[[#This Row],[Price (USD)]],0)</f>
        <v>0</v>
      </c>
      <c r="X354" s="121">
        <f>MouserListTable1218[[#This Row],[Tot '#]]*MouserListTable1218[[#This Row],[Price (USD)]]</f>
        <v>0</v>
      </c>
    </row>
    <row r="355" spans="1:24" s="144" customFormat="1" x14ac:dyDescent="0.3">
      <c r="A355" s="106" t="s">
        <v>897</v>
      </c>
      <c r="B355" s="106" t="s">
        <v>2027</v>
      </c>
      <c r="C355" s="106" t="s">
        <v>1898</v>
      </c>
      <c r="D355" s="106" t="str">
        <f>IF(MouserListTable1218[[#This Row],[Vendor]]=FilterSpecs!$A$8,MouserListTable1218[[#This Row],[Mouser SKU]], MouserListTable1218[[#This Row],[Supplier SKU]])</f>
        <v>2270</v>
      </c>
      <c r="E355" s="121">
        <f>MouserListTable1218[[#This Row],[Tot '#]]-MouserListTable1218[[#This Row],['# Initial]]</f>
        <v>0</v>
      </c>
      <c r="F355" s="121">
        <f>MouserListTable1218[[#This Row],['#/Unit]]*FilterSpecs!$B$3+MouserListTable1218[[#This Row],[Extra Initial]]</f>
        <v>0</v>
      </c>
      <c r="G355" s="103"/>
      <c r="H355" s="103"/>
      <c r="I355" s="146" t="s">
        <v>2141</v>
      </c>
      <c r="J355" s="146"/>
      <c r="K355" s="158">
        <v>2.25</v>
      </c>
      <c r="L355" s="146" t="s">
        <v>1910</v>
      </c>
      <c r="M355" s="146"/>
      <c r="N355" s="157">
        <f>MouserListTable1218[[#This Row],['# Initial]]*MouserListTable1218[[#This Row],[Price (USD)]]</f>
        <v>0</v>
      </c>
      <c r="O355" s="106" t="s">
        <v>2140</v>
      </c>
      <c r="P355" s="103">
        <f t="shared" si="6"/>
        <v>336</v>
      </c>
      <c r="Q355" s="103" t="s">
        <v>1898</v>
      </c>
      <c r="R35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485-2270</v>
      </c>
      <c r="S355" s="121">
        <v>0</v>
      </c>
      <c r="T355" s="121">
        <v>0</v>
      </c>
      <c r="U355" s="121">
        <v>0</v>
      </c>
      <c r="V355" s="121">
        <f>MouserListTable1218[[#This Row],['#/Unit]]*FilterSpecs!$C$3+MouserListTable1218[[#This Row],[Extra]]</f>
        <v>0</v>
      </c>
      <c r="W355" s="121">
        <f>IF(MouserListTable1218[[#This Row],[Tag]]=FilterSpecs!$F$7,MouserListTable1218[[#This Row],[Price (USD)]],0)</f>
        <v>0</v>
      </c>
      <c r="X355" s="121">
        <f>MouserListTable1218[[#This Row],[Tot '#]]*MouserListTable1218[[#This Row],[Price (USD)]]</f>
        <v>0</v>
      </c>
    </row>
    <row r="356" spans="1:24" s="144" customFormat="1" x14ac:dyDescent="0.3">
      <c r="A356" s="106" t="s">
        <v>897</v>
      </c>
      <c r="B356" s="106" t="s">
        <v>2027</v>
      </c>
      <c r="C356" s="106" t="s">
        <v>1898</v>
      </c>
      <c r="D356" s="106" t="str">
        <f>IF(MouserListTable1218[[#This Row],[Vendor]]=FilterSpecs!$A$8,MouserListTable1218[[#This Row],[Mouser SKU]], MouserListTable1218[[#This Row],[Supplier SKU]])</f>
        <v>2102</v>
      </c>
      <c r="E356" s="121">
        <f>MouserListTable1218[[#This Row],[Tot '#]]-MouserListTable1218[[#This Row],['# Initial]]</f>
        <v>0</v>
      </c>
      <c r="F356" s="121">
        <f>MouserListTable1218[[#This Row],['#/Unit]]*FilterSpecs!$B$3+MouserListTable1218[[#This Row],[Extra Initial]]</f>
        <v>10</v>
      </c>
      <c r="G356" s="103"/>
      <c r="H356" s="103"/>
      <c r="I356" s="106" t="s">
        <v>2143</v>
      </c>
      <c r="J356" s="146"/>
      <c r="K356" s="157">
        <v>0.95</v>
      </c>
      <c r="L356" s="106" t="s">
        <v>1911</v>
      </c>
      <c r="M356" s="106"/>
      <c r="N356" s="157">
        <f>MouserListTable1218[[#This Row],['# Initial]]*MouserListTable1218[[#This Row],[Price (USD)]]</f>
        <v>9.5</v>
      </c>
      <c r="O356" s="106" t="s">
        <v>2142</v>
      </c>
      <c r="P356" s="103">
        <f t="shared" si="6"/>
        <v>337</v>
      </c>
      <c r="Q356" s="103" t="s">
        <v>1898</v>
      </c>
      <c r="R35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485-2102</v>
      </c>
      <c r="S356" s="121">
        <v>2</v>
      </c>
      <c r="T356" s="121">
        <v>0</v>
      </c>
      <c r="U356" s="121">
        <v>0</v>
      </c>
      <c r="V356" s="121">
        <f>MouserListTable1218[[#This Row],['#/Unit]]*FilterSpecs!$C$3+MouserListTable1218[[#This Row],[Extra]]</f>
        <v>10</v>
      </c>
      <c r="W356" s="121">
        <f>IF(MouserListTable1218[[#This Row],[Tag]]=FilterSpecs!$F$7,MouserListTable1218[[#This Row],[Price (USD)]],0)</f>
        <v>0.95</v>
      </c>
      <c r="X356" s="121">
        <f>MouserListTable1218[[#This Row],[Tot '#]]*MouserListTable1218[[#This Row],[Price (USD)]]</f>
        <v>9.5</v>
      </c>
    </row>
    <row r="357" spans="1:24" s="144" customFormat="1" x14ac:dyDescent="0.3">
      <c r="A357" s="106" t="s">
        <v>897</v>
      </c>
      <c r="B357" s="106" t="s">
        <v>1884</v>
      </c>
      <c r="C357" s="106" t="s">
        <v>8</v>
      </c>
      <c r="D357" s="106" t="str">
        <f>IF(MouserListTable1218[[#This Row],[Vendor]]=FilterSpecs!$A$8,MouserListTable1218[[#This Row],[Mouser SKU]], MouserListTable1218[[#This Row],[Supplier SKU]])</f>
        <v>PRT-09749</v>
      </c>
      <c r="E357" s="121">
        <f>MouserListTable1218[[#This Row],[Tot '#]]-MouserListTable1218[[#This Row],['# Initial]]</f>
        <v>0</v>
      </c>
      <c r="F357" s="121">
        <f>MouserListTable1218[[#This Row],['#/Unit]]*FilterSpecs!$B$3+MouserListTable1218[[#This Row],[Extra Initial]]</f>
        <v>10</v>
      </c>
      <c r="G357" s="103" t="s">
        <v>446</v>
      </c>
      <c r="H357" s="103" t="s">
        <v>447</v>
      </c>
      <c r="I357" s="106" t="s">
        <v>448</v>
      </c>
      <c r="J357" s="103">
        <v>1</v>
      </c>
      <c r="K357" s="157">
        <v>0.95</v>
      </c>
      <c r="L357" s="106" t="s">
        <v>1911</v>
      </c>
      <c r="M357" s="103"/>
      <c r="N357" s="157">
        <f>MouserListTable1218[[#This Row],['# Initial]]*MouserListTable1218[[#This Row],[Price (USD)]]</f>
        <v>9.5</v>
      </c>
      <c r="O357" s="106" t="s">
        <v>445</v>
      </c>
      <c r="P357" s="103">
        <f t="shared" si="6"/>
        <v>338</v>
      </c>
      <c r="Q357" s="103" t="s">
        <v>8</v>
      </c>
      <c r="R35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474-PRT-09749</v>
      </c>
      <c r="S357" s="121">
        <v>2</v>
      </c>
      <c r="T357" s="121">
        <v>0</v>
      </c>
      <c r="U357" s="121">
        <v>0</v>
      </c>
      <c r="V357" s="121">
        <f>MouserListTable1218[[#This Row],['#/Unit]]*FilterSpecs!$C$3+MouserListTable1218[[#This Row],[Extra]]</f>
        <v>10</v>
      </c>
      <c r="W357" s="121">
        <f>IF(MouserListTable1218[[#This Row],[Tag]]=FilterSpecs!$F$7,MouserListTable1218[[#This Row],[Price (USD)]],0)</f>
        <v>0.95</v>
      </c>
      <c r="X357" s="121">
        <f>MouserListTable1218[[#This Row],[Tot '#]]*MouserListTable1218[[#This Row],[Price (USD)]]</f>
        <v>9.5</v>
      </c>
    </row>
    <row r="358" spans="1:24" s="144" customFormat="1" x14ac:dyDescent="0.3">
      <c r="A358" s="106" t="s">
        <v>897</v>
      </c>
      <c r="B358" s="106" t="s">
        <v>1884</v>
      </c>
      <c r="C358" s="106" t="s">
        <v>8</v>
      </c>
      <c r="D358" s="106" t="str">
        <f>IF(MouserListTable1218[[#This Row],[Vendor]]=FilterSpecs!$A$8,MouserListTable1218[[#This Row],[Mouser SKU]], MouserListTable1218[[#This Row],[Supplier SKU]])</f>
        <v>PRT-09750</v>
      </c>
      <c r="E358" s="121">
        <f>MouserListTable1218[[#This Row],[Tot '#]]-MouserListTable1218[[#This Row],['# Initial]]</f>
        <v>0</v>
      </c>
      <c r="F358" s="121">
        <f>MouserListTable1218[[#This Row],['#/Unit]]*FilterSpecs!$B$3+MouserListTable1218[[#This Row],[Extra Initial]]</f>
        <v>5</v>
      </c>
      <c r="G358" s="103" t="s">
        <v>1856</v>
      </c>
      <c r="H358" s="103" t="s">
        <v>1857</v>
      </c>
      <c r="I358" s="106" t="s">
        <v>1858</v>
      </c>
      <c r="J358" s="103">
        <v>1</v>
      </c>
      <c r="K358" s="157">
        <v>0.95</v>
      </c>
      <c r="L358" s="106" t="s">
        <v>1911</v>
      </c>
      <c r="M358" s="103"/>
      <c r="N358" s="157">
        <f>MouserListTable1218[[#This Row],['# Initial]]*MouserListTable1218[[#This Row],[Price (USD)]]</f>
        <v>4.75</v>
      </c>
      <c r="O358" s="106" t="s">
        <v>1855</v>
      </c>
      <c r="P358" s="103">
        <f t="shared" si="6"/>
        <v>339</v>
      </c>
      <c r="Q358" s="103" t="s">
        <v>8</v>
      </c>
      <c r="R35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474-PRT-09750</v>
      </c>
      <c r="S358" s="121">
        <v>1</v>
      </c>
      <c r="T358" s="121">
        <v>0</v>
      </c>
      <c r="U358" s="121">
        <v>0</v>
      </c>
      <c r="V358" s="121">
        <f>MouserListTable1218[[#This Row],['#/Unit]]*FilterSpecs!$C$3+MouserListTable1218[[#This Row],[Extra]]</f>
        <v>5</v>
      </c>
      <c r="W358" s="121">
        <f>IF(MouserListTable1218[[#This Row],[Tag]]=FilterSpecs!$F$7,MouserListTable1218[[#This Row],[Price (USD)]],0)</f>
        <v>0.95</v>
      </c>
      <c r="X358" s="121">
        <f>MouserListTable1218[[#This Row],[Tot '#]]*MouserListTable1218[[#This Row],[Price (USD)]]</f>
        <v>4.75</v>
      </c>
    </row>
    <row r="359" spans="1:24" s="144" customFormat="1" x14ac:dyDescent="0.3">
      <c r="A359" s="146" t="s">
        <v>897</v>
      </c>
      <c r="B359" s="146" t="s">
        <v>1884</v>
      </c>
      <c r="C359" s="146" t="s">
        <v>8</v>
      </c>
      <c r="D359" s="106" t="str">
        <f>IF(MouserListTable1218[[#This Row],[Vendor]]=FilterSpecs!$A$8,MouserListTable1218[[#This Row],[Mouser SKU]], MouserListTable1218[[#This Row],[Supplier SKU]])</f>
        <v>PRT-10501</v>
      </c>
      <c r="E359" s="121">
        <f>MouserListTable1218[[#This Row],[Tot '#]]-MouserListTable1218[[#This Row],['# Initial]]</f>
        <v>0</v>
      </c>
      <c r="F359" s="121">
        <f>MouserListTable1218[[#This Row],['#/Unit]]*FilterSpecs!$B$3+MouserListTable1218[[#This Row],[Extra Initial]]</f>
        <v>0</v>
      </c>
      <c r="G359" s="103" t="s">
        <v>1362</v>
      </c>
      <c r="H359" s="103" t="s">
        <v>1363</v>
      </c>
      <c r="I359" s="106" t="s">
        <v>1364</v>
      </c>
      <c r="J359" s="103"/>
      <c r="K359" s="157">
        <v>0.5</v>
      </c>
      <c r="L359" s="106" t="s">
        <v>1913</v>
      </c>
      <c r="M359" s="103"/>
      <c r="N359" s="157">
        <f>MouserListTable1218[[#This Row],['# Initial]]*MouserListTable1218[[#This Row],[Price (USD)]]</f>
        <v>0</v>
      </c>
      <c r="O359" s="106" t="s">
        <v>1361</v>
      </c>
      <c r="P359" s="103">
        <f t="shared" si="6"/>
        <v>340</v>
      </c>
      <c r="Q359" s="103" t="s">
        <v>8</v>
      </c>
      <c r="R35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474-PRT-10501</v>
      </c>
      <c r="S359" s="121">
        <v>0</v>
      </c>
      <c r="T359" s="121">
        <v>0</v>
      </c>
      <c r="U359" s="121">
        <v>0</v>
      </c>
      <c r="V359" s="121">
        <f>MouserListTable1218[[#This Row],['#/Unit]]*FilterSpecs!$C$3+MouserListTable1218[[#This Row],[Extra]]</f>
        <v>0</v>
      </c>
      <c r="W359" s="121">
        <f>IF(MouserListTable1218[[#This Row],[Tag]]=FilterSpecs!$F$7,MouserListTable1218[[#This Row],[Price (USD)]],0)</f>
        <v>0</v>
      </c>
      <c r="X359" s="121">
        <f>MouserListTable1218[[#This Row],[Tot '#]]*MouserListTable1218[[#This Row],[Price (USD)]]</f>
        <v>0</v>
      </c>
    </row>
    <row r="360" spans="1:24" s="144" customFormat="1" x14ac:dyDescent="0.3">
      <c r="A360" s="146" t="s">
        <v>897</v>
      </c>
      <c r="B360" s="146" t="s">
        <v>1884</v>
      </c>
      <c r="C360" s="146" t="s">
        <v>8</v>
      </c>
      <c r="D360" s="106" t="str">
        <f>IF(MouserListTable1218[[#This Row],[Vendor]]=FilterSpecs!$A$8,MouserListTable1218[[#This Row],[Mouser SKU]], MouserListTable1218[[#This Row],[Supplier SKU]])</f>
        <v>PRT-08612</v>
      </c>
      <c r="E360" s="121">
        <f>MouserListTable1218[[#This Row],[Tot '#]]-MouserListTable1218[[#This Row],['# Initial]]</f>
        <v>0</v>
      </c>
      <c r="F360" s="121">
        <f>MouserListTable1218[[#This Row],['#/Unit]]*FilterSpecs!$B$3+MouserListTable1218[[#This Row],[Extra Initial]]</f>
        <v>0</v>
      </c>
      <c r="G360" s="103" t="s">
        <v>1760</v>
      </c>
      <c r="H360" s="103" t="s">
        <v>1761</v>
      </c>
      <c r="I360" s="106" t="s">
        <v>1762</v>
      </c>
      <c r="J360" s="103">
        <v>1</v>
      </c>
      <c r="K360" s="157">
        <v>0.95</v>
      </c>
      <c r="L360" s="106" t="s">
        <v>1910</v>
      </c>
      <c r="M360" s="103"/>
      <c r="N360" s="157">
        <f>MouserListTable1218[[#This Row],['# Initial]]*MouserListTable1218[[#This Row],[Price (USD)]]</f>
        <v>0</v>
      </c>
      <c r="O360" s="106" t="s">
        <v>1759</v>
      </c>
      <c r="P360" s="103">
        <f t="shared" si="6"/>
        <v>341</v>
      </c>
      <c r="Q360" s="103" t="s">
        <v>8</v>
      </c>
      <c r="R36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474-PRT-08612</v>
      </c>
      <c r="S360" s="121">
        <v>0</v>
      </c>
      <c r="T360" s="121">
        <v>0</v>
      </c>
      <c r="U360" s="121">
        <v>0</v>
      </c>
      <c r="V360" s="121">
        <f>MouserListTable1218[[#This Row],['#/Unit]]*FilterSpecs!$C$3+MouserListTable1218[[#This Row],[Extra]]</f>
        <v>0</v>
      </c>
      <c r="W360" s="121">
        <f>IF(MouserListTable1218[[#This Row],[Tag]]=FilterSpecs!$F$7,MouserListTable1218[[#This Row],[Price (USD)]],0)</f>
        <v>0</v>
      </c>
      <c r="X360" s="121">
        <f>MouserListTable1218[[#This Row],[Tot '#]]*MouserListTable1218[[#This Row],[Price (USD)]]</f>
        <v>0</v>
      </c>
    </row>
    <row r="361" spans="1:24" s="144" customFormat="1" x14ac:dyDescent="0.3">
      <c r="A361" s="146" t="s">
        <v>897</v>
      </c>
      <c r="B361" s="146" t="s">
        <v>1884</v>
      </c>
      <c r="C361" s="146" t="s">
        <v>8</v>
      </c>
      <c r="D361" s="106" t="str">
        <f>IF(MouserListTable1218[[#This Row],[Vendor]]=FilterSpecs!$A$8,MouserListTable1218[[#This Row],[Mouser SKU]], MouserListTable1218[[#This Row],[Supplier SKU]])</f>
        <v>PRT-08613</v>
      </c>
      <c r="E361" s="121">
        <f>MouserListTable1218[[#This Row],[Tot '#]]-MouserListTable1218[[#This Row],['# Initial]]</f>
        <v>0</v>
      </c>
      <c r="F361" s="121">
        <f>MouserListTable1218[[#This Row],['#/Unit]]*FilterSpecs!$B$3+MouserListTable1218[[#This Row],[Extra Initial]]</f>
        <v>0</v>
      </c>
      <c r="G361" s="103" t="s">
        <v>1764</v>
      </c>
      <c r="H361" s="103" t="s">
        <v>1765</v>
      </c>
      <c r="I361" s="106" t="s">
        <v>1766</v>
      </c>
      <c r="J361" s="103">
        <v>1</v>
      </c>
      <c r="K361" s="157">
        <v>0.95</v>
      </c>
      <c r="L361" s="106" t="s">
        <v>1910</v>
      </c>
      <c r="M361" s="103"/>
      <c r="N361" s="157">
        <f>MouserListTable1218[[#This Row],['# Initial]]*MouserListTable1218[[#This Row],[Price (USD)]]</f>
        <v>0</v>
      </c>
      <c r="O361" s="106" t="s">
        <v>1763</v>
      </c>
      <c r="P361" s="103">
        <f t="shared" si="6"/>
        <v>342</v>
      </c>
      <c r="Q361" s="103" t="s">
        <v>8</v>
      </c>
      <c r="R36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474-PRT-08613</v>
      </c>
      <c r="S361" s="121">
        <v>0</v>
      </c>
      <c r="T361" s="121">
        <v>0</v>
      </c>
      <c r="U361" s="121">
        <v>0</v>
      </c>
      <c r="V361" s="121">
        <f>MouserListTable1218[[#This Row],['#/Unit]]*FilterSpecs!$C$3+MouserListTable1218[[#This Row],[Extra]]</f>
        <v>0</v>
      </c>
      <c r="W361" s="121">
        <f>IF(MouserListTable1218[[#This Row],[Tag]]=FilterSpecs!$F$7,MouserListTable1218[[#This Row],[Price (USD)]],0)</f>
        <v>0</v>
      </c>
      <c r="X361" s="121">
        <f>MouserListTable1218[[#This Row],[Tot '#]]*MouserListTable1218[[#This Row],[Price (USD)]]</f>
        <v>0</v>
      </c>
    </row>
    <row r="362" spans="1:24" s="144" customFormat="1" x14ac:dyDescent="0.3">
      <c r="A362" s="106" t="s">
        <v>897</v>
      </c>
      <c r="B362" s="106" t="s">
        <v>1884</v>
      </c>
      <c r="C362" s="106" t="s">
        <v>1898</v>
      </c>
      <c r="D362" s="106" t="str">
        <f>IF(MouserListTable1218[[#This Row],[Vendor]]=FilterSpecs!$A$8,MouserListTable1218[[#This Row],[Mouser SKU]], MouserListTable1218[[#This Row],[Supplier SKU]])</f>
        <v>1862</v>
      </c>
      <c r="E362" s="121">
        <f>MouserListTable1218[[#This Row],[Tot '#]]-MouserListTable1218[[#This Row],['# Initial]]</f>
        <v>0</v>
      </c>
      <c r="F362" s="121">
        <f>MouserListTable1218[[#This Row],['#/Unit]]*FilterSpecs!$B$3+MouserListTable1218[[#This Row],[Extra Initial]]</f>
        <v>0</v>
      </c>
      <c r="G362" s="103"/>
      <c r="H362" s="103"/>
      <c r="I362" s="146" t="s">
        <v>2145</v>
      </c>
      <c r="J362" s="146"/>
      <c r="K362" s="158">
        <v>1.5</v>
      </c>
      <c r="L362" s="146" t="s">
        <v>1910</v>
      </c>
      <c r="M362" s="146"/>
      <c r="N362" s="157">
        <f>MouserListTable1218[[#This Row],['# Initial]]*MouserListTable1218[[#This Row],[Price (USD)]]</f>
        <v>0</v>
      </c>
      <c r="O362" s="106" t="s">
        <v>2144</v>
      </c>
      <c r="P362" s="103">
        <f t="shared" si="6"/>
        <v>343</v>
      </c>
      <c r="Q362" s="103" t="s">
        <v>1898</v>
      </c>
      <c r="R36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485-1862</v>
      </c>
      <c r="S362" s="121">
        <v>0</v>
      </c>
      <c r="T362" s="121">
        <v>0</v>
      </c>
      <c r="U362" s="121">
        <v>0</v>
      </c>
      <c r="V362" s="121">
        <f>MouserListTable1218[[#This Row],['#/Unit]]*FilterSpecs!$C$3+MouserListTable1218[[#This Row],[Extra]]</f>
        <v>0</v>
      </c>
      <c r="W362" s="121">
        <f>IF(MouserListTable1218[[#This Row],[Tag]]=FilterSpecs!$F$7,MouserListTable1218[[#This Row],[Price (USD)]],0)</f>
        <v>0</v>
      </c>
      <c r="X362" s="121">
        <f>MouserListTable1218[[#This Row],[Tot '#]]*MouserListTable1218[[#This Row],[Price (USD)]]</f>
        <v>0</v>
      </c>
    </row>
    <row r="363" spans="1:24" s="144" customFormat="1" x14ac:dyDescent="0.3">
      <c r="A363" s="106" t="s">
        <v>897</v>
      </c>
      <c r="B363" s="106" t="s">
        <v>1884</v>
      </c>
      <c r="C363" s="106" t="s">
        <v>1898</v>
      </c>
      <c r="D363" s="106" t="str">
        <f>IF(MouserListTable1218[[#This Row],[Vendor]]=FilterSpecs!$A$8,MouserListTable1218[[#This Row],[Mouser SKU]], MouserListTable1218[[#This Row],[Supplier SKU]])</f>
        <v>1769</v>
      </c>
      <c r="E363" s="121">
        <f>MouserListTable1218[[#This Row],[Tot '#]]-MouserListTable1218[[#This Row],['# Initial]]</f>
        <v>0</v>
      </c>
      <c r="F363" s="121">
        <f>MouserListTable1218[[#This Row],['#/Unit]]*FilterSpecs!$B$3+MouserListTable1218[[#This Row],[Extra Initial]]</f>
        <v>0</v>
      </c>
      <c r="G363" s="103"/>
      <c r="H363" s="103"/>
      <c r="I363" s="146" t="s">
        <v>2147</v>
      </c>
      <c r="J363" s="146"/>
      <c r="K363" s="158">
        <v>0.75</v>
      </c>
      <c r="L363" s="146" t="s">
        <v>1910</v>
      </c>
      <c r="M363" s="146"/>
      <c r="N363" s="157">
        <f>MouserListTable1218[[#This Row],['# Initial]]*MouserListTable1218[[#This Row],[Price (USD)]]</f>
        <v>0</v>
      </c>
      <c r="O363" s="106" t="s">
        <v>2146</v>
      </c>
      <c r="P363" s="103">
        <f t="shared" si="6"/>
        <v>344</v>
      </c>
      <c r="Q363" s="103" t="s">
        <v>1898</v>
      </c>
      <c r="R36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485-1769</v>
      </c>
      <c r="S363" s="121">
        <v>0</v>
      </c>
      <c r="T363" s="121">
        <v>0</v>
      </c>
      <c r="U363" s="121">
        <v>0</v>
      </c>
      <c r="V363" s="121">
        <f>MouserListTable1218[[#This Row],['#/Unit]]*FilterSpecs!$C$3+MouserListTable1218[[#This Row],[Extra]]</f>
        <v>0</v>
      </c>
      <c r="W363" s="121">
        <f>IF(MouserListTable1218[[#This Row],[Tag]]=FilterSpecs!$F$7,MouserListTable1218[[#This Row],[Price (USD)]],0)</f>
        <v>0</v>
      </c>
      <c r="X363" s="121">
        <f>MouserListTable1218[[#This Row],[Tot '#]]*MouserListTable1218[[#This Row],[Price (USD)]]</f>
        <v>0</v>
      </c>
    </row>
    <row r="364" spans="1:24" s="144" customFormat="1" x14ac:dyDescent="0.3">
      <c r="A364" s="106" t="s">
        <v>897</v>
      </c>
      <c r="B364" s="106" t="s">
        <v>1884</v>
      </c>
      <c r="C364" s="106" t="s">
        <v>1898</v>
      </c>
      <c r="D364" s="106" t="str">
        <f>IF(MouserListTable1218[[#This Row],[Vendor]]=FilterSpecs!$A$8,MouserListTable1218[[#This Row],[Mouser SKU]], MouserListTable1218[[#This Row],[Supplier SKU]])</f>
        <v>1863</v>
      </c>
      <c r="E364" s="121">
        <f>MouserListTable1218[[#This Row],[Tot '#]]-MouserListTable1218[[#This Row],['# Initial]]</f>
        <v>0</v>
      </c>
      <c r="F364" s="121">
        <f>MouserListTable1218[[#This Row],['#/Unit]]*FilterSpecs!$B$3+MouserListTable1218[[#This Row],[Extra Initial]]</f>
        <v>0</v>
      </c>
      <c r="G364" s="103"/>
      <c r="H364" s="103"/>
      <c r="I364" s="146" t="s">
        <v>2149</v>
      </c>
      <c r="J364" s="146"/>
      <c r="K364" s="158">
        <v>2.5</v>
      </c>
      <c r="L364" s="146" t="s">
        <v>1910</v>
      </c>
      <c r="M364" s="146"/>
      <c r="N364" s="157">
        <f>MouserListTable1218[[#This Row],['# Initial]]*MouserListTable1218[[#This Row],[Price (USD)]]</f>
        <v>0</v>
      </c>
      <c r="O364" s="106" t="s">
        <v>2148</v>
      </c>
      <c r="P364" s="103">
        <f t="shared" si="6"/>
        <v>345</v>
      </c>
      <c r="Q364" s="103" t="s">
        <v>1898</v>
      </c>
      <c r="R36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485-1863</v>
      </c>
      <c r="S364" s="121">
        <v>0</v>
      </c>
      <c r="T364" s="121">
        <v>0</v>
      </c>
      <c r="U364" s="121">
        <v>0</v>
      </c>
      <c r="V364" s="121">
        <f>MouserListTable1218[[#This Row],['#/Unit]]*FilterSpecs!$C$3+MouserListTable1218[[#This Row],[Extra]]</f>
        <v>0</v>
      </c>
      <c r="W364" s="121">
        <f>IF(MouserListTable1218[[#This Row],[Tag]]=FilterSpecs!$F$7,MouserListTable1218[[#This Row],[Price (USD)]],0)</f>
        <v>0</v>
      </c>
      <c r="X364" s="121">
        <f>MouserListTable1218[[#This Row],[Tot '#]]*MouserListTable1218[[#This Row],[Price (USD)]]</f>
        <v>0</v>
      </c>
    </row>
    <row r="365" spans="1:24" s="144" customFormat="1" x14ac:dyDescent="0.3">
      <c r="A365" s="146" t="s">
        <v>897</v>
      </c>
      <c r="B365" s="146" t="s">
        <v>1886</v>
      </c>
      <c r="C365" s="146" t="s">
        <v>8</v>
      </c>
      <c r="D365" s="106" t="str">
        <f>IF(MouserListTable1218[[#This Row],[Vendor]]=FilterSpecs!$A$8,MouserListTable1218[[#This Row],[Mouser SKU]], MouserListTable1218[[#This Row],[Supplier SKU]])</f>
        <v>PRT-08233</v>
      </c>
      <c r="E365" s="121">
        <f>MouserListTable1218[[#This Row],[Tot '#]]-MouserListTable1218[[#This Row],['# Initial]]</f>
        <v>0</v>
      </c>
      <c r="F365" s="121">
        <f>MouserListTable1218[[#This Row],['#/Unit]]*FilterSpecs!$B$3+MouserListTable1218[[#This Row],[Extra Initial]]</f>
        <v>0</v>
      </c>
      <c r="G365" s="103" t="s">
        <v>1366</v>
      </c>
      <c r="H365" s="103" t="s">
        <v>1367</v>
      </c>
      <c r="I365" s="106" t="s">
        <v>1368</v>
      </c>
      <c r="J365" s="103">
        <v>1</v>
      </c>
      <c r="K365" s="157">
        <v>0.45</v>
      </c>
      <c r="L365" s="106" t="s">
        <v>1910</v>
      </c>
      <c r="M365" s="103"/>
      <c r="N365" s="157">
        <f>MouserListTable1218[[#This Row],['# Initial]]*MouserListTable1218[[#This Row],[Price (USD)]]</f>
        <v>0</v>
      </c>
      <c r="O365" s="106" t="s">
        <v>1365</v>
      </c>
      <c r="P365" s="103">
        <f t="shared" si="6"/>
        <v>346</v>
      </c>
      <c r="Q365" s="103" t="s">
        <v>8</v>
      </c>
      <c r="R36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474-PRT-08233</v>
      </c>
      <c r="S365" s="121">
        <v>0</v>
      </c>
      <c r="T365" s="121">
        <v>0</v>
      </c>
      <c r="U365" s="121">
        <v>0</v>
      </c>
      <c r="V365" s="121">
        <f>MouserListTable1218[[#This Row],['#/Unit]]*FilterSpecs!$C$3+MouserListTable1218[[#This Row],[Extra]]</f>
        <v>0</v>
      </c>
      <c r="W365" s="121">
        <f>IF(MouserListTable1218[[#This Row],[Tag]]=FilterSpecs!$F$7,MouserListTable1218[[#This Row],[Price (USD)]],0)</f>
        <v>0</v>
      </c>
      <c r="X365" s="121">
        <f>MouserListTable1218[[#This Row],[Tot '#]]*MouserListTable1218[[#This Row],[Price (USD)]]</f>
        <v>0</v>
      </c>
    </row>
    <row r="366" spans="1:24" s="144" customFormat="1" x14ac:dyDescent="0.3">
      <c r="A366" s="146" t="s">
        <v>897</v>
      </c>
      <c r="B366" s="146" t="s">
        <v>1886</v>
      </c>
      <c r="C366" s="146" t="s">
        <v>8</v>
      </c>
      <c r="D366" s="106" t="str">
        <f>IF(MouserListTable1218[[#This Row],[Vendor]]=FilterSpecs!$A$8,MouserListTable1218[[#This Row],[Mouser SKU]], MouserListTable1218[[#This Row],[Supplier SKU]])</f>
        <v>PRT-08095</v>
      </c>
      <c r="E366" s="121">
        <f>MouserListTable1218[[#This Row],[Tot '#]]-MouserListTable1218[[#This Row],['# Initial]]</f>
        <v>0</v>
      </c>
      <c r="F366" s="121">
        <f>MouserListTable1218[[#This Row],['#/Unit]]*FilterSpecs!$B$3+MouserListTable1218[[#This Row],[Extra Initial]]</f>
        <v>0</v>
      </c>
      <c r="G366" s="103" t="s">
        <v>1374</v>
      </c>
      <c r="H366" s="103" t="s">
        <v>1375</v>
      </c>
      <c r="I366" s="106" t="s">
        <v>1376</v>
      </c>
      <c r="J366" s="103">
        <v>1</v>
      </c>
      <c r="K366" s="157">
        <v>0.45</v>
      </c>
      <c r="L366" s="106" t="s">
        <v>1910</v>
      </c>
      <c r="M366" s="103"/>
      <c r="N366" s="157">
        <f>MouserListTable1218[[#This Row],['# Initial]]*MouserListTable1218[[#This Row],[Price (USD)]]</f>
        <v>0</v>
      </c>
      <c r="O366" s="106" t="s">
        <v>1373</v>
      </c>
      <c r="P366" s="103">
        <f t="shared" si="6"/>
        <v>347</v>
      </c>
      <c r="Q366" s="103" t="s">
        <v>8</v>
      </c>
      <c r="R36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474-PRT-08095</v>
      </c>
      <c r="S366" s="121">
        <v>0</v>
      </c>
      <c r="T366" s="121">
        <v>0</v>
      </c>
      <c r="U366" s="121">
        <v>0</v>
      </c>
      <c r="V366" s="121">
        <f>MouserListTable1218[[#This Row],['#/Unit]]*FilterSpecs!$C$3+MouserListTable1218[[#This Row],[Extra]]</f>
        <v>0</v>
      </c>
      <c r="W366" s="121">
        <f>IF(MouserListTable1218[[#This Row],[Tag]]=FilterSpecs!$F$7,MouserListTable1218[[#This Row],[Price (USD)]],0)</f>
        <v>0</v>
      </c>
      <c r="X366" s="121">
        <f>MouserListTable1218[[#This Row],[Tot '#]]*MouserListTable1218[[#This Row],[Price (USD)]]</f>
        <v>0</v>
      </c>
    </row>
    <row r="367" spans="1:24" s="144" customFormat="1" x14ac:dyDescent="0.3">
      <c r="A367" s="106" t="s">
        <v>897</v>
      </c>
      <c r="B367" s="106" t="s">
        <v>1886</v>
      </c>
      <c r="C367" s="106" t="s">
        <v>8</v>
      </c>
      <c r="D367" s="106" t="str">
        <f>IF(MouserListTable1218[[#This Row],[Vendor]]=FilterSpecs!$A$8,MouserListTable1218[[#This Row],[Mouser SKU]], MouserListTable1218[[#This Row],[Supplier SKU]])</f>
        <v>PRT-08232</v>
      </c>
      <c r="E367" s="121">
        <f>MouserListTable1218[[#This Row],[Tot '#]]-MouserListTable1218[[#This Row],['# Initial]]</f>
        <v>0</v>
      </c>
      <c r="F367" s="121">
        <f>MouserListTable1218[[#This Row],['#/Unit]]*FilterSpecs!$B$3+MouserListTable1218[[#This Row],[Extra Initial]]</f>
        <v>6</v>
      </c>
      <c r="G367" s="103" t="s">
        <v>1382</v>
      </c>
      <c r="H367" s="103" t="s">
        <v>1383</v>
      </c>
      <c r="I367" s="106" t="s">
        <v>1384</v>
      </c>
      <c r="J367" s="103">
        <v>1</v>
      </c>
      <c r="K367" s="157">
        <v>0.45</v>
      </c>
      <c r="L367" s="106" t="s">
        <v>1911</v>
      </c>
      <c r="M367" s="103"/>
      <c r="N367" s="157">
        <f>MouserListTable1218[[#This Row],['# Initial]]*MouserListTable1218[[#This Row],[Price (USD)]]</f>
        <v>2.7</v>
      </c>
      <c r="O367" s="106" t="s">
        <v>1381</v>
      </c>
      <c r="P367" s="103">
        <f t="shared" si="6"/>
        <v>348</v>
      </c>
      <c r="Q367" s="103" t="s">
        <v>8</v>
      </c>
      <c r="R36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474-PRT-08232</v>
      </c>
      <c r="S367" s="121">
        <v>1</v>
      </c>
      <c r="T367" s="121">
        <v>1</v>
      </c>
      <c r="U367" s="121">
        <v>1</v>
      </c>
      <c r="V367" s="121">
        <f>MouserListTable1218[[#This Row],['#/Unit]]*FilterSpecs!$C$3+MouserListTable1218[[#This Row],[Extra]]</f>
        <v>6</v>
      </c>
      <c r="W367" s="121">
        <f>IF(MouserListTable1218[[#This Row],[Tag]]=FilterSpecs!$F$7,MouserListTable1218[[#This Row],[Price (USD)]],0)</f>
        <v>0.45</v>
      </c>
      <c r="X367" s="121">
        <f>MouserListTable1218[[#This Row],[Tot '#]]*MouserListTable1218[[#This Row],[Price (USD)]]</f>
        <v>2.7</v>
      </c>
    </row>
    <row r="368" spans="1:24" s="144" customFormat="1" x14ac:dyDescent="0.3">
      <c r="A368" s="106" t="s">
        <v>897</v>
      </c>
      <c r="B368" s="106" t="s">
        <v>1886</v>
      </c>
      <c r="C368" s="106" t="s">
        <v>8</v>
      </c>
      <c r="D368" s="106" t="str">
        <f>IF(MouserListTable1218[[#This Row],[Vendor]]=FilterSpecs!$A$8,MouserListTable1218[[#This Row],[Mouser SKU]], MouserListTable1218[[#This Row],[Supplier SKU]])</f>
        <v>PRT-08096</v>
      </c>
      <c r="E368" s="121">
        <f>MouserListTable1218[[#This Row],[Tot '#]]-MouserListTable1218[[#This Row],['# Initial]]</f>
        <v>0</v>
      </c>
      <c r="F368" s="121">
        <f>MouserListTable1218[[#This Row],['#/Unit]]*FilterSpecs!$B$3+MouserListTable1218[[#This Row],[Extra Initial]]</f>
        <v>6</v>
      </c>
      <c r="G368" s="103" t="s">
        <v>1386</v>
      </c>
      <c r="H368" s="103" t="s">
        <v>1387</v>
      </c>
      <c r="I368" s="106" t="s">
        <v>1388</v>
      </c>
      <c r="J368" s="103">
        <v>1</v>
      </c>
      <c r="K368" s="157">
        <v>0.45</v>
      </c>
      <c r="L368" s="106" t="s">
        <v>1911</v>
      </c>
      <c r="M368" s="103"/>
      <c r="N368" s="157">
        <f>MouserListTable1218[[#This Row],['# Initial]]*MouserListTable1218[[#This Row],[Price (USD)]]</f>
        <v>2.7</v>
      </c>
      <c r="O368" s="106" t="s">
        <v>1385</v>
      </c>
      <c r="P368" s="103">
        <f t="shared" si="6"/>
        <v>349</v>
      </c>
      <c r="Q368" s="103" t="s">
        <v>8</v>
      </c>
      <c r="R36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474-PRT-08096</v>
      </c>
      <c r="S368" s="121">
        <v>1</v>
      </c>
      <c r="T368" s="121">
        <v>1</v>
      </c>
      <c r="U368" s="121">
        <v>1</v>
      </c>
      <c r="V368" s="121">
        <f>MouserListTable1218[[#This Row],['#/Unit]]*FilterSpecs!$C$3+MouserListTable1218[[#This Row],[Extra]]</f>
        <v>6</v>
      </c>
      <c r="W368" s="121">
        <f>IF(MouserListTable1218[[#This Row],[Tag]]=FilterSpecs!$F$7,MouserListTable1218[[#This Row],[Price (USD)]],0)</f>
        <v>0.45</v>
      </c>
      <c r="X368" s="121">
        <f>MouserListTable1218[[#This Row],[Tot '#]]*MouserListTable1218[[#This Row],[Price (USD)]]</f>
        <v>2.7</v>
      </c>
    </row>
    <row r="369" spans="1:24" s="144" customFormat="1" x14ac:dyDescent="0.3">
      <c r="A369" s="106" t="s">
        <v>897</v>
      </c>
      <c r="B369" s="106" t="s">
        <v>1886</v>
      </c>
      <c r="C369" s="106" t="s">
        <v>8</v>
      </c>
      <c r="D369" s="106" t="str">
        <f>IF(MouserListTable1218[[#This Row],[Vendor]]=FilterSpecs!$A$8,MouserListTable1218[[#This Row],[Mouser SKU]], MouserListTable1218[[#This Row],[Supplier SKU]])</f>
        <v>PRT-08231</v>
      </c>
      <c r="E369" s="121">
        <f>MouserListTable1218[[#This Row],[Tot '#]]-MouserListTable1218[[#This Row],['# Initial]]</f>
        <v>0</v>
      </c>
      <c r="F369" s="121">
        <f>MouserListTable1218[[#This Row],['#/Unit]]*FilterSpecs!$B$3+MouserListTable1218[[#This Row],[Extra Initial]]</f>
        <v>6</v>
      </c>
      <c r="G369" s="103" t="s">
        <v>1370</v>
      </c>
      <c r="H369" s="103" t="s">
        <v>1371</v>
      </c>
      <c r="I369" s="106" t="s">
        <v>1372</v>
      </c>
      <c r="J369" s="103">
        <v>1</v>
      </c>
      <c r="K369" s="157">
        <v>0.45</v>
      </c>
      <c r="L369" s="106" t="s">
        <v>1911</v>
      </c>
      <c r="M369" s="103"/>
      <c r="N369" s="157">
        <f>MouserListTable1218[[#This Row],['# Initial]]*MouserListTable1218[[#This Row],[Price (USD)]]</f>
        <v>2.7</v>
      </c>
      <c r="O369" s="106" t="s">
        <v>1369</v>
      </c>
      <c r="P369" s="103">
        <f t="shared" si="6"/>
        <v>350</v>
      </c>
      <c r="Q369" s="103" t="s">
        <v>8</v>
      </c>
      <c r="R36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474-PRT-08231</v>
      </c>
      <c r="S369" s="121">
        <v>1</v>
      </c>
      <c r="T369" s="121">
        <v>1</v>
      </c>
      <c r="U369" s="121">
        <v>1</v>
      </c>
      <c r="V369" s="121">
        <f>MouserListTable1218[[#This Row],['#/Unit]]*FilterSpecs!$C$3+MouserListTable1218[[#This Row],[Extra]]</f>
        <v>6</v>
      </c>
      <c r="W369" s="121">
        <f>IF(MouserListTable1218[[#This Row],[Tag]]=FilterSpecs!$F$7,MouserListTable1218[[#This Row],[Price (USD)]],0)</f>
        <v>0.45</v>
      </c>
      <c r="X369" s="121">
        <f>MouserListTable1218[[#This Row],[Tot '#]]*MouserListTable1218[[#This Row],[Price (USD)]]</f>
        <v>2.7</v>
      </c>
    </row>
    <row r="370" spans="1:24" s="144" customFormat="1" x14ac:dyDescent="0.3">
      <c r="A370" s="106" t="s">
        <v>897</v>
      </c>
      <c r="B370" s="106" t="s">
        <v>1886</v>
      </c>
      <c r="C370" s="106" t="s">
        <v>8</v>
      </c>
      <c r="D370" s="106" t="str">
        <f>IF(MouserListTable1218[[#This Row],[Vendor]]=FilterSpecs!$A$8,MouserListTable1218[[#This Row],[Mouser SKU]], MouserListTable1218[[#This Row],[Supplier SKU]])</f>
        <v>PRT-08097</v>
      </c>
      <c r="E370" s="121">
        <f>MouserListTable1218[[#This Row],[Tot '#]]-MouserListTable1218[[#This Row],['# Initial]]</f>
        <v>0</v>
      </c>
      <c r="F370" s="121">
        <f>MouserListTable1218[[#This Row],['#/Unit]]*FilterSpecs!$B$3+MouserListTable1218[[#This Row],[Extra Initial]]</f>
        <v>6</v>
      </c>
      <c r="G370" s="103" t="s">
        <v>1358</v>
      </c>
      <c r="H370" s="103" t="s">
        <v>1359</v>
      </c>
      <c r="I370" s="106" t="s">
        <v>1360</v>
      </c>
      <c r="J370" s="103">
        <v>1</v>
      </c>
      <c r="K370" s="157">
        <v>0.45</v>
      </c>
      <c r="L370" s="106" t="s">
        <v>1911</v>
      </c>
      <c r="M370" s="103"/>
      <c r="N370" s="157">
        <f>MouserListTable1218[[#This Row],['# Initial]]*MouserListTable1218[[#This Row],[Price (USD)]]</f>
        <v>2.7</v>
      </c>
      <c r="O370" s="106" t="s">
        <v>1357</v>
      </c>
      <c r="P370" s="103">
        <f t="shared" si="6"/>
        <v>351</v>
      </c>
      <c r="Q370" s="103" t="s">
        <v>8</v>
      </c>
      <c r="R37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474-PRT-08097</v>
      </c>
      <c r="S370" s="121">
        <v>1</v>
      </c>
      <c r="T370" s="121">
        <v>1</v>
      </c>
      <c r="U370" s="121">
        <v>1</v>
      </c>
      <c r="V370" s="121">
        <f>MouserListTable1218[[#This Row],['#/Unit]]*FilterSpecs!$C$3+MouserListTable1218[[#This Row],[Extra]]</f>
        <v>6</v>
      </c>
      <c r="W370" s="121">
        <f>IF(MouserListTable1218[[#This Row],[Tag]]=FilterSpecs!$F$7,MouserListTable1218[[#This Row],[Price (USD)]],0)</f>
        <v>0.45</v>
      </c>
      <c r="X370" s="121">
        <f>MouserListTable1218[[#This Row],[Tot '#]]*MouserListTable1218[[#This Row],[Price (USD)]]</f>
        <v>2.7</v>
      </c>
    </row>
    <row r="371" spans="1:24" s="144" customFormat="1" x14ac:dyDescent="0.3">
      <c r="A371" s="106" t="s">
        <v>897</v>
      </c>
      <c r="B371" s="106" t="s">
        <v>1886</v>
      </c>
      <c r="C371" s="106" t="s">
        <v>8</v>
      </c>
      <c r="D371" s="106" t="str">
        <f>IF(MouserListTable1218[[#This Row],[Vendor]]=FilterSpecs!$A$8,MouserListTable1218[[#This Row],[Mouser SKU]], MouserListTable1218[[#This Row],[Supplier SKU]])</f>
        <v>PRT-08100</v>
      </c>
      <c r="E371" s="121">
        <f>MouserListTable1218[[#This Row],[Tot '#]]-MouserListTable1218[[#This Row],['# Initial]]</f>
        <v>0</v>
      </c>
      <c r="F371" s="121">
        <f>MouserListTable1218[[#This Row],['#/Unit]]*FilterSpecs!$B$3+MouserListTable1218[[#This Row],[Extra Initial]]</f>
        <v>6</v>
      </c>
      <c r="G371" s="103" t="s">
        <v>2427</v>
      </c>
      <c r="H371" s="103" t="s">
        <v>2428</v>
      </c>
      <c r="I371" s="106" t="s">
        <v>2429</v>
      </c>
      <c r="J371" s="103">
        <v>1</v>
      </c>
      <c r="K371" s="157">
        <v>1.95</v>
      </c>
      <c r="L371" s="106" t="s">
        <v>1911</v>
      </c>
      <c r="M371" s="106"/>
      <c r="N371" s="157">
        <f>MouserListTable1218[[#This Row],['# Initial]]*MouserListTable1218[[#This Row],[Price (USD)]]</f>
        <v>11.7</v>
      </c>
      <c r="O371" s="106" t="s">
        <v>2426</v>
      </c>
      <c r="P371" s="103">
        <f t="shared" si="6"/>
        <v>352</v>
      </c>
      <c r="Q371" s="103" t="s">
        <v>8</v>
      </c>
      <c r="R37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474-PRT-08100</v>
      </c>
      <c r="S371" s="121">
        <v>1</v>
      </c>
      <c r="T371" s="121">
        <v>1</v>
      </c>
      <c r="U371" s="121">
        <v>1</v>
      </c>
      <c r="V371" s="121">
        <f>MouserListTable1218[[#This Row],['#/Unit]]*FilterSpecs!$C$3+MouserListTable1218[[#This Row],[Extra]]</f>
        <v>6</v>
      </c>
      <c r="W371" s="121">
        <f>IF(MouserListTable1218[[#This Row],[Tag]]=FilterSpecs!$F$7,MouserListTable1218[[#This Row],[Price (USD)]],0)</f>
        <v>1.95</v>
      </c>
      <c r="X371" s="121">
        <f>MouserListTable1218[[#This Row],[Tot '#]]*MouserListTable1218[[#This Row],[Price (USD)]]</f>
        <v>11.7</v>
      </c>
    </row>
    <row r="372" spans="1:24" s="146" customFormat="1" x14ac:dyDescent="0.3">
      <c r="A372" s="106" t="s">
        <v>897</v>
      </c>
      <c r="B372" s="106" t="s">
        <v>1885</v>
      </c>
      <c r="C372" s="106" t="s">
        <v>8</v>
      </c>
      <c r="D372" s="106" t="str">
        <f>IF(MouserListTable1218[[#This Row],[Vendor]]=FilterSpecs!$A$8,MouserListTable1218[[#This Row],[Mouser SKU]], MouserListTable1218[[#This Row],[Supplier SKU]])</f>
        <v>PRT-10651</v>
      </c>
      <c r="E372" s="121">
        <f>MouserListTable1218[[#This Row],[Tot '#]]-MouserListTable1218[[#This Row],['# Initial]]</f>
        <v>0</v>
      </c>
      <c r="F372" s="121">
        <f>MouserListTable1218[[#This Row],['#/Unit]]*FilterSpecs!$B$3+MouserListTable1218[[#This Row],[Extra Initial]]</f>
        <v>10</v>
      </c>
      <c r="G372" s="103" t="s">
        <v>1588</v>
      </c>
      <c r="H372" s="103" t="s">
        <v>1589</v>
      </c>
      <c r="I372" s="106" t="s">
        <v>1590</v>
      </c>
      <c r="J372" s="103">
        <v>1</v>
      </c>
      <c r="K372" s="157">
        <v>0.35</v>
      </c>
      <c r="L372" s="106" t="s">
        <v>1911</v>
      </c>
      <c r="M372" s="103"/>
      <c r="N372" s="157">
        <f>MouserListTable1218[[#This Row],['# Initial]]*MouserListTable1218[[#This Row],[Price (USD)]]</f>
        <v>3.5</v>
      </c>
      <c r="O372" s="106" t="s">
        <v>1587</v>
      </c>
      <c r="P372" s="103">
        <f t="shared" si="6"/>
        <v>353</v>
      </c>
      <c r="Q372" s="103" t="s">
        <v>8</v>
      </c>
      <c r="R37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474-PRT-10651</v>
      </c>
      <c r="S372" s="121">
        <v>2</v>
      </c>
      <c r="T372" s="121">
        <v>0</v>
      </c>
      <c r="U372" s="121">
        <v>0</v>
      </c>
      <c r="V372" s="121">
        <f>MouserListTable1218[[#This Row],['#/Unit]]*FilterSpecs!$C$3+MouserListTable1218[[#This Row],[Extra]]</f>
        <v>10</v>
      </c>
      <c r="W372" s="121">
        <f>IF(MouserListTable1218[[#This Row],[Tag]]=FilterSpecs!$F$7,MouserListTable1218[[#This Row],[Price (USD)]],0)</f>
        <v>0.35</v>
      </c>
      <c r="X372" s="121">
        <f>MouserListTable1218[[#This Row],[Tot '#]]*MouserListTable1218[[#This Row],[Price (USD)]]</f>
        <v>3.5</v>
      </c>
    </row>
    <row r="373" spans="1:24" s="146" customFormat="1" x14ac:dyDescent="0.3">
      <c r="A373" s="106" t="s">
        <v>897</v>
      </c>
      <c r="B373" s="106" t="s">
        <v>1885</v>
      </c>
      <c r="C373" s="106" t="s">
        <v>8</v>
      </c>
      <c r="D373" s="106" t="str">
        <f>IF(MouserListTable1218[[#This Row],[Vendor]]=FilterSpecs!$A$8,MouserListTable1218[[#This Row],[Mouser SKU]], MouserListTable1218[[#This Row],[Supplier SKU]])</f>
        <v>PRT-10650</v>
      </c>
      <c r="E373" s="121">
        <f>MouserListTable1218[[#This Row],[Tot '#]]-MouserListTable1218[[#This Row],['# Initial]]</f>
        <v>0</v>
      </c>
      <c r="F373" s="121">
        <f>MouserListTable1218[[#This Row],['#/Unit]]*FilterSpecs!$B$3+MouserListTable1218[[#This Row],[Extra Initial]]</f>
        <v>10</v>
      </c>
      <c r="G373" s="103" t="s">
        <v>1584</v>
      </c>
      <c r="H373" s="103" t="s">
        <v>1585</v>
      </c>
      <c r="I373" s="106" t="s">
        <v>1586</v>
      </c>
      <c r="J373" s="103">
        <v>1</v>
      </c>
      <c r="K373" s="157">
        <v>0.5</v>
      </c>
      <c r="L373" s="106" t="s">
        <v>1911</v>
      </c>
      <c r="M373" s="103"/>
      <c r="N373" s="157">
        <f>MouserListTable1218[[#This Row],['# Initial]]*MouserListTable1218[[#This Row],[Price (USD)]]</f>
        <v>5</v>
      </c>
      <c r="O373" s="106" t="s">
        <v>1583</v>
      </c>
      <c r="P373" s="103">
        <f t="shared" si="6"/>
        <v>354</v>
      </c>
      <c r="Q373" s="103" t="s">
        <v>8</v>
      </c>
      <c r="R37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474-PRT-10650</v>
      </c>
      <c r="S373" s="121">
        <v>2</v>
      </c>
      <c r="T373" s="121">
        <v>0</v>
      </c>
      <c r="U373" s="121">
        <v>0</v>
      </c>
      <c r="V373" s="121">
        <f>MouserListTable1218[[#This Row],['#/Unit]]*FilterSpecs!$C$3+MouserListTable1218[[#This Row],[Extra]]</f>
        <v>10</v>
      </c>
      <c r="W373" s="121">
        <f>IF(MouserListTable1218[[#This Row],[Tag]]=FilterSpecs!$F$7,MouserListTable1218[[#This Row],[Price (USD)]],0)</f>
        <v>0.5</v>
      </c>
      <c r="X373" s="121">
        <f>MouserListTable1218[[#This Row],[Tot '#]]*MouserListTable1218[[#This Row],[Price (USD)]]</f>
        <v>5</v>
      </c>
    </row>
    <row r="374" spans="1:24" s="146" customFormat="1" x14ac:dyDescent="0.3">
      <c r="A374" s="146" t="s">
        <v>897</v>
      </c>
      <c r="B374" s="146" t="s">
        <v>1888</v>
      </c>
      <c r="C374" s="146" t="s">
        <v>8</v>
      </c>
      <c r="D374" s="106" t="str">
        <f>IF(MouserListTable1218[[#This Row],[Vendor]]=FilterSpecs!$A$8,MouserListTable1218[[#This Row],[Mouser SKU]], MouserListTable1218[[#This Row],[Supplier SKU]])</f>
        <v>PRT-10571</v>
      </c>
      <c r="E374" s="121">
        <f>MouserListTable1218[[#This Row],[Tot '#]]-MouserListTable1218[[#This Row],['# Initial]]</f>
        <v>0</v>
      </c>
      <c r="F374" s="121">
        <f>MouserListTable1218[[#This Row],['#/Unit]]*FilterSpecs!$B$3+MouserListTable1218[[#This Row],[Extra Initial]]</f>
        <v>0</v>
      </c>
      <c r="G374" s="103" t="s">
        <v>458</v>
      </c>
      <c r="H374" s="103" t="s">
        <v>459</v>
      </c>
      <c r="I374" s="106" t="s">
        <v>460</v>
      </c>
      <c r="J374" s="103">
        <v>1</v>
      </c>
      <c r="K374" s="157">
        <v>0.75</v>
      </c>
      <c r="L374" s="106" t="s">
        <v>1910</v>
      </c>
      <c r="M374" s="103"/>
      <c r="N374" s="157">
        <f>MouserListTable1218[[#This Row],['# Initial]]*MouserListTable1218[[#This Row],[Price (USD)]]</f>
        <v>0</v>
      </c>
      <c r="O374" s="106" t="s">
        <v>457</v>
      </c>
      <c r="P374" s="103">
        <f t="shared" si="6"/>
        <v>355</v>
      </c>
      <c r="Q374" s="103" t="s">
        <v>8</v>
      </c>
      <c r="R37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474-PRT-10571</v>
      </c>
      <c r="S374" s="121">
        <v>0</v>
      </c>
      <c r="T374" s="121">
        <v>0</v>
      </c>
      <c r="U374" s="121">
        <v>0</v>
      </c>
      <c r="V374" s="121">
        <f>MouserListTable1218[[#This Row],['#/Unit]]*FilterSpecs!$C$3+MouserListTable1218[[#This Row],[Extra]]</f>
        <v>0</v>
      </c>
      <c r="W374" s="121">
        <f>IF(MouserListTable1218[[#This Row],[Tag]]=FilterSpecs!$F$7,MouserListTable1218[[#This Row],[Price (USD)]],0)</f>
        <v>0</v>
      </c>
      <c r="X374" s="121">
        <f>MouserListTable1218[[#This Row],[Tot '#]]*MouserListTable1218[[#This Row],[Price (USD)]]</f>
        <v>0</v>
      </c>
    </row>
    <row r="375" spans="1:24" s="146" customFormat="1" x14ac:dyDescent="0.3">
      <c r="A375" s="106" t="s">
        <v>897</v>
      </c>
      <c r="B375" s="106" t="s">
        <v>1888</v>
      </c>
      <c r="C375" s="106" t="s">
        <v>8</v>
      </c>
      <c r="D375" s="106" t="str">
        <f>IF(MouserListTable1218[[#This Row],[Vendor]]=FilterSpecs!$A$8,MouserListTable1218[[#This Row],[Mouser SKU]], MouserListTable1218[[#This Row],[Supplier SKU]])</f>
        <v>PRT-08432</v>
      </c>
      <c r="E375" s="121">
        <f>MouserListTable1218[[#This Row],[Tot '#]]-MouserListTable1218[[#This Row],['# Initial]]</f>
        <v>0</v>
      </c>
      <c r="F375" s="121">
        <f>MouserListTable1218[[#This Row],['#/Unit]]*FilterSpecs!$B$3+MouserListTable1218[[#This Row],[Extra Initial]]</f>
        <v>10</v>
      </c>
      <c r="G375" s="103" t="s">
        <v>902</v>
      </c>
      <c r="H375" s="103" t="s">
        <v>903</v>
      </c>
      <c r="I375" s="106" t="s">
        <v>904</v>
      </c>
      <c r="J375" s="103">
        <v>1</v>
      </c>
      <c r="K375" s="157">
        <v>0.95</v>
      </c>
      <c r="L375" s="106" t="s">
        <v>1911</v>
      </c>
      <c r="M375" s="103"/>
      <c r="N375" s="157">
        <f>MouserListTable1218[[#This Row],['# Initial]]*MouserListTable1218[[#This Row],[Price (USD)]]</f>
        <v>9.5</v>
      </c>
      <c r="O375" s="106" t="s">
        <v>901</v>
      </c>
      <c r="P375" s="103">
        <f t="shared" si="6"/>
        <v>356</v>
      </c>
      <c r="Q375" s="103" t="s">
        <v>8</v>
      </c>
      <c r="R37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474-PRT-08432</v>
      </c>
      <c r="S375" s="121">
        <v>2</v>
      </c>
      <c r="T375" s="121">
        <v>0</v>
      </c>
      <c r="U375" s="121">
        <v>0</v>
      </c>
      <c r="V375" s="121">
        <f>MouserListTable1218[[#This Row],['#/Unit]]*FilterSpecs!$C$3+MouserListTable1218[[#This Row],[Extra]]</f>
        <v>10</v>
      </c>
      <c r="W375" s="121">
        <f>IF(MouserListTable1218[[#This Row],[Tag]]=FilterSpecs!$F$7,MouserListTable1218[[#This Row],[Price (USD)]],0)</f>
        <v>0.95</v>
      </c>
      <c r="X375" s="121">
        <f>MouserListTable1218[[#This Row],[Tot '#]]*MouserListTable1218[[#This Row],[Price (USD)]]</f>
        <v>9.5</v>
      </c>
    </row>
    <row r="376" spans="1:24" s="146" customFormat="1" x14ac:dyDescent="0.3">
      <c r="A376" s="106" t="s">
        <v>897</v>
      </c>
      <c r="B376" s="106" t="s">
        <v>1888</v>
      </c>
      <c r="C376" s="106" t="s">
        <v>8</v>
      </c>
      <c r="D376" s="106" t="str">
        <f>IF(MouserListTable1218[[#This Row],[Vendor]]=FilterSpecs!$A$8,MouserListTable1218[[#This Row],[Mouser SKU]], MouserListTable1218[[#This Row],[Supplier SKU]])</f>
        <v>PRT-08433</v>
      </c>
      <c r="E376" s="121">
        <f>MouserListTable1218[[#This Row],[Tot '#]]-MouserListTable1218[[#This Row],['# Initial]]</f>
        <v>0</v>
      </c>
      <c r="F376" s="121">
        <f>MouserListTable1218[[#This Row],['#/Unit]]*FilterSpecs!$B$3+MouserListTable1218[[#This Row],[Extra Initial]]</f>
        <v>10</v>
      </c>
      <c r="G376" s="103" t="s">
        <v>1414</v>
      </c>
      <c r="H376" s="103" t="s">
        <v>1415</v>
      </c>
      <c r="I376" s="106" t="s">
        <v>1416</v>
      </c>
      <c r="J376" s="103">
        <v>1</v>
      </c>
      <c r="K376" s="157">
        <v>0.95</v>
      </c>
      <c r="L376" s="106" t="s">
        <v>1911</v>
      </c>
      <c r="M376" s="103"/>
      <c r="N376" s="157">
        <f>MouserListTable1218[[#This Row],['# Initial]]*MouserListTable1218[[#This Row],[Price (USD)]]</f>
        <v>9.5</v>
      </c>
      <c r="O376" s="106" t="s">
        <v>1413</v>
      </c>
      <c r="P376" s="103">
        <f t="shared" si="6"/>
        <v>357</v>
      </c>
      <c r="Q376" s="103" t="s">
        <v>8</v>
      </c>
      <c r="R37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474-PRT-08433</v>
      </c>
      <c r="S376" s="121">
        <v>2</v>
      </c>
      <c r="T376" s="121">
        <v>0</v>
      </c>
      <c r="U376" s="121">
        <v>0</v>
      </c>
      <c r="V376" s="121">
        <f>MouserListTable1218[[#This Row],['#/Unit]]*FilterSpecs!$C$3+MouserListTable1218[[#This Row],[Extra]]</f>
        <v>10</v>
      </c>
      <c r="W376" s="121">
        <f>IF(MouserListTable1218[[#This Row],[Tag]]=FilterSpecs!$F$7,MouserListTable1218[[#This Row],[Price (USD)]],0)</f>
        <v>0.95</v>
      </c>
      <c r="X376" s="121">
        <f>MouserListTable1218[[#This Row],[Tot '#]]*MouserListTable1218[[#This Row],[Price (USD)]]</f>
        <v>9.5</v>
      </c>
    </row>
    <row r="377" spans="1:24" s="146" customFormat="1" x14ac:dyDescent="0.3">
      <c r="A377" s="146" t="s">
        <v>897</v>
      </c>
      <c r="B377" s="146" t="s">
        <v>1888</v>
      </c>
      <c r="C377" s="146" t="s">
        <v>8</v>
      </c>
      <c r="D377" s="106" t="str">
        <f>IF(MouserListTable1218[[#This Row],[Vendor]]=FilterSpecs!$A$8,MouserListTable1218[[#This Row],[Mouser SKU]], MouserListTable1218[[#This Row],[Supplier SKU]])</f>
        <v>PRT-08073</v>
      </c>
      <c r="E377" s="121">
        <f>MouserListTable1218[[#This Row],[Tot '#]]-MouserListTable1218[[#This Row],['# Initial]]</f>
        <v>0</v>
      </c>
      <c r="F377" s="121">
        <f>MouserListTable1218[[#This Row],['#/Unit]]*FilterSpecs!$B$3+MouserListTable1218[[#This Row],[Extra Initial]]</f>
        <v>0</v>
      </c>
      <c r="G377" s="103" t="s">
        <v>1378</v>
      </c>
      <c r="H377" s="103" t="s">
        <v>1379</v>
      </c>
      <c r="I377" s="106" t="s">
        <v>1380</v>
      </c>
      <c r="J377" s="103">
        <v>1</v>
      </c>
      <c r="K377" s="157">
        <v>1.5</v>
      </c>
      <c r="L377" s="106" t="s">
        <v>1910</v>
      </c>
      <c r="M377" s="103"/>
      <c r="N377" s="157">
        <f>MouserListTable1218[[#This Row],['# Initial]]*MouserListTable1218[[#This Row],[Price (USD)]]</f>
        <v>0</v>
      </c>
      <c r="O377" s="106" t="s">
        <v>1377</v>
      </c>
      <c r="P377" s="103">
        <f t="shared" si="6"/>
        <v>358</v>
      </c>
      <c r="Q377" s="103" t="s">
        <v>8</v>
      </c>
      <c r="R37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474-PRT-08073</v>
      </c>
      <c r="S377" s="121">
        <v>0</v>
      </c>
      <c r="T377" s="121">
        <v>0</v>
      </c>
      <c r="U377" s="121">
        <v>0</v>
      </c>
      <c r="V377" s="121">
        <f>MouserListTable1218[[#This Row],['#/Unit]]*FilterSpecs!$C$3+MouserListTable1218[[#This Row],[Extra]]</f>
        <v>0</v>
      </c>
      <c r="W377" s="121">
        <f>IF(MouserListTable1218[[#This Row],[Tag]]=FilterSpecs!$F$7,MouserListTable1218[[#This Row],[Price (USD)]],0)</f>
        <v>0</v>
      </c>
      <c r="X377" s="121">
        <f>MouserListTable1218[[#This Row],[Tot '#]]*MouserListTable1218[[#This Row],[Price (USD)]]</f>
        <v>0</v>
      </c>
    </row>
    <row r="378" spans="1:24" s="144" customFormat="1" x14ac:dyDescent="0.3">
      <c r="A378" s="146" t="s">
        <v>897</v>
      </c>
      <c r="B378" s="146" t="s">
        <v>1888</v>
      </c>
      <c r="C378" s="146" t="s">
        <v>8</v>
      </c>
      <c r="D378" s="106" t="str">
        <f>IF(MouserListTable1218[[#This Row],[Vendor]]=FilterSpecs!$A$8,MouserListTable1218[[#This Row],[Mouser SKU]], MouserListTable1218[[#This Row],[Supplier SKU]])</f>
        <v>PRT-08074</v>
      </c>
      <c r="E378" s="121">
        <f>MouserListTable1218[[#This Row],[Tot '#]]-MouserListTable1218[[#This Row],['# Initial]]</f>
        <v>0</v>
      </c>
      <c r="F378" s="121">
        <f>MouserListTable1218[[#This Row],['#/Unit]]*FilterSpecs!$B$3+MouserListTable1218[[#This Row],[Extra Initial]]</f>
        <v>0</v>
      </c>
      <c r="G378" s="103" t="s">
        <v>1418</v>
      </c>
      <c r="H378" s="103" t="s">
        <v>1419</v>
      </c>
      <c r="I378" s="106" t="s">
        <v>1420</v>
      </c>
      <c r="J378" s="103">
        <v>1</v>
      </c>
      <c r="K378" s="157">
        <v>1.5</v>
      </c>
      <c r="L378" s="106" t="s">
        <v>1910</v>
      </c>
      <c r="M378" s="103"/>
      <c r="N378" s="157">
        <f>MouserListTable1218[[#This Row],['# Initial]]*MouserListTable1218[[#This Row],[Price (USD)]]</f>
        <v>0</v>
      </c>
      <c r="O378" s="106" t="s">
        <v>1417</v>
      </c>
      <c r="P378" s="103">
        <f t="shared" si="6"/>
        <v>359</v>
      </c>
      <c r="Q378" s="103" t="s">
        <v>8</v>
      </c>
      <c r="R37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474-PRT-08074</v>
      </c>
      <c r="S378" s="121">
        <v>0</v>
      </c>
      <c r="T378" s="121">
        <v>0</v>
      </c>
      <c r="U378" s="121">
        <v>0</v>
      </c>
      <c r="V378" s="121">
        <f>MouserListTable1218[[#This Row],['#/Unit]]*FilterSpecs!$C$3+MouserListTable1218[[#This Row],[Extra]]</f>
        <v>0</v>
      </c>
      <c r="W378" s="121">
        <f>IF(MouserListTable1218[[#This Row],[Tag]]=FilterSpecs!$F$7,MouserListTable1218[[#This Row],[Price (USD)]],0)</f>
        <v>0</v>
      </c>
      <c r="X378" s="121">
        <f>MouserListTable1218[[#This Row],[Tot '#]]*MouserListTable1218[[#This Row],[Price (USD)]]</f>
        <v>0</v>
      </c>
    </row>
    <row r="379" spans="1:24" s="144" customFormat="1" x14ac:dyDescent="0.3">
      <c r="A379" s="146" t="s">
        <v>897</v>
      </c>
      <c r="B379" s="146" t="s">
        <v>1888</v>
      </c>
      <c r="C379" s="146" t="s">
        <v>8</v>
      </c>
      <c r="D379" s="106" t="str">
        <f>IF(MouserListTable1218[[#This Row],[Vendor]]=FilterSpecs!$A$8,MouserListTable1218[[#This Row],[Mouser SKU]], MouserListTable1218[[#This Row],[Supplier SKU]])</f>
        <v>PRT-08075</v>
      </c>
      <c r="E379" s="121">
        <f>MouserListTable1218[[#This Row],[Tot '#]]-MouserListTable1218[[#This Row],['# Initial]]</f>
        <v>0</v>
      </c>
      <c r="F379" s="121">
        <f>MouserListTable1218[[#This Row],['#/Unit]]*FilterSpecs!$B$3+MouserListTable1218[[#This Row],[Extra Initial]]</f>
        <v>0</v>
      </c>
      <c r="G379" s="103" t="s">
        <v>454</v>
      </c>
      <c r="H379" s="103" t="s">
        <v>455</v>
      </c>
      <c r="I379" s="106" t="s">
        <v>456</v>
      </c>
      <c r="J379" s="103">
        <v>1</v>
      </c>
      <c r="K379" s="157">
        <v>1.5</v>
      </c>
      <c r="L379" s="106" t="s">
        <v>1910</v>
      </c>
      <c r="M379" s="103"/>
      <c r="N379" s="157">
        <f>MouserListTable1218[[#This Row],['# Initial]]*MouserListTable1218[[#This Row],[Price (USD)]]</f>
        <v>0</v>
      </c>
      <c r="O379" s="106" t="s">
        <v>453</v>
      </c>
      <c r="P379" s="103">
        <f t="shared" si="6"/>
        <v>360</v>
      </c>
      <c r="Q379" s="103" t="s">
        <v>8</v>
      </c>
      <c r="R37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474-PRT-08075</v>
      </c>
      <c r="S379" s="121">
        <v>0</v>
      </c>
      <c r="T379" s="121">
        <v>0</v>
      </c>
      <c r="U379" s="121">
        <v>0</v>
      </c>
      <c r="V379" s="121">
        <f>MouserListTable1218[[#This Row],['#/Unit]]*FilterSpecs!$C$3+MouserListTable1218[[#This Row],[Extra]]</f>
        <v>0</v>
      </c>
      <c r="W379" s="121">
        <f>IF(MouserListTable1218[[#This Row],[Tag]]=FilterSpecs!$F$7,MouserListTable1218[[#This Row],[Price (USD)]],0)</f>
        <v>0</v>
      </c>
      <c r="X379" s="121">
        <f>MouserListTable1218[[#This Row],[Tot '#]]*MouserListTable1218[[#This Row],[Price (USD)]]</f>
        <v>0</v>
      </c>
    </row>
    <row r="380" spans="1:24" s="144" customFormat="1" x14ac:dyDescent="0.3">
      <c r="A380" s="106" t="s">
        <v>897</v>
      </c>
      <c r="B380" s="106" t="s">
        <v>1888</v>
      </c>
      <c r="C380" s="106" t="s">
        <v>8</v>
      </c>
      <c r="D380" s="106" t="str">
        <f>IF(MouserListTable1218[[#This Row],[Vendor]]=FilterSpecs!$A$8,MouserListTable1218[[#This Row],[Mouser SKU]], MouserListTable1218[[#This Row],[Supplier SKU]])</f>
        <v>PRT-08077</v>
      </c>
      <c r="E380" s="121">
        <f>MouserListTable1218[[#This Row],[Tot '#]]-MouserListTable1218[[#This Row],['# Initial]]</f>
        <v>0</v>
      </c>
      <c r="F380" s="121">
        <f>MouserListTable1218[[#This Row],['#/Unit]]*FilterSpecs!$B$3+MouserListTable1218[[#This Row],[Extra Initial]]</f>
        <v>2</v>
      </c>
      <c r="G380" s="103" t="s">
        <v>450</v>
      </c>
      <c r="H380" s="103" t="s">
        <v>451</v>
      </c>
      <c r="I380" s="106" t="s">
        <v>452</v>
      </c>
      <c r="J380" s="103">
        <v>1</v>
      </c>
      <c r="K380" s="157">
        <v>1.5</v>
      </c>
      <c r="L380" s="106" t="s">
        <v>1910</v>
      </c>
      <c r="M380" s="103"/>
      <c r="N380" s="157">
        <f>MouserListTable1218[[#This Row],['# Initial]]*MouserListTable1218[[#This Row],[Price (USD)]]</f>
        <v>3</v>
      </c>
      <c r="O380" s="106" t="s">
        <v>449</v>
      </c>
      <c r="P380" s="103">
        <f t="shared" si="6"/>
        <v>361</v>
      </c>
      <c r="Q380" s="103" t="s">
        <v>8</v>
      </c>
      <c r="R38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474-PRT-08077</v>
      </c>
      <c r="S380" s="121">
        <v>0</v>
      </c>
      <c r="T380" s="121">
        <v>2</v>
      </c>
      <c r="U380" s="121">
        <v>2</v>
      </c>
      <c r="V380" s="121">
        <f>MouserListTable1218[[#This Row],['#/Unit]]*FilterSpecs!$C$3+MouserListTable1218[[#This Row],[Extra]]</f>
        <v>2</v>
      </c>
      <c r="W380" s="121">
        <f>IF(MouserListTable1218[[#This Row],[Tag]]=FilterSpecs!$F$7,MouserListTable1218[[#This Row],[Price (USD)]],0)</f>
        <v>0</v>
      </c>
      <c r="X380" s="121">
        <f>MouserListTable1218[[#This Row],[Tot '#]]*MouserListTable1218[[#This Row],[Price (USD)]]</f>
        <v>3</v>
      </c>
    </row>
    <row r="381" spans="1:24" s="144" customFormat="1" x14ac:dyDescent="0.3">
      <c r="A381" s="146" t="s">
        <v>897</v>
      </c>
      <c r="B381" s="146" t="s">
        <v>1887</v>
      </c>
      <c r="C381" s="146" t="s">
        <v>8</v>
      </c>
      <c r="D381" s="106" t="str">
        <f>IF(MouserListTable1218[[#This Row],[Vendor]]=FilterSpecs!$A$8,MouserListTable1218[[#This Row],[Mouser SKU]], MouserListTable1218[[#This Row],[Supplier SKU]])</f>
        <v>PRT-00139</v>
      </c>
      <c r="E381" s="121">
        <f>MouserListTable1218[[#This Row],[Tot '#]]-MouserListTable1218[[#This Row],['# Initial]]</f>
        <v>0</v>
      </c>
      <c r="F381" s="121">
        <f>MouserListTable1218[[#This Row],['#/Unit]]*FilterSpecs!$B$3+MouserListTable1218[[#This Row],[Extra Initial]]</f>
        <v>0</v>
      </c>
      <c r="G381" s="103" t="s">
        <v>1670</v>
      </c>
      <c r="H381" s="103" t="s">
        <v>1671</v>
      </c>
      <c r="I381" s="106" t="s">
        <v>1672</v>
      </c>
      <c r="J381" s="103">
        <v>1</v>
      </c>
      <c r="K381" s="157">
        <v>1.25</v>
      </c>
      <c r="L381" s="106" t="s">
        <v>1910</v>
      </c>
      <c r="M381" s="103"/>
      <c r="N381" s="157">
        <f>MouserListTable1218[[#This Row],['# Initial]]*MouserListTable1218[[#This Row],[Price (USD)]]</f>
        <v>0</v>
      </c>
      <c r="O381" s="106" t="s">
        <v>1669</v>
      </c>
      <c r="P381" s="103">
        <f t="shared" si="6"/>
        <v>362</v>
      </c>
      <c r="Q381" s="103" t="s">
        <v>8</v>
      </c>
      <c r="R38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474-PRT-00139</v>
      </c>
      <c r="S381" s="121">
        <v>0</v>
      </c>
      <c r="T381" s="121">
        <v>0</v>
      </c>
      <c r="U381" s="121">
        <v>0</v>
      </c>
      <c r="V381" s="121">
        <f>MouserListTable1218[[#This Row],['#/Unit]]*FilterSpecs!$C$3+MouserListTable1218[[#This Row],[Extra]]</f>
        <v>0</v>
      </c>
      <c r="W381" s="121">
        <f>IF(MouserListTable1218[[#This Row],[Tag]]=FilterSpecs!$F$7,MouserListTable1218[[#This Row],[Price (USD)]],0)</f>
        <v>0</v>
      </c>
      <c r="X381" s="121">
        <f>MouserListTable1218[[#This Row],[Tot '#]]*MouserListTable1218[[#This Row],[Price (USD)]]</f>
        <v>0</v>
      </c>
    </row>
    <row r="382" spans="1:24" s="144" customFormat="1" x14ac:dyDescent="0.3">
      <c r="A382" s="146" t="s">
        <v>897</v>
      </c>
      <c r="B382" s="146" t="s">
        <v>1887</v>
      </c>
      <c r="C382" s="146" t="s">
        <v>8</v>
      </c>
      <c r="D382" s="106" t="str">
        <f>IF(MouserListTable1218[[#This Row],[Vendor]]=FilterSpecs!$A$8,MouserListTable1218[[#This Row],[Mouser SKU]], MouserListTable1218[[#This Row],[Supplier SKU]])</f>
        <v>BOB-12035</v>
      </c>
      <c r="E382" s="121">
        <f>MouserListTable1218[[#This Row],[Tot '#]]-MouserListTable1218[[#This Row],['# Initial]]</f>
        <v>0</v>
      </c>
      <c r="F382" s="121">
        <f>MouserListTable1218[[#This Row],['#/Unit]]*FilterSpecs!$B$3+MouserListTable1218[[#This Row],[Extra Initial]]</f>
        <v>0</v>
      </c>
      <c r="G382" s="103" t="s">
        <v>1722</v>
      </c>
      <c r="H382" s="103" t="s">
        <v>1723</v>
      </c>
      <c r="I382" s="106" t="s">
        <v>1724</v>
      </c>
      <c r="J382" s="103">
        <v>1</v>
      </c>
      <c r="K382" s="157">
        <v>1.95</v>
      </c>
      <c r="L382" s="106" t="s">
        <v>1910</v>
      </c>
      <c r="M382" s="103"/>
      <c r="N382" s="157">
        <f>MouserListTable1218[[#This Row],['# Initial]]*MouserListTable1218[[#This Row],[Price (USD)]]</f>
        <v>0</v>
      </c>
      <c r="O382" s="106" t="s">
        <v>1721</v>
      </c>
      <c r="P382" s="103">
        <f t="shared" si="6"/>
        <v>363</v>
      </c>
      <c r="Q382" s="103" t="s">
        <v>8</v>
      </c>
      <c r="R38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474-BOB-12035</v>
      </c>
      <c r="S382" s="121">
        <v>0</v>
      </c>
      <c r="T382" s="121">
        <v>0</v>
      </c>
      <c r="U382" s="121">
        <v>0</v>
      </c>
      <c r="V382" s="121">
        <f>MouserListTable1218[[#This Row],['#/Unit]]*FilterSpecs!$C$3+MouserListTable1218[[#This Row],[Extra]]</f>
        <v>0</v>
      </c>
      <c r="W382" s="121">
        <f>IF(MouserListTable1218[[#This Row],[Tag]]=FilterSpecs!$F$7,MouserListTable1218[[#This Row],[Price (USD)]],0)</f>
        <v>0</v>
      </c>
      <c r="X382" s="121">
        <f>MouserListTable1218[[#This Row],[Tot '#]]*MouserListTable1218[[#This Row],[Price (USD)]]</f>
        <v>0</v>
      </c>
    </row>
    <row r="383" spans="1:24" s="144" customFormat="1" x14ac:dyDescent="0.3">
      <c r="A383" s="146" t="s">
        <v>897</v>
      </c>
      <c r="B383" s="146" t="s">
        <v>1887</v>
      </c>
      <c r="C383" s="146" t="s">
        <v>8</v>
      </c>
      <c r="D383" s="106" t="str">
        <f>IF(MouserListTable1218[[#This Row],[Vendor]]=FilterSpecs!$A$8,MouserListTable1218[[#This Row],[Mouser SKU]], MouserListTable1218[[#This Row],[Supplier SKU]])</f>
        <v>BOB-10031</v>
      </c>
      <c r="E383" s="121">
        <f>MouserListTable1218[[#This Row],[Tot '#]]-MouserListTable1218[[#This Row],['# Initial]]</f>
        <v>0</v>
      </c>
      <c r="F383" s="121">
        <f>MouserListTable1218[[#This Row],['#/Unit]]*FilterSpecs!$B$3+MouserListTable1218[[#This Row],[Extra Initial]]</f>
        <v>0</v>
      </c>
      <c r="G383" s="103" t="s">
        <v>1726</v>
      </c>
      <c r="H383" s="103" t="s">
        <v>1727</v>
      </c>
      <c r="I383" s="106" t="s">
        <v>1728</v>
      </c>
      <c r="J383" s="103">
        <v>1</v>
      </c>
      <c r="K383" s="157">
        <v>3.95</v>
      </c>
      <c r="L383" s="106" t="s">
        <v>1910</v>
      </c>
      <c r="M383" s="103"/>
      <c r="N383" s="157">
        <f>MouserListTable1218[[#This Row],['# Initial]]*MouserListTable1218[[#This Row],[Price (USD)]]</f>
        <v>0</v>
      </c>
      <c r="O383" s="106" t="s">
        <v>1725</v>
      </c>
      <c r="P383" s="103">
        <f t="shared" si="6"/>
        <v>364</v>
      </c>
      <c r="Q383" s="103" t="s">
        <v>8</v>
      </c>
      <c r="R38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474-BOB-10031</v>
      </c>
      <c r="S383" s="121">
        <v>0</v>
      </c>
      <c r="T383" s="121">
        <v>0</v>
      </c>
      <c r="U383" s="121">
        <v>0</v>
      </c>
      <c r="V383" s="121">
        <f>MouserListTable1218[[#This Row],['#/Unit]]*FilterSpecs!$C$3+MouserListTable1218[[#This Row],[Extra]]</f>
        <v>0</v>
      </c>
      <c r="W383" s="121">
        <f>IF(MouserListTable1218[[#This Row],[Tag]]=FilterSpecs!$F$7,MouserListTable1218[[#This Row],[Price (USD)]],0)</f>
        <v>0</v>
      </c>
      <c r="X383" s="121">
        <f>MouserListTable1218[[#This Row],[Tot '#]]*MouserListTable1218[[#This Row],[Price (USD)]]</f>
        <v>0</v>
      </c>
    </row>
    <row r="384" spans="1:24" s="144" customFormat="1" x14ac:dyDescent="0.3">
      <c r="A384" s="146" t="s">
        <v>897</v>
      </c>
      <c r="B384" s="146" t="s">
        <v>1887</v>
      </c>
      <c r="C384" s="146" t="s">
        <v>8</v>
      </c>
      <c r="D384" s="106" t="str">
        <f>IF(MouserListTable1218[[#This Row],[Vendor]]=FilterSpecs!$A$8,MouserListTable1218[[#This Row],[Mouser SKU]], MouserListTable1218[[#This Row],[Supplier SKU]])</f>
        <v>BOB-09966</v>
      </c>
      <c r="E384" s="121">
        <f>MouserListTable1218[[#This Row],[Tot '#]]-MouserListTable1218[[#This Row],['# Initial]]</f>
        <v>0</v>
      </c>
      <c r="F384" s="121">
        <f>MouserListTable1218[[#This Row],['#/Unit]]*FilterSpecs!$B$3+MouserListTable1218[[#This Row],[Extra Initial]]</f>
        <v>0</v>
      </c>
      <c r="G384" s="103" t="s">
        <v>1718</v>
      </c>
      <c r="H384" s="103" t="s">
        <v>1719</v>
      </c>
      <c r="I384" s="106" t="s">
        <v>1720</v>
      </c>
      <c r="J384" s="103">
        <v>1</v>
      </c>
      <c r="K384" s="157">
        <v>1.95</v>
      </c>
      <c r="L384" s="106" t="s">
        <v>1910</v>
      </c>
      <c r="M384" s="103"/>
      <c r="N384" s="157">
        <f>MouserListTable1218[[#This Row],['# Initial]]*MouserListTable1218[[#This Row],[Price (USD)]]</f>
        <v>0</v>
      </c>
      <c r="O384" s="106" t="s">
        <v>1717</v>
      </c>
      <c r="P384" s="103">
        <f t="shared" si="6"/>
        <v>365</v>
      </c>
      <c r="Q384" s="103" t="s">
        <v>8</v>
      </c>
      <c r="R38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474-BOB-09966</v>
      </c>
      <c r="S384" s="121">
        <v>0</v>
      </c>
      <c r="T384" s="121">
        <v>0</v>
      </c>
      <c r="U384" s="121">
        <v>0</v>
      </c>
      <c r="V384" s="121">
        <f>MouserListTable1218[[#This Row],['#/Unit]]*FilterSpecs!$C$3+MouserListTable1218[[#This Row],[Extra]]</f>
        <v>0</v>
      </c>
      <c r="W384" s="121">
        <f>IF(MouserListTable1218[[#This Row],[Tag]]=FilterSpecs!$F$7,MouserListTable1218[[#This Row],[Price (USD)]],0)</f>
        <v>0</v>
      </c>
      <c r="X384" s="121">
        <f>MouserListTable1218[[#This Row],[Tot '#]]*MouserListTable1218[[#This Row],[Price (USD)]]</f>
        <v>0</v>
      </c>
    </row>
    <row r="385" spans="1:24" s="144" customFormat="1" x14ac:dyDescent="0.3">
      <c r="A385" s="146" t="s">
        <v>897</v>
      </c>
      <c r="B385" s="146" t="s">
        <v>1889</v>
      </c>
      <c r="C385" s="146" t="s">
        <v>8</v>
      </c>
      <c r="D385" s="106" t="str">
        <f>IF(MouserListTable1218[[#This Row],[Vendor]]=FilterSpecs!$A$8,MouserListTable1218[[#This Row],[Mouser SKU]], MouserListTable1218[[#This Row],[Supplier SKU]])</f>
        <v>COM-14194</v>
      </c>
      <c r="E385" s="121">
        <f>MouserListTable1218[[#This Row],[Tot '#]]-MouserListTable1218[[#This Row],['# Initial]]</f>
        <v>4</v>
      </c>
      <c r="F385" s="121">
        <f>MouserListTable1218[[#This Row],['#/Unit]]*FilterSpecs!$B$3+MouserListTable1218[[#This Row],[Extra Initial]]</f>
        <v>5</v>
      </c>
      <c r="G385" s="103" t="s">
        <v>704</v>
      </c>
      <c r="H385" s="103" t="s">
        <v>705</v>
      </c>
      <c r="I385" s="106" t="s">
        <v>706</v>
      </c>
      <c r="J385" s="103">
        <v>1</v>
      </c>
      <c r="K385" s="157">
        <v>1.95</v>
      </c>
      <c r="L385" s="106" t="s">
        <v>1911</v>
      </c>
      <c r="M385" s="103"/>
      <c r="N385" s="157">
        <f>MouserListTable1218[[#This Row],['# Initial]]*MouserListTable1218[[#This Row],[Price (USD)]]</f>
        <v>9.75</v>
      </c>
      <c r="O385" s="106" t="s">
        <v>703</v>
      </c>
      <c r="P385" s="103">
        <f t="shared" si="6"/>
        <v>366</v>
      </c>
      <c r="Q385" s="103" t="s">
        <v>8</v>
      </c>
      <c r="R38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474-COM-14194</v>
      </c>
      <c r="S385" s="121">
        <f>SUM(S133:S144)</f>
        <v>1</v>
      </c>
      <c r="T385" s="121">
        <f t="shared" ref="T385:U385" si="8">SUM(T133:T144)</f>
        <v>4</v>
      </c>
      <c r="U385" s="121">
        <f t="shared" si="8"/>
        <v>0</v>
      </c>
      <c r="V385" s="121">
        <f>MouserListTable1218[[#This Row],['#/Unit]]*FilterSpecs!$C$3+MouserListTable1218[[#This Row],[Extra]]</f>
        <v>9</v>
      </c>
      <c r="W385" s="121">
        <f>IF(MouserListTable1218[[#This Row],[Tag]]=FilterSpecs!$F$7,MouserListTable1218[[#This Row],[Price (USD)]],0)</f>
        <v>1.95</v>
      </c>
      <c r="X385" s="121">
        <f>MouserListTable1218[[#This Row],[Tot '#]]*MouserListTable1218[[#This Row],[Price (USD)]]</f>
        <v>17.55</v>
      </c>
    </row>
    <row r="386" spans="1:24" s="144" customFormat="1" x14ac:dyDescent="0.3">
      <c r="A386" s="106" t="s">
        <v>897</v>
      </c>
      <c r="B386" s="106" t="s">
        <v>1889</v>
      </c>
      <c r="C386" s="106" t="s">
        <v>8</v>
      </c>
      <c r="D386" s="106" t="str">
        <f>IF(MouserListTable1218[[#This Row],[Vendor]]=FilterSpecs!$A$8,MouserListTable1218[[#This Row],[Mouser SKU]], MouserListTable1218[[#This Row],[Supplier SKU]])</f>
        <v>COM-14195</v>
      </c>
      <c r="E386" s="121">
        <f>MouserListTable1218[[#This Row],[Tot '#]]-MouserListTable1218[[#This Row],['# Initial]]</f>
        <v>4</v>
      </c>
      <c r="F386" s="121">
        <f>MouserListTable1218[[#This Row],['#/Unit]]*FilterSpecs!$B$3+MouserListTable1218[[#This Row],[Extra Initial]]</f>
        <v>5</v>
      </c>
      <c r="G386" s="103" t="s">
        <v>700</v>
      </c>
      <c r="H386" s="103" t="s">
        <v>701</v>
      </c>
      <c r="I386" s="106" t="s">
        <v>702</v>
      </c>
      <c r="J386" s="103">
        <v>1</v>
      </c>
      <c r="K386" s="157">
        <v>1.95</v>
      </c>
      <c r="L386" s="106" t="s">
        <v>1911</v>
      </c>
      <c r="M386" s="103"/>
      <c r="N386" s="157">
        <f>MouserListTable1218[[#This Row],['# Initial]]*MouserListTable1218[[#This Row],[Price (USD)]]</f>
        <v>9.75</v>
      </c>
      <c r="O386" s="106" t="s">
        <v>699</v>
      </c>
      <c r="P386" s="103">
        <f t="shared" si="6"/>
        <v>367</v>
      </c>
      <c r="Q386" s="103" t="s">
        <v>8</v>
      </c>
      <c r="R38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474-COM-14195</v>
      </c>
      <c r="S386" s="121">
        <f>SUM(S133:S144)</f>
        <v>1</v>
      </c>
      <c r="T386" s="121">
        <f t="shared" ref="T386:U386" si="9">SUM(T133:T144)</f>
        <v>4</v>
      </c>
      <c r="U386" s="121">
        <f t="shared" si="9"/>
        <v>0</v>
      </c>
      <c r="V386" s="121">
        <f>MouserListTable1218[[#This Row],['#/Unit]]*FilterSpecs!$C$3+MouserListTable1218[[#This Row],[Extra]]</f>
        <v>9</v>
      </c>
      <c r="W386" s="121">
        <f>IF(MouserListTable1218[[#This Row],[Tag]]=FilterSpecs!$F$7,MouserListTable1218[[#This Row],[Price (USD)]],0)</f>
        <v>1.95</v>
      </c>
      <c r="X386" s="121">
        <f>MouserListTable1218[[#This Row],[Tot '#]]*MouserListTable1218[[#This Row],[Price (USD)]]</f>
        <v>17.55</v>
      </c>
    </row>
    <row r="387" spans="1:24" s="146" customFormat="1" x14ac:dyDescent="0.3">
      <c r="A387" s="146" t="s">
        <v>897</v>
      </c>
      <c r="B387" s="146" t="s">
        <v>1889</v>
      </c>
      <c r="C387" s="146" t="s">
        <v>8</v>
      </c>
      <c r="D387" s="106" t="str">
        <f>IF(MouserListTable1218[[#This Row],[Vendor]]=FilterSpecs!$A$8,MouserListTable1218[[#This Row],[Mouser SKU]], MouserListTable1218[[#This Row],[Supplier SKU]])</f>
        <v>PRT-09044</v>
      </c>
      <c r="E387" s="121">
        <f>MouserListTable1218[[#This Row],[Tot '#]]-MouserListTable1218[[#This Row],['# Initial]]</f>
        <v>0</v>
      </c>
      <c r="F387" s="121">
        <f>MouserListTable1218[[#This Row],['#/Unit]]*FilterSpecs!$B$3+MouserListTable1218[[#This Row],[Extra Initial]]</f>
        <v>0</v>
      </c>
      <c r="G387" s="103" t="s">
        <v>752</v>
      </c>
      <c r="H387" s="103" t="s">
        <v>753</v>
      </c>
      <c r="I387" s="106" t="s">
        <v>754</v>
      </c>
      <c r="J387" s="103">
        <v>1</v>
      </c>
      <c r="K387" s="157">
        <v>0.35</v>
      </c>
      <c r="L387" s="106" t="s">
        <v>1910</v>
      </c>
      <c r="M387" s="103"/>
      <c r="N387" s="157">
        <f>MouserListTable1218[[#This Row],['# Initial]]*MouserListTable1218[[#This Row],[Price (USD)]]</f>
        <v>0</v>
      </c>
      <c r="O387" s="106" t="s">
        <v>751</v>
      </c>
      <c r="P387" s="103">
        <f t="shared" si="6"/>
        <v>368</v>
      </c>
      <c r="Q387" s="103" t="s">
        <v>8</v>
      </c>
      <c r="R38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474-PRT-09044</v>
      </c>
      <c r="S387" s="121">
        <v>0</v>
      </c>
      <c r="T387" s="121">
        <v>0</v>
      </c>
      <c r="U387" s="121">
        <v>0</v>
      </c>
      <c r="V387" s="121">
        <f>MouserListTable1218[[#This Row],['#/Unit]]*FilterSpecs!$C$3+MouserListTable1218[[#This Row],[Extra]]</f>
        <v>0</v>
      </c>
      <c r="W387" s="121">
        <f>IF(MouserListTable1218[[#This Row],[Tag]]=FilterSpecs!$F$7,MouserListTable1218[[#This Row],[Price (USD)]],0)</f>
        <v>0</v>
      </c>
      <c r="X387" s="121">
        <f>MouserListTable1218[[#This Row],[Tot '#]]*MouserListTable1218[[#This Row],[Price (USD)]]</f>
        <v>0</v>
      </c>
    </row>
    <row r="388" spans="1:24" s="146" customFormat="1" x14ac:dyDescent="0.3">
      <c r="A388" s="106" t="s">
        <v>897</v>
      </c>
      <c r="B388" s="106" t="s">
        <v>1889</v>
      </c>
      <c r="C388" s="106" t="s">
        <v>1898</v>
      </c>
      <c r="D388" s="106">
        <f>IF(MouserListTable1218[[#This Row],[Vendor]]=FilterSpecs!$A$8,MouserListTable1218[[#This Row],[Mouser SKU]], MouserListTable1218[[#This Row],[Supplier SKU]])</f>
        <v>3525</v>
      </c>
      <c r="E388" s="121">
        <f>MouserListTable1218[[#This Row],[Tot '#]]-MouserListTable1218[[#This Row],['# Initial]]</f>
        <v>0</v>
      </c>
      <c r="F388" s="121">
        <f>MouserListTable1218[[#This Row],['#/Unit]]*FilterSpecs!$B$3+MouserListTable1218[[#This Row],[Extra Initial]]</f>
        <v>1</v>
      </c>
      <c r="G388" s="103"/>
      <c r="H388" s="103"/>
      <c r="I388" s="106" t="s">
        <v>2150</v>
      </c>
      <c r="K388" s="157">
        <v>0.95</v>
      </c>
      <c r="L388" s="106" t="s">
        <v>1910</v>
      </c>
      <c r="M388" s="106"/>
      <c r="N388" s="157">
        <f>MouserListTable1218[[#This Row],['# Initial]]*MouserListTable1218[[#This Row],[Price (USD)]]</f>
        <v>0.95</v>
      </c>
      <c r="O388" s="106">
        <v>3525</v>
      </c>
      <c r="P388" s="103">
        <f t="shared" si="6"/>
        <v>369</v>
      </c>
      <c r="Q388" s="103" t="s">
        <v>1898</v>
      </c>
      <c r="R38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485-3525</v>
      </c>
      <c r="S388" s="121">
        <v>0</v>
      </c>
      <c r="T388" s="121">
        <v>1</v>
      </c>
      <c r="U388" s="121">
        <v>1</v>
      </c>
      <c r="V388" s="121">
        <f>MouserListTable1218[[#This Row],['#/Unit]]*FilterSpecs!$C$3+MouserListTable1218[[#This Row],[Extra]]</f>
        <v>1</v>
      </c>
      <c r="W388" s="121">
        <f>IF(MouserListTable1218[[#This Row],[Tag]]=FilterSpecs!$F$7,MouserListTable1218[[#This Row],[Price (USD)]],0)</f>
        <v>0</v>
      </c>
      <c r="X388" s="121">
        <f>MouserListTable1218[[#This Row],[Tot '#]]*MouserListTable1218[[#This Row],[Price (USD)]]</f>
        <v>0.95</v>
      </c>
    </row>
    <row r="389" spans="1:24" s="146" customFormat="1" x14ac:dyDescent="0.3">
      <c r="A389" s="126" t="s">
        <v>897</v>
      </c>
      <c r="B389" s="146" t="s">
        <v>1617</v>
      </c>
      <c r="C389" s="146" t="s">
        <v>8</v>
      </c>
      <c r="D389" s="106" t="str">
        <f>IF(MouserListTable1218[[#This Row],[Vendor]]=FilterSpecs!$A$8,MouserListTable1218[[#This Row],[Mouser SKU]], MouserListTable1218[[#This Row],[Supplier SKU]])</f>
        <v>KIT-13973</v>
      </c>
      <c r="E389" s="121">
        <f>MouserListTable1218[[#This Row],[Tot '#]]-MouserListTable1218[[#This Row],['# Initial]]</f>
        <v>0</v>
      </c>
      <c r="F389" s="121">
        <f>MouserListTable1218[[#This Row],['#/Unit]]*FilterSpecs!$B$3+MouserListTable1218[[#This Row],[Extra Initial]]</f>
        <v>0</v>
      </c>
      <c r="G389" s="103" t="s">
        <v>368</v>
      </c>
      <c r="H389" s="103" t="s">
        <v>369</v>
      </c>
      <c r="I389" s="106" t="s">
        <v>370</v>
      </c>
      <c r="J389" s="103">
        <v>1</v>
      </c>
      <c r="K389" s="157">
        <v>14.95</v>
      </c>
      <c r="L389" s="106" t="s">
        <v>1913</v>
      </c>
      <c r="M389" s="103"/>
      <c r="N389" s="157">
        <f>MouserListTable1218[[#This Row],['# Initial]]*MouserListTable1218[[#This Row],[Price (USD)]]</f>
        <v>0</v>
      </c>
      <c r="O389" s="106" t="s">
        <v>367</v>
      </c>
      <c r="P389" s="103">
        <f t="shared" si="6"/>
        <v>370</v>
      </c>
      <c r="Q389" s="103" t="s">
        <v>8</v>
      </c>
      <c r="R38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474-KIT-13973</v>
      </c>
      <c r="S389" s="121">
        <v>0</v>
      </c>
      <c r="T389" s="121">
        <v>0</v>
      </c>
      <c r="U389" s="121">
        <v>0</v>
      </c>
      <c r="V389" s="121">
        <f>MouserListTable1218[[#This Row],['#/Unit]]*FilterSpecs!$C$3+MouserListTable1218[[#This Row],[Extra]]</f>
        <v>0</v>
      </c>
      <c r="W389" s="121">
        <f>IF(MouserListTable1218[[#This Row],[Tag]]=FilterSpecs!$F$7,MouserListTable1218[[#This Row],[Price (USD)]],0)</f>
        <v>0</v>
      </c>
      <c r="X389" s="121">
        <f>MouserListTable1218[[#This Row],[Tot '#]]*MouserListTable1218[[#This Row],[Price (USD)]]</f>
        <v>0</v>
      </c>
    </row>
    <row r="390" spans="1:24" s="146" customFormat="1" x14ac:dyDescent="0.3">
      <c r="A390" s="103" t="s">
        <v>897</v>
      </c>
      <c r="B390" s="106" t="s">
        <v>1617</v>
      </c>
      <c r="C390" s="106" t="s">
        <v>1898</v>
      </c>
      <c r="D390" s="106" t="str">
        <f>IF(MouserListTable1218[[#This Row],[Vendor]]=FilterSpecs!$A$8,MouserListTable1218[[#This Row],[Mouser SKU]], MouserListTable1218[[#This Row],[Supplier SKU]])</f>
        <v>2975</v>
      </c>
      <c r="E390" s="121">
        <f>MouserListTable1218[[#This Row],[Tot '#]]-MouserListTable1218[[#This Row],['# Initial]]</f>
        <v>0</v>
      </c>
      <c r="F390" s="121">
        <f>MouserListTable1218[[#This Row],['#/Unit]]*FilterSpecs!$B$3+MouserListTable1218[[#This Row],[Extra Initial]]</f>
        <v>1</v>
      </c>
      <c r="G390" s="103"/>
      <c r="H390" s="103"/>
      <c r="I390" s="106" t="s">
        <v>2154</v>
      </c>
      <c r="K390" s="157">
        <v>19.95</v>
      </c>
      <c r="L390" s="106" t="s">
        <v>1910</v>
      </c>
      <c r="M390" s="106"/>
      <c r="N390" s="157">
        <f>MouserListTable1218[[#This Row],['# Initial]]*MouserListTable1218[[#This Row],[Price (USD)]]</f>
        <v>19.95</v>
      </c>
      <c r="O390" s="106" t="s">
        <v>2153</v>
      </c>
      <c r="P390" s="103">
        <f t="shared" si="6"/>
        <v>371</v>
      </c>
      <c r="Q390" s="103" t="s">
        <v>1898</v>
      </c>
      <c r="R39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485-2975</v>
      </c>
      <c r="S390" s="121">
        <v>0</v>
      </c>
      <c r="T390" s="121">
        <v>1</v>
      </c>
      <c r="U390" s="121">
        <v>1</v>
      </c>
      <c r="V390" s="121">
        <f>MouserListTable1218[[#This Row],['#/Unit]]*FilterSpecs!$C$3+MouserListTable1218[[#This Row],[Extra]]</f>
        <v>1</v>
      </c>
      <c r="W390" s="121">
        <f>IF(MouserListTable1218[[#This Row],[Tag]]=FilterSpecs!$F$7,MouserListTable1218[[#This Row],[Price (USD)]],0)</f>
        <v>0</v>
      </c>
      <c r="X390" s="121">
        <f>MouserListTable1218[[#This Row],[Tot '#]]*MouserListTable1218[[#This Row],[Price (USD)]]</f>
        <v>19.95</v>
      </c>
    </row>
    <row r="391" spans="1:24" s="146" customFormat="1" x14ac:dyDescent="0.3">
      <c r="A391" s="126" t="s">
        <v>897</v>
      </c>
      <c r="B391" s="146" t="s">
        <v>1617</v>
      </c>
      <c r="C391" s="146" t="s">
        <v>8</v>
      </c>
      <c r="D391" s="106" t="str">
        <f>IF(MouserListTable1218[[#This Row],[Vendor]]=FilterSpecs!$A$8,MouserListTable1218[[#This Row],[Mouser SKU]], MouserListTable1218[[#This Row],[Supplier SKU]])</f>
        <v>COM-00522</v>
      </c>
      <c r="E391" s="121">
        <f>MouserListTable1218[[#This Row],[Tot '#]]-MouserListTable1218[[#This Row],['# Initial]]</f>
        <v>0</v>
      </c>
      <c r="F391" s="121">
        <f>MouserListTable1218[[#This Row],['#/Unit]]*FilterSpecs!$B$3+MouserListTable1218[[#This Row],[Extra Initial]]</f>
        <v>0</v>
      </c>
      <c r="G391" s="103" t="s">
        <v>1568</v>
      </c>
      <c r="H391" s="103" t="s">
        <v>1569</v>
      </c>
      <c r="I391" s="106" t="s">
        <v>1570</v>
      </c>
      <c r="J391" s="103">
        <v>1</v>
      </c>
      <c r="K391" s="157">
        <v>0.5</v>
      </c>
      <c r="L391" s="106" t="s">
        <v>1910</v>
      </c>
      <c r="M391" s="103"/>
      <c r="N391" s="157">
        <f>MouserListTable1218[[#This Row],['# Initial]]*MouserListTable1218[[#This Row],[Price (USD)]]</f>
        <v>0</v>
      </c>
      <c r="O391" s="106" t="s">
        <v>1567</v>
      </c>
      <c r="P391" s="103">
        <f t="shared" si="6"/>
        <v>372</v>
      </c>
      <c r="Q391" s="103" t="s">
        <v>8</v>
      </c>
      <c r="R39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474-COM-00522</v>
      </c>
      <c r="S391" s="121">
        <v>0</v>
      </c>
      <c r="T391" s="121">
        <v>0</v>
      </c>
      <c r="U391" s="121">
        <v>0</v>
      </c>
      <c r="V391" s="121">
        <f>MouserListTable1218[[#This Row],['#/Unit]]*FilterSpecs!$C$3+MouserListTable1218[[#This Row],[Extra]]</f>
        <v>0</v>
      </c>
      <c r="W391" s="121">
        <f>IF(MouserListTable1218[[#This Row],[Tag]]=FilterSpecs!$F$7,MouserListTable1218[[#This Row],[Price (USD)]],0)</f>
        <v>0</v>
      </c>
      <c r="X391" s="121">
        <f>MouserListTable1218[[#This Row],[Tot '#]]*MouserListTable1218[[#This Row],[Price (USD)]]</f>
        <v>0</v>
      </c>
    </row>
    <row r="392" spans="1:24" s="146" customFormat="1" x14ac:dyDescent="0.3">
      <c r="A392" s="126" t="s">
        <v>897</v>
      </c>
      <c r="B392" s="146" t="s">
        <v>1617</v>
      </c>
      <c r="C392" s="146" t="s">
        <v>8</v>
      </c>
      <c r="D392" s="106" t="str">
        <f>IF(MouserListTable1218[[#This Row],[Vendor]]=FilterSpecs!$A$8,MouserListTable1218[[#This Row],[Mouser SKU]], MouserListTable1218[[#This Row],[Supplier SKU]])</f>
        <v>COM-00521</v>
      </c>
      <c r="E392" s="121">
        <f>MouserListTable1218[[#This Row],[Tot '#]]-MouserListTable1218[[#This Row],['# Initial]]</f>
        <v>0</v>
      </c>
      <c r="F392" s="121">
        <f>MouserListTable1218[[#This Row],['#/Unit]]*FilterSpecs!$B$3+MouserListTable1218[[#This Row],[Extra Initial]]</f>
        <v>0</v>
      </c>
      <c r="G392" s="103" t="s">
        <v>1572</v>
      </c>
      <c r="H392" s="103" t="s">
        <v>1573</v>
      </c>
      <c r="I392" s="106" t="s">
        <v>1574</v>
      </c>
      <c r="J392" s="103">
        <v>1</v>
      </c>
      <c r="K392" s="157">
        <v>0.5</v>
      </c>
      <c r="L392" s="106" t="s">
        <v>1910</v>
      </c>
      <c r="M392" s="103"/>
      <c r="N392" s="157">
        <f>MouserListTable1218[[#This Row],['# Initial]]*MouserListTable1218[[#This Row],[Price (USD)]]</f>
        <v>0</v>
      </c>
      <c r="O392" s="106" t="s">
        <v>1571</v>
      </c>
      <c r="P392" s="103">
        <f t="shared" si="6"/>
        <v>373</v>
      </c>
      <c r="Q392" s="103" t="s">
        <v>8</v>
      </c>
      <c r="R39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474-COM-00521</v>
      </c>
      <c r="S392" s="121">
        <v>0</v>
      </c>
      <c r="T392" s="121">
        <v>0</v>
      </c>
      <c r="U392" s="121">
        <v>0</v>
      </c>
      <c r="V392" s="121">
        <f>MouserListTable1218[[#This Row],['#/Unit]]*FilterSpecs!$C$3+MouserListTable1218[[#This Row],[Extra]]</f>
        <v>0</v>
      </c>
      <c r="W392" s="121">
        <f>IF(MouserListTable1218[[#This Row],[Tag]]=FilterSpecs!$F$7,MouserListTable1218[[#This Row],[Price (USD)]],0)</f>
        <v>0</v>
      </c>
      <c r="X392" s="121">
        <f>MouserListTable1218[[#This Row],[Tot '#]]*MouserListTable1218[[#This Row],[Price (USD)]]</f>
        <v>0</v>
      </c>
    </row>
    <row r="393" spans="1:24" s="146" customFormat="1" x14ac:dyDescent="0.3">
      <c r="A393" s="126" t="s">
        <v>897</v>
      </c>
      <c r="B393" s="146" t="s">
        <v>1617</v>
      </c>
      <c r="C393" s="146" t="s">
        <v>8</v>
      </c>
      <c r="D393" s="106" t="str">
        <f>IF(MouserListTable1218[[#This Row],[Vendor]]=FilterSpecs!$A$8,MouserListTable1218[[#This Row],[Mouser SKU]], MouserListTable1218[[#This Row],[Supplier SKU]])</f>
        <v>COM-08928</v>
      </c>
      <c r="E393" s="121">
        <f>MouserListTable1218[[#This Row],[Tot '#]]-MouserListTable1218[[#This Row],['# Initial]]</f>
        <v>0</v>
      </c>
      <c r="F393" s="121">
        <f>MouserListTable1218[[#This Row],['#/Unit]]*FilterSpecs!$B$3+MouserListTable1218[[#This Row],[Extra Initial]]</f>
        <v>0</v>
      </c>
      <c r="G393" s="103" t="s">
        <v>1556</v>
      </c>
      <c r="H393" s="103" t="s">
        <v>1557</v>
      </c>
      <c r="I393" s="106" t="s">
        <v>1558</v>
      </c>
      <c r="J393" s="103">
        <v>1</v>
      </c>
      <c r="K393" s="157">
        <v>0.5</v>
      </c>
      <c r="L393" s="106" t="s">
        <v>1913</v>
      </c>
      <c r="M393" s="103"/>
      <c r="N393" s="157">
        <f>MouserListTable1218[[#This Row],['# Initial]]*MouserListTable1218[[#This Row],[Price (USD)]]</f>
        <v>0</v>
      </c>
      <c r="O393" s="106" t="s">
        <v>1555</v>
      </c>
      <c r="P393" s="103">
        <f t="shared" si="6"/>
        <v>374</v>
      </c>
      <c r="Q393" s="103" t="s">
        <v>8</v>
      </c>
      <c r="R39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474-COM-08928</v>
      </c>
      <c r="S393" s="121">
        <v>0</v>
      </c>
      <c r="T393" s="121">
        <v>0</v>
      </c>
      <c r="U393" s="121">
        <v>0</v>
      </c>
      <c r="V393" s="121">
        <f>MouserListTable1218[[#This Row],['#/Unit]]*FilterSpecs!$C$3+MouserListTable1218[[#This Row],[Extra]]</f>
        <v>0</v>
      </c>
      <c r="W393" s="121">
        <f>IF(MouserListTable1218[[#This Row],[Tag]]=FilterSpecs!$F$7,MouserListTable1218[[#This Row],[Price (USD)]],0)</f>
        <v>0</v>
      </c>
      <c r="X393" s="121">
        <f>MouserListTable1218[[#This Row],[Tot '#]]*MouserListTable1218[[#This Row],[Price (USD)]]</f>
        <v>0</v>
      </c>
    </row>
    <row r="394" spans="1:24" s="146" customFormat="1" x14ac:dyDescent="0.3">
      <c r="A394" s="126" t="s">
        <v>897</v>
      </c>
      <c r="B394" s="146" t="s">
        <v>1617</v>
      </c>
      <c r="C394" s="146" t="s">
        <v>8</v>
      </c>
      <c r="D394" s="106" t="str">
        <f>IF(MouserListTable1218[[#This Row],[Vendor]]=FilterSpecs!$A$8,MouserListTable1218[[#This Row],[Mouser SKU]], MouserListTable1218[[#This Row],[Supplier SKU]])</f>
        <v>COM-10213</v>
      </c>
      <c r="E394" s="121">
        <f>MouserListTable1218[[#This Row],[Tot '#]]-MouserListTable1218[[#This Row],['# Initial]]</f>
        <v>0</v>
      </c>
      <c r="F394" s="121">
        <f>MouserListTable1218[[#This Row],['#/Unit]]*FilterSpecs!$B$3+MouserListTable1218[[#This Row],[Extra Initial]]</f>
        <v>0</v>
      </c>
      <c r="G394" s="103" t="s">
        <v>1560</v>
      </c>
      <c r="H394" s="103" t="s">
        <v>1561</v>
      </c>
      <c r="I394" s="106" t="s">
        <v>1562</v>
      </c>
      <c r="J394" s="103">
        <v>1</v>
      </c>
      <c r="K394" s="157">
        <v>0.95</v>
      </c>
      <c r="L394" s="106" t="s">
        <v>1910</v>
      </c>
      <c r="M394" s="103"/>
      <c r="N394" s="157">
        <f>MouserListTable1218[[#This Row],['# Initial]]*MouserListTable1218[[#This Row],[Price (USD)]]</f>
        <v>0</v>
      </c>
      <c r="O394" s="106" t="s">
        <v>1559</v>
      </c>
      <c r="P394" s="103">
        <f t="shared" si="6"/>
        <v>375</v>
      </c>
      <c r="Q394" s="103" t="s">
        <v>8</v>
      </c>
      <c r="R39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474-COM-10213</v>
      </c>
      <c r="S394" s="121">
        <v>0</v>
      </c>
      <c r="T394" s="121">
        <v>0</v>
      </c>
      <c r="U394" s="121">
        <v>0</v>
      </c>
      <c r="V394" s="121">
        <f>MouserListTable1218[[#This Row],['#/Unit]]*FilterSpecs!$C$3+MouserListTable1218[[#This Row],[Extra]]</f>
        <v>0</v>
      </c>
      <c r="W394" s="121">
        <f>IF(MouserListTable1218[[#This Row],[Tag]]=FilterSpecs!$F$7,MouserListTable1218[[#This Row],[Price (USD)]],0)</f>
        <v>0</v>
      </c>
      <c r="X394" s="121">
        <f>MouserListTable1218[[#This Row],[Tot '#]]*MouserListTable1218[[#This Row],[Price (USD)]]</f>
        <v>0</v>
      </c>
    </row>
    <row r="395" spans="1:24" s="146" customFormat="1" x14ac:dyDescent="0.3">
      <c r="A395" s="126" t="s">
        <v>897</v>
      </c>
      <c r="B395" s="146" t="s">
        <v>1617</v>
      </c>
      <c r="C395" s="146" t="s">
        <v>8</v>
      </c>
      <c r="D395" s="106" t="str">
        <f>IF(MouserListTable1218[[#This Row],[Vendor]]=FilterSpecs!$A$8,MouserListTable1218[[#This Row],[Mouser SKU]], MouserListTable1218[[#This Row],[Supplier SKU]])</f>
        <v>COM-10349</v>
      </c>
      <c r="E395" s="121">
        <f>MouserListTable1218[[#This Row],[Tot '#]]-MouserListTable1218[[#This Row],['# Initial]]</f>
        <v>0</v>
      </c>
      <c r="F395" s="121">
        <f>MouserListTable1218[[#This Row],['#/Unit]]*FilterSpecs!$B$3+MouserListTable1218[[#This Row],[Extra Initial]]</f>
        <v>0</v>
      </c>
      <c r="G395" s="103" t="s">
        <v>1564</v>
      </c>
      <c r="H395" s="103" t="s">
        <v>1565</v>
      </c>
      <c r="I395" s="106" t="s">
        <v>1566</v>
      </c>
      <c r="J395" s="103">
        <v>1</v>
      </c>
      <c r="K395" s="157">
        <v>0.95</v>
      </c>
      <c r="L395" s="106" t="s">
        <v>1913</v>
      </c>
      <c r="M395" s="103"/>
      <c r="N395" s="157">
        <f>MouserListTable1218[[#This Row],['# Initial]]*MouserListTable1218[[#This Row],[Price (USD)]]</f>
        <v>0</v>
      </c>
      <c r="O395" s="106" t="s">
        <v>1563</v>
      </c>
      <c r="P395" s="103">
        <f t="shared" si="6"/>
        <v>376</v>
      </c>
      <c r="Q395" s="103" t="s">
        <v>8</v>
      </c>
      <c r="R39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474-COM-10349</v>
      </c>
      <c r="S395" s="121">
        <v>0</v>
      </c>
      <c r="T395" s="121">
        <v>0</v>
      </c>
      <c r="U395" s="121">
        <v>0</v>
      </c>
      <c r="V395" s="121">
        <f>MouserListTable1218[[#This Row],['#/Unit]]*FilterSpecs!$C$3+MouserListTable1218[[#This Row],[Extra]]</f>
        <v>0</v>
      </c>
      <c r="W395" s="121">
        <f>IF(MouserListTable1218[[#This Row],[Tag]]=FilterSpecs!$F$7,MouserListTable1218[[#This Row],[Price (USD)]],0)</f>
        <v>0</v>
      </c>
      <c r="X395" s="121">
        <f>MouserListTable1218[[#This Row],[Tot '#]]*MouserListTable1218[[#This Row],[Price (USD)]]</f>
        <v>0</v>
      </c>
    </row>
    <row r="396" spans="1:24" s="146" customFormat="1" x14ac:dyDescent="0.3">
      <c r="A396" s="126" t="s">
        <v>897</v>
      </c>
      <c r="B396" s="146" t="s">
        <v>1617</v>
      </c>
      <c r="C396" s="146" t="s">
        <v>8</v>
      </c>
      <c r="D396" s="106" t="str">
        <f>IF(MouserListTable1218[[#This Row],[Vendor]]=FilterSpecs!$A$8,MouserListTable1218[[#This Row],[Mouser SKU]], MouserListTable1218[[#This Row],[Supplier SKU]])</f>
        <v>COM-12901</v>
      </c>
      <c r="E396" s="121">
        <f>MouserListTable1218[[#This Row],[Tot '#]]-MouserListTable1218[[#This Row],['# Initial]]</f>
        <v>0</v>
      </c>
      <c r="F396" s="121">
        <f>MouserListTable1218[[#This Row],['#/Unit]]*FilterSpecs!$B$3+MouserListTable1218[[#This Row],[Extra Initial]]</f>
        <v>0</v>
      </c>
      <c r="G396" s="103" t="s">
        <v>1576</v>
      </c>
      <c r="H396" s="103" t="s">
        <v>1577</v>
      </c>
      <c r="I396" s="106" t="s">
        <v>1578</v>
      </c>
      <c r="J396" s="103"/>
      <c r="K396" s="157">
        <v>1.95</v>
      </c>
      <c r="L396" s="106" t="s">
        <v>1913</v>
      </c>
      <c r="M396" s="103"/>
      <c r="N396" s="157">
        <f>MouserListTable1218[[#This Row],['# Initial]]*MouserListTable1218[[#This Row],[Price (USD)]]</f>
        <v>0</v>
      </c>
      <c r="O396" s="106" t="s">
        <v>1575</v>
      </c>
      <c r="P396" s="103">
        <f t="shared" si="6"/>
        <v>377</v>
      </c>
      <c r="Q396" s="103" t="s">
        <v>8</v>
      </c>
      <c r="R39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474-COM-12901</v>
      </c>
      <c r="S396" s="121">
        <v>0</v>
      </c>
      <c r="T396" s="121">
        <v>0</v>
      </c>
      <c r="U396" s="121">
        <v>0</v>
      </c>
      <c r="V396" s="121">
        <f>MouserListTable1218[[#This Row],['#/Unit]]*FilterSpecs!$C$3+MouserListTable1218[[#This Row],[Extra]]</f>
        <v>0</v>
      </c>
      <c r="W396" s="121">
        <f>IF(MouserListTable1218[[#This Row],[Tag]]=FilterSpecs!$F$7,MouserListTable1218[[#This Row],[Price (USD)]],0)</f>
        <v>0</v>
      </c>
      <c r="X396" s="121">
        <f>MouserListTable1218[[#This Row],[Tot '#]]*MouserListTable1218[[#This Row],[Price (USD)]]</f>
        <v>0</v>
      </c>
    </row>
    <row r="397" spans="1:24" s="146" customFormat="1" x14ac:dyDescent="0.3">
      <c r="A397" s="103" t="s">
        <v>897</v>
      </c>
      <c r="B397" s="106" t="s">
        <v>1617</v>
      </c>
      <c r="C397" s="106" t="s">
        <v>8</v>
      </c>
      <c r="D397" s="106" t="str">
        <f>IF(MouserListTable1218[[#This Row],[Vendor]]=FilterSpecs!$A$8,MouserListTable1218[[#This Row],[Mouser SKU]], MouserListTable1218[[#This Row],[Supplier SKU]])</f>
        <v>COM-11078</v>
      </c>
      <c r="E397" s="121">
        <f>MouserListTable1218[[#This Row],[Tot '#]]-MouserListTable1218[[#This Row],['# Initial]]</f>
        <v>0</v>
      </c>
      <c r="F397" s="121">
        <f>MouserListTable1218[[#This Row],['#/Unit]]*FilterSpecs!$B$3+MouserListTable1218[[#This Row],[Extra Initial]]</f>
        <v>5</v>
      </c>
      <c r="G397" s="103" t="s">
        <v>392</v>
      </c>
      <c r="H397" s="103" t="s">
        <v>393</v>
      </c>
      <c r="I397" s="106" t="s">
        <v>394</v>
      </c>
      <c r="J397" s="103">
        <v>1</v>
      </c>
      <c r="K397" s="157">
        <v>0.5</v>
      </c>
      <c r="L397" s="106" t="s">
        <v>1911</v>
      </c>
      <c r="M397" s="103"/>
      <c r="N397" s="157">
        <f>MouserListTable1218[[#This Row],['# Initial]]*MouserListTable1218[[#This Row],[Price (USD)]]</f>
        <v>2.5</v>
      </c>
      <c r="O397" s="106" t="s">
        <v>391</v>
      </c>
      <c r="P397" s="103">
        <f t="shared" si="6"/>
        <v>378</v>
      </c>
      <c r="Q397" s="103" t="s">
        <v>8</v>
      </c>
      <c r="R39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474-COM-11078</v>
      </c>
      <c r="S397" s="121">
        <v>1</v>
      </c>
      <c r="T397" s="121">
        <v>0</v>
      </c>
      <c r="U397" s="121">
        <v>0</v>
      </c>
      <c r="V397" s="121">
        <f>MouserListTable1218[[#This Row],['#/Unit]]*FilterSpecs!$C$3+MouserListTable1218[[#This Row],[Extra]]</f>
        <v>5</v>
      </c>
      <c r="W397" s="121">
        <f>IF(MouserListTable1218[[#This Row],[Tag]]=FilterSpecs!$F$7,MouserListTable1218[[#This Row],[Price (USD)]],0)</f>
        <v>0.5</v>
      </c>
      <c r="X397" s="121">
        <f>MouserListTable1218[[#This Row],[Tot '#]]*MouserListTable1218[[#This Row],[Price (USD)]]</f>
        <v>2.5</v>
      </c>
    </row>
    <row r="398" spans="1:24" s="146" customFormat="1" x14ac:dyDescent="0.3">
      <c r="A398" s="103" t="s">
        <v>897</v>
      </c>
      <c r="B398" s="106" t="s">
        <v>1617</v>
      </c>
      <c r="C398" s="106" t="s">
        <v>8</v>
      </c>
      <c r="D398" s="106" t="str">
        <f>IF(MouserListTable1218[[#This Row],[Vendor]]=FilterSpecs!$A$8,MouserListTable1218[[#This Row],[Mouser SKU]], MouserListTable1218[[#This Row],[Supplier SKU]])</f>
        <v>COM-00526</v>
      </c>
      <c r="E398" s="121">
        <f>MouserListTable1218[[#This Row],[Tot '#]]-MouserListTable1218[[#This Row],['# Initial]]</f>
        <v>0</v>
      </c>
      <c r="F398" s="121">
        <f>MouserListTable1218[[#This Row],['#/Unit]]*FilterSpecs!$B$3+MouserListTable1218[[#This Row],[Extra Initial]]</f>
        <v>5</v>
      </c>
      <c r="G398" s="103" t="s">
        <v>380</v>
      </c>
      <c r="H398" s="103" t="s">
        <v>381</v>
      </c>
      <c r="I398" s="106" t="s">
        <v>382</v>
      </c>
      <c r="J398" s="103">
        <v>1</v>
      </c>
      <c r="K398" s="157">
        <v>1.95</v>
      </c>
      <c r="L398" s="106" t="s">
        <v>1911</v>
      </c>
      <c r="M398" s="103"/>
      <c r="N398" s="157">
        <f>MouserListTable1218[[#This Row],['# Initial]]*MouserListTable1218[[#This Row],[Price (USD)]]</f>
        <v>9.75</v>
      </c>
      <c r="O398" s="106" t="s">
        <v>379</v>
      </c>
      <c r="P398" s="103">
        <f t="shared" ref="P398:P461" si="10">IF($P397="List #",1,$P397+1)</f>
        <v>379</v>
      </c>
      <c r="Q398" s="103" t="s">
        <v>8</v>
      </c>
      <c r="R39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474-COM-00526</v>
      </c>
      <c r="S398" s="121">
        <v>1</v>
      </c>
      <c r="T398" s="121">
        <v>0</v>
      </c>
      <c r="U398" s="121">
        <v>0</v>
      </c>
      <c r="V398" s="121">
        <f>MouserListTable1218[[#This Row],['#/Unit]]*FilterSpecs!$C$3+MouserListTable1218[[#This Row],[Extra]]</f>
        <v>5</v>
      </c>
      <c r="W398" s="121">
        <f>IF(MouserListTable1218[[#This Row],[Tag]]=FilterSpecs!$F$7,MouserListTable1218[[#This Row],[Price (USD)]],0)</f>
        <v>1.95</v>
      </c>
      <c r="X398" s="121">
        <f>MouserListTable1218[[#This Row],[Tot '#]]*MouserListTable1218[[#This Row],[Price (USD)]]</f>
        <v>9.75</v>
      </c>
    </row>
    <row r="399" spans="1:24" s="146" customFormat="1" x14ac:dyDescent="0.3">
      <c r="A399" s="103" t="s">
        <v>897</v>
      </c>
      <c r="B399" s="106" t="s">
        <v>1617</v>
      </c>
      <c r="C399" s="106" t="s">
        <v>8</v>
      </c>
      <c r="D399" s="106" t="str">
        <f>IF(MouserListTable1218[[#This Row],[Vendor]]=FilterSpecs!$A$8,MouserListTable1218[[#This Row],[Mouser SKU]], MouserListTable1218[[#This Row],[Supplier SKU]])</f>
        <v>COM-00107</v>
      </c>
      <c r="E399" s="121">
        <f>MouserListTable1218[[#This Row],[Tot '#]]-MouserListTable1218[[#This Row],['# Initial]]</f>
        <v>0</v>
      </c>
      <c r="F399" s="121">
        <f>MouserListTable1218[[#This Row],['#/Unit]]*FilterSpecs!$B$3+MouserListTable1218[[#This Row],[Extra Initial]]</f>
        <v>5</v>
      </c>
      <c r="G399" s="103" t="s">
        <v>396</v>
      </c>
      <c r="H399" s="103" t="s">
        <v>397</v>
      </c>
      <c r="I399" s="106" t="s">
        <v>398</v>
      </c>
      <c r="J399" s="103">
        <v>1</v>
      </c>
      <c r="K399" s="157">
        <v>0.95</v>
      </c>
      <c r="L399" s="106" t="s">
        <v>1911</v>
      </c>
      <c r="M399" s="103"/>
      <c r="N399" s="157">
        <f>MouserListTable1218[[#This Row],['# Initial]]*MouserListTable1218[[#This Row],[Price (USD)]]</f>
        <v>4.75</v>
      </c>
      <c r="O399" s="106" t="s">
        <v>395</v>
      </c>
      <c r="P399" s="103">
        <f t="shared" si="10"/>
        <v>380</v>
      </c>
      <c r="Q399" s="103" t="s">
        <v>8</v>
      </c>
      <c r="R39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474-COM-00107</v>
      </c>
      <c r="S399" s="121">
        <v>1</v>
      </c>
      <c r="T399" s="121">
        <v>0</v>
      </c>
      <c r="U399" s="121">
        <v>0</v>
      </c>
      <c r="V399" s="121">
        <f>MouserListTable1218[[#This Row],['#/Unit]]*FilterSpecs!$C$3+MouserListTable1218[[#This Row],[Extra]]</f>
        <v>5</v>
      </c>
      <c r="W399" s="121">
        <f>IF(MouserListTable1218[[#This Row],[Tag]]=FilterSpecs!$F$7,MouserListTable1218[[#This Row],[Price (USD)]],0)</f>
        <v>0.95</v>
      </c>
      <c r="X399" s="121">
        <f>MouserListTable1218[[#This Row],[Tot '#]]*MouserListTable1218[[#This Row],[Price (USD)]]</f>
        <v>4.75</v>
      </c>
    </row>
    <row r="400" spans="1:24" s="146" customFormat="1" x14ac:dyDescent="0.3">
      <c r="A400" s="103" t="s">
        <v>897</v>
      </c>
      <c r="B400" s="106" t="s">
        <v>1617</v>
      </c>
      <c r="C400" s="106" t="s">
        <v>8</v>
      </c>
      <c r="D400" s="106" t="str">
        <f>IF(MouserListTable1218[[#This Row],[Vendor]]=FilterSpecs!$A$8,MouserListTable1218[[#This Row],[Mouser SKU]], MouserListTable1218[[#This Row],[Supplier SKU]])</f>
        <v>COM-12766</v>
      </c>
      <c r="E400" s="121">
        <f>MouserListTable1218[[#This Row],[Tot '#]]-MouserListTable1218[[#This Row],['# Initial]]</f>
        <v>2</v>
      </c>
      <c r="F400" s="121">
        <f>MouserListTable1218[[#This Row],['#/Unit]]*FilterSpecs!$B$3+MouserListTable1218[[#This Row],[Extra Initial]]</f>
        <v>0</v>
      </c>
      <c r="G400" s="103" t="s">
        <v>1273</v>
      </c>
      <c r="H400" s="103" t="s">
        <v>1274</v>
      </c>
      <c r="I400" s="106" t="s">
        <v>1275</v>
      </c>
      <c r="J400" s="103">
        <v>1</v>
      </c>
      <c r="K400" s="157">
        <v>1.5</v>
      </c>
      <c r="L400" s="106" t="s">
        <v>1910</v>
      </c>
      <c r="M400" s="103"/>
      <c r="N400" s="157">
        <f>MouserListTable1218[[#This Row],['# Initial]]*MouserListTable1218[[#This Row],[Price (USD)]]</f>
        <v>0</v>
      </c>
      <c r="O400" s="106" t="s">
        <v>1272</v>
      </c>
      <c r="P400" s="103">
        <f t="shared" si="10"/>
        <v>381</v>
      </c>
      <c r="Q400" s="103" t="s">
        <v>8</v>
      </c>
      <c r="R40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474-COM-12766</v>
      </c>
      <c r="S400" s="121">
        <v>0</v>
      </c>
      <c r="T400" s="121">
        <v>2</v>
      </c>
      <c r="U400" s="121">
        <v>0</v>
      </c>
      <c r="V400" s="121">
        <f>MouserListTable1218[[#This Row],['#/Unit]]*FilterSpecs!$C$3+MouserListTable1218[[#This Row],[Extra]]</f>
        <v>2</v>
      </c>
      <c r="W400" s="121">
        <f>IF(MouserListTable1218[[#This Row],[Tag]]=FilterSpecs!$F$7,MouserListTable1218[[#This Row],[Price (USD)]],0)</f>
        <v>0</v>
      </c>
      <c r="X400" s="121">
        <f>MouserListTable1218[[#This Row],[Tot '#]]*MouserListTable1218[[#This Row],[Price (USD)]]</f>
        <v>3</v>
      </c>
    </row>
    <row r="401" spans="1:24" s="146" customFormat="1" x14ac:dyDescent="0.3">
      <c r="A401" s="103" t="s">
        <v>897</v>
      </c>
      <c r="B401" s="106" t="s">
        <v>1617</v>
      </c>
      <c r="C401" s="106" t="s">
        <v>8</v>
      </c>
      <c r="D401" s="106" t="str">
        <f>IF(MouserListTable1218[[#This Row],[Vendor]]=FilterSpecs!$A$8,MouserListTable1218[[#This Row],[Mouser SKU]], MouserListTable1218[[#This Row],[Supplier SKU]])</f>
        <v>COM-00527</v>
      </c>
      <c r="E401" s="121">
        <f>MouserListTable1218[[#This Row],[Tot '#]]-MouserListTable1218[[#This Row],['# Initial]]</f>
        <v>1</v>
      </c>
      <c r="F401" s="121">
        <f>MouserListTable1218[[#This Row],['#/Unit]]*FilterSpecs!$B$3+MouserListTable1218[[#This Row],[Extra Initial]]</f>
        <v>0</v>
      </c>
      <c r="G401" s="103" t="s">
        <v>384</v>
      </c>
      <c r="H401" s="103" t="s">
        <v>385</v>
      </c>
      <c r="I401" s="106" t="s">
        <v>386</v>
      </c>
      <c r="J401" s="103">
        <v>1</v>
      </c>
      <c r="K401" s="157">
        <v>1.95</v>
      </c>
      <c r="L401" s="106" t="s">
        <v>1913</v>
      </c>
      <c r="M401" s="103"/>
      <c r="N401" s="157">
        <f>MouserListTable1218[[#This Row],['# Initial]]*MouserListTable1218[[#This Row],[Price (USD)]]</f>
        <v>0</v>
      </c>
      <c r="O401" s="106" t="s">
        <v>383</v>
      </c>
      <c r="P401" s="103">
        <f t="shared" si="10"/>
        <v>382</v>
      </c>
      <c r="Q401" s="103" t="s">
        <v>8</v>
      </c>
      <c r="R40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474-COM-00527</v>
      </c>
      <c r="S401" s="121">
        <v>0</v>
      </c>
      <c r="T401" s="121">
        <v>1</v>
      </c>
      <c r="U401" s="121">
        <v>0</v>
      </c>
      <c r="V401" s="121">
        <f>MouserListTable1218[[#This Row],['#/Unit]]*FilterSpecs!$C$3+MouserListTable1218[[#This Row],[Extra]]</f>
        <v>1</v>
      </c>
      <c r="W401" s="121">
        <f>IF(MouserListTable1218[[#This Row],[Tag]]=FilterSpecs!$F$7,MouserListTable1218[[#This Row],[Price (USD)]],0)</f>
        <v>0</v>
      </c>
      <c r="X401" s="121">
        <f>MouserListTable1218[[#This Row],[Tot '#]]*MouserListTable1218[[#This Row],[Price (USD)]]</f>
        <v>1.95</v>
      </c>
    </row>
    <row r="402" spans="1:24" s="146" customFormat="1" x14ac:dyDescent="0.3">
      <c r="A402" s="103" t="s">
        <v>897</v>
      </c>
      <c r="B402" s="106" t="s">
        <v>1617</v>
      </c>
      <c r="C402" s="106" t="s">
        <v>8</v>
      </c>
      <c r="D402" s="106" t="str">
        <f>IF(MouserListTable1218[[#This Row],[Vendor]]=FilterSpecs!$A$8,MouserListTable1218[[#This Row],[Mouser SKU]], MouserListTable1218[[#This Row],[Supplier SKU]])</f>
        <v>PRT-07937</v>
      </c>
      <c r="E402" s="121">
        <f>MouserListTable1218[[#This Row],[Tot '#]]-MouserListTable1218[[#This Row],['# Initial]]</f>
        <v>1</v>
      </c>
      <c r="F402" s="121">
        <f>MouserListTable1218[[#This Row],['#/Unit]]*FilterSpecs!$B$3+MouserListTable1218[[#This Row],[Extra Initial]]</f>
        <v>0</v>
      </c>
      <c r="G402" s="103" t="s">
        <v>1844</v>
      </c>
      <c r="H402" s="103" t="s">
        <v>1845</v>
      </c>
      <c r="I402" s="106" t="s">
        <v>1846</v>
      </c>
      <c r="J402" s="103">
        <v>1</v>
      </c>
      <c r="K402" s="157">
        <v>0.5</v>
      </c>
      <c r="L402" s="106" t="s">
        <v>1913</v>
      </c>
      <c r="M402" s="103"/>
      <c r="N402" s="157">
        <f>MouserListTable1218[[#This Row],['# Initial]]*MouserListTable1218[[#This Row],[Price (USD)]]</f>
        <v>0</v>
      </c>
      <c r="O402" s="106" t="s">
        <v>1843</v>
      </c>
      <c r="P402" s="103">
        <f t="shared" si="10"/>
        <v>383</v>
      </c>
      <c r="Q402" s="103" t="s">
        <v>8</v>
      </c>
      <c r="R40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474-PRT-07937</v>
      </c>
      <c r="S402" s="121">
        <v>0</v>
      </c>
      <c r="T402" s="121">
        <v>1</v>
      </c>
      <c r="U402" s="121">
        <v>0</v>
      </c>
      <c r="V402" s="121">
        <f>MouserListTable1218[[#This Row],['#/Unit]]*FilterSpecs!$C$3+MouserListTable1218[[#This Row],[Extra]]</f>
        <v>1</v>
      </c>
      <c r="W402" s="121">
        <f>IF(MouserListTable1218[[#This Row],[Tag]]=FilterSpecs!$F$7,MouserListTable1218[[#This Row],[Price (USD)]],0)</f>
        <v>0</v>
      </c>
      <c r="X402" s="121">
        <f>MouserListTable1218[[#This Row],[Tot '#]]*MouserListTable1218[[#This Row],[Price (USD)]]</f>
        <v>0.5</v>
      </c>
    </row>
    <row r="403" spans="1:24" s="146" customFormat="1" x14ac:dyDescent="0.3">
      <c r="A403" s="128" t="s">
        <v>897</v>
      </c>
      <c r="B403" s="128" t="s">
        <v>1617</v>
      </c>
      <c r="C403" s="128" t="s">
        <v>1898</v>
      </c>
      <c r="D403" s="106" t="str">
        <f>IF(MouserListTable1218[[#This Row],[Vendor]]=FilterSpecs!$A$8,MouserListTable1218[[#This Row],[Mouser SKU]], MouserListTable1218[[#This Row],[Supplier SKU]])</f>
        <v>2202</v>
      </c>
      <c r="E403" s="121">
        <f>MouserListTable1218[[#This Row],[Tot '#]]-MouserListTable1218[[#This Row],['# Initial]]</f>
        <v>0</v>
      </c>
      <c r="F403" s="121">
        <f>MouserListTable1218[[#This Row],['#/Unit]]*FilterSpecs!$B$3+MouserListTable1218[[#This Row],[Extra Initial]]</f>
        <v>0</v>
      </c>
      <c r="I403" s="128" t="s">
        <v>2476</v>
      </c>
      <c r="J403" s="153">
        <v>114</v>
      </c>
      <c r="K403" s="159">
        <v>0.75</v>
      </c>
      <c r="L403" s="126" t="s">
        <v>1910</v>
      </c>
      <c r="N403" s="157">
        <f>MouserListTable1218[[#This Row],['# Initial]]*MouserListTable1218[[#This Row],[Price (USD)]]</f>
        <v>0</v>
      </c>
      <c r="O403" s="153" t="s">
        <v>2477</v>
      </c>
      <c r="P403" s="103">
        <f t="shared" si="10"/>
        <v>384</v>
      </c>
      <c r="Q403" s="103" t="s">
        <v>1898</v>
      </c>
      <c r="R40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485-2202</v>
      </c>
      <c r="S403" s="121">
        <v>0</v>
      </c>
      <c r="T403" s="121">
        <v>0</v>
      </c>
      <c r="U403" s="121">
        <v>0</v>
      </c>
      <c r="V403" s="121">
        <f>MouserListTable1218[[#This Row],['#/Unit]]*FilterSpecs!$C$3+MouserListTable1218[[#This Row],[Extra]]</f>
        <v>0</v>
      </c>
      <c r="W403" s="121">
        <f>IF(MouserListTable1218[[#This Row],[Tag]]=FilterSpecs!$F$7,MouserListTable1218[[#This Row],[Price (USD)]],0)</f>
        <v>0</v>
      </c>
      <c r="X403" s="121">
        <f>MouserListTable1218[[#This Row],[Tot '#]]*MouserListTable1218[[#This Row],[Price (USD)]]</f>
        <v>0</v>
      </c>
    </row>
    <row r="404" spans="1:24" s="146" customFormat="1" x14ac:dyDescent="0.3">
      <c r="A404" s="103" t="s">
        <v>897</v>
      </c>
      <c r="B404" s="106" t="s">
        <v>1617</v>
      </c>
      <c r="C404" s="106" t="s">
        <v>8</v>
      </c>
      <c r="D404" s="106" t="str">
        <f>IF(MouserListTable1218[[#This Row],[Vendor]]=FilterSpecs!$A$8,MouserListTable1218[[#This Row],[Mouser SKU]], MouserListTable1218[[#This Row],[Supplier SKU]])</f>
        <v>COM-09456</v>
      </c>
      <c r="E404" s="121">
        <f>MouserListTable1218[[#This Row],[Tot '#]]-MouserListTable1218[[#This Row],['# Initial]]</f>
        <v>5</v>
      </c>
      <c r="F404" s="121">
        <f>MouserListTable1218[[#This Row],['#/Unit]]*FilterSpecs!$B$3+MouserListTable1218[[#This Row],[Extra Initial]]</f>
        <v>0</v>
      </c>
      <c r="G404" s="103" t="s">
        <v>664</v>
      </c>
      <c r="H404" s="103" t="s">
        <v>665</v>
      </c>
      <c r="I404" s="106" t="s">
        <v>666</v>
      </c>
      <c r="J404" s="103">
        <v>1</v>
      </c>
      <c r="K404" s="157">
        <v>0.95</v>
      </c>
      <c r="L404" s="106" t="s">
        <v>1913</v>
      </c>
      <c r="M404" s="103"/>
      <c r="N404" s="157">
        <f>MouserListTable1218[[#This Row],['# Initial]]*MouserListTable1218[[#This Row],[Price (USD)]]</f>
        <v>0</v>
      </c>
      <c r="O404" s="106" t="s">
        <v>663</v>
      </c>
      <c r="P404" s="103">
        <f t="shared" si="10"/>
        <v>385</v>
      </c>
      <c r="Q404" s="103" t="s">
        <v>8</v>
      </c>
      <c r="R40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474-COM-09456</v>
      </c>
      <c r="S404" s="121">
        <v>0</v>
      </c>
      <c r="T404" s="121">
        <v>5</v>
      </c>
      <c r="U404" s="121">
        <v>0</v>
      </c>
      <c r="V404" s="121">
        <f>MouserListTable1218[[#This Row],['#/Unit]]*FilterSpecs!$C$3+MouserListTable1218[[#This Row],[Extra]]</f>
        <v>5</v>
      </c>
      <c r="W404" s="121">
        <f>IF(MouserListTable1218[[#This Row],[Tag]]=FilterSpecs!$F$7,MouserListTable1218[[#This Row],[Price (USD)]],0)</f>
        <v>0</v>
      </c>
      <c r="X404" s="121">
        <f>MouserListTable1218[[#This Row],[Tot '#]]*MouserListTable1218[[#This Row],[Price (USD)]]</f>
        <v>4.75</v>
      </c>
    </row>
    <row r="405" spans="1:24" s="146" customFormat="1" x14ac:dyDescent="0.3">
      <c r="A405" s="103" t="s">
        <v>897</v>
      </c>
      <c r="B405" s="106" t="s">
        <v>1617</v>
      </c>
      <c r="C405" s="106" t="s">
        <v>8</v>
      </c>
      <c r="D405" s="106" t="str">
        <f>IF(MouserListTable1218[[#This Row],[Vendor]]=FilterSpecs!$A$8,MouserListTable1218[[#This Row],[Mouser SKU]], MouserListTable1218[[#This Row],[Supplier SKU]])</f>
        <v>COM-10613</v>
      </c>
      <c r="E405" s="121">
        <f>MouserListTable1218[[#This Row],[Tot '#]]-MouserListTable1218[[#This Row],['# Initial]]</f>
        <v>0</v>
      </c>
      <c r="F405" s="121">
        <f>MouserListTable1218[[#This Row],['#/Unit]]*FilterSpecs!$B$3+MouserListTable1218[[#This Row],[Extra Initial]]</f>
        <v>5</v>
      </c>
      <c r="G405" s="103" t="s">
        <v>962</v>
      </c>
      <c r="H405" s="103" t="s">
        <v>963</v>
      </c>
      <c r="I405" s="106" t="s">
        <v>964</v>
      </c>
      <c r="J405" s="103">
        <v>1</v>
      </c>
      <c r="K405" s="157">
        <v>1.5</v>
      </c>
      <c r="L405" s="106" t="s">
        <v>1911</v>
      </c>
      <c r="M405" s="103"/>
      <c r="N405" s="157">
        <f>MouserListTable1218[[#This Row],['# Initial]]*MouserListTable1218[[#This Row],[Price (USD)]]</f>
        <v>7.5</v>
      </c>
      <c r="O405" s="106" t="s">
        <v>961</v>
      </c>
      <c r="P405" s="103">
        <f t="shared" si="10"/>
        <v>386</v>
      </c>
      <c r="Q405" s="103" t="s">
        <v>8</v>
      </c>
      <c r="R40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474-COM-10613</v>
      </c>
      <c r="S405" s="121">
        <v>1</v>
      </c>
      <c r="T405" s="121">
        <v>0</v>
      </c>
      <c r="U405" s="121">
        <v>0</v>
      </c>
      <c r="V405" s="121">
        <f>MouserListTable1218[[#This Row],['#/Unit]]*FilterSpecs!$C$3+MouserListTable1218[[#This Row],[Extra]]</f>
        <v>5</v>
      </c>
      <c r="W405" s="121">
        <f>IF(MouserListTable1218[[#This Row],[Tag]]=FilterSpecs!$F$7,MouserListTable1218[[#This Row],[Price (USD)]],0)</f>
        <v>1.5</v>
      </c>
      <c r="X405" s="121">
        <f>MouserListTable1218[[#This Row],[Tot '#]]*MouserListTable1218[[#This Row],[Price (USD)]]</f>
        <v>7.5</v>
      </c>
    </row>
    <row r="406" spans="1:24" s="146" customFormat="1" x14ac:dyDescent="0.3">
      <c r="A406" s="103" t="s">
        <v>897</v>
      </c>
      <c r="B406" s="106" t="s">
        <v>1617</v>
      </c>
      <c r="C406" s="106" t="s">
        <v>8</v>
      </c>
      <c r="D406" s="106" t="str">
        <f>IF(MouserListTable1218[[#This Row],[Vendor]]=FilterSpecs!$A$8,MouserListTable1218[[#This Row],[Mouser SKU]], MouserListTable1218[[#This Row],[Supplier SKU]])</f>
        <v>COM-09273</v>
      </c>
      <c r="E406" s="121">
        <f>MouserListTable1218[[#This Row],[Tot '#]]-MouserListTable1218[[#This Row],['# Initial]]</f>
        <v>0</v>
      </c>
      <c r="F406" s="121">
        <f>MouserListTable1218[[#This Row],['#/Unit]]*FilterSpecs!$B$3+MouserListTable1218[[#This Row],[Extra Initial]]</f>
        <v>5</v>
      </c>
      <c r="G406" s="103" t="s">
        <v>404</v>
      </c>
      <c r="H406" s="103" t="s">
        <v>405</v>
      </c>
      <c r="I406" s="106" t="s">
        <v>406</v>
      </c>
      <c r="J406" s="103">
        <v>1</v>
      </c>
      <c r="K406" s="157">
        <v>0.95</v>
      </c>
      <c r="L406" s="106" t="s">
        <v>1911</v>
      </c>
      <c r="M406" s="103"/>
      <c r="N406" s="157">
        <f>MouserListTable1218[[#This Row],['# Initial]]*MouserListTable1218[[#This Row],[Price (USD)]]</f>
        <v>4.75</v>
      </c>
      <c r="O406" s="106" t="s">
        <v>403</v>
      </c>
      <c r="P406" s="103">
        <f t="shared" si="10"/>
        <v>387</v>
      </c>
      <c r="Q406" s="103" t="s">
        <v>8</v>
      </c>
      <c r="R40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474-COM-09273</v>
      </c>
      <c r="S406" s="121">
        <v>1</v>
      </c>
      <c r="T406" s="121">
        <v>0</v>
      </c>
      <c r="U406" s="121">
        <v>0</v>
      </c>
      <c r="V406" s="121">
        <f>MouserListTable1218[[#This Row],['#/Unit]]*FilterSpecs!$C$3+MouserListTable1218[[#This Row],[Extra]]</f>
        <v>5</v>
      </c>
      <c r="W406" s="121">
        <f>IF(MouserListTable1218[[#This Row],[Tag]]=FilterSpecs!$F$7,MouserListTable1218[[#This Row],[Price (USD)]],0)</f>
        <v>0.95</v>
      </c>
      <c r="X406" s="121">
        <f>MouserListTable1218[[#This Row],[Tot '#]]*MouserListTable1218[[#This Row],[Price (USD)]]</f>
        <v>4.75</v>
      </c>
    </row>
    <row r="407" spans="1:24" s="146" customFormat="1" x14ac:dyDescent="0.3">
      <c r="A407" s="103" t="s">
        <v>897</v>
      </c>
      <c r="B407" s="106" t="s">
        <v>1617</v>
      </c>
      <c r="C407" s="106" t="s">
        <v>8</v>
      </c>
      <c r="D407" s="106" t="str">
        <f>IF(MouserListTable1218[[#This Row],[Vendor]]=FilterSpecs!$A$8,MouserListTable1218[[#This Row],[Mouser SKU]], MouserListTable1218[[#This Row],[Supplier SKU]])</f>
        <v>COM-08636</v>
      </c>
      <c r="E407" s="121">
        <f>MouserListTable1218[[#This Row],[Tot '#]]-MouserListTable1218[[#This Row],['# Initial]]</f>
        <v>0</v>
      </c>
      <c r="F407" s="121">
        <f>MouserListTable1218[[#This Row],['#/Unit]]*FilterSpecs!$B$3+MouserListTable1218[[#This Row],[Extra Initial]]</f>
        <v>5</v>
      </c>
      <c r="G407" s="103" t="s">
        <v>400</v>
      </c>
      <c r="H407" s="103" t="s">
        <v>401</v>
      </c>
      <c r="I407" s="106" t="s">
        <v>402</v>
      </c>
      <c r="J407" s="103">
        <v>1</v>
      </c>
      <c r="K407" s="157">
        <v>2.2999999999999998</v>
      </c>
      <c r="L407" s="106" t="s">
        <v>1911</v>
      </c>
      <c r="M407" s="103"/>
      <c r="N407" s="157">
        <f>MouserListTable1218[[#This Row],['# Initial]]*MouserListTable1218[[#This Row],[Price (USD)]]</f>
        <v>11.5</v>
      </c>
      <c r="O407" s="106" t="s">
        <v>399</v>
      </c>
      <c r="P407" s="103">
        <f t="shared" si="10"/>
        <v>388</v>
      </c>
      <c r="Q407" s="103" t="s">
        <v>8</v>
      </c>
      <c r="R40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474-COM-08636</v>
      </c>
      <c r="S407" s="121">
        <v>1</v>
      </c>
      <c r="T407" s="121">
        <v>0</v>
      </c>
      <c r="U407" s="121">
        <v>0</v>
      </c>
      <c r="V407" s="121">
        <f>MouserListTable1218[[#This Row],['#/Unit]]*FilterSpecs!$C$3+MouserListTable1218[[#This Row],[Extra]]</f>
        <v>5</v>
      </c>
      <c r="W407" s="121">
        <f>IF(MouserListTable1218[[#This Row],[Tag]]=FilterSpecs!$F$7,MouserListTable1218[[#This Row],[Price (USD)]],0)</f>
        <v>2.2999999999999998</v>
      </c>
      <c r="X407" s="121">
        <f>MouserListTable1218[[#This Row],[Tot '#]]*MouserListTable1218[[#This Row],[Price (USD)]]</f>
        <v>11.5</v>
      </c>
    </row>
    <row r="408" spans="1:24" s="146" customFormat="1" x14ac:dyDescent="0.3">
      <c r="A408" s="103" t="s">
        <v>897</v>
      </c>
      <c r="B408" s="106" t="s">
        <v>1617</v>
      </c>
      <c r="C408" s="106" t="s">
        <v>8</v>
      </c>
      <c r="D408" s="106" t="str">
        <f>IF(MouserListTable1218[[#This Row],[Vendor]]=FilterSpecs!$A$8,MouserListTable1218[[#This Row],[Mouser SKU]], MouserListTable1218[[#This Row],[Supplier SKU]])</f>
        <v>COM-00317</v>
      </c>
      <c r="E408" s="121">
        <f>MouserListTable1218[[#This Row],[Tot '#]]-MouserListTable1218[[#This Row],['# Initial]]</f>
        <v>1</v>
      </c>
      <c r="F408" s="121">
        <f>MouserListTable1218[[#This Row],['#/Unit]]*FilterSpecs!$B$3+MouserListTable1218[[#This Row],[Extra Initial]]</f>
        <v>0</v>
      </c>
      <c r="G408" s="103" t="s">
        <v>1097</v>
      </c>
      <c r="H408" s="103" t="s">
        <v>1098</v>
      </c>
      <c r="I408" s="106" t="s">
        <v>1099</v>
      </c>
      <c r="J408" s="103">
        <v>1</v>
      </c>
      <c r="K408" s="157">
        <v>1.95</v>
      </c>
      <c r="L408" s="106" t="s">
        <v>1910</v>
      </c>
      <c r="M408" s="103"/>
      <c r="N408" s="157">
        <f>MouserListTable1218[[#This Row],['# Initial]]*MouserListTable1218[[#This Row],[Price (USD)]]</f>
        <v>0</v>
      </c>
      <c r="O408" s="106" t="s">
        <v>1096</v>
      </c>
      <c r="P408" s="103">
        <f t="shared" si="10"/>
        <v>389</v>
      </c>
      <c r="Q408" s="103" t="s">
        <v>8</v>
      </c>
      <c r="R40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474-COM-00317</v>
      </c>
      <c r="S408" s="121">
        <v>0</v>
      </c>
      <c r="T408" s="121">
        <v>1</v>
      </c>
      <c r="U408" s="121">
        <v>0</v>
      </c>
      <c r="V408" s="121">
        <f>MouserListTable1218[[#This Row],['#/Unit]]*FilterSpecs!$C$3+MouserListTable1218[[#This Row],[Extra]]</f>
        <v>1</v>
      </c>
      <c r="W408" s="121">
        <f>IF(MouserListTable1218[[#This Row],[Tag]]=FilterSpecs!$F$7,MouserListTable1218[[#This Row],[Price (USD)]],0)</f>
        <v>0</v>
      </c>
      <c r="X408" s="121">
        <f>MouserListTable1218[[#This Row],[Tot '#]]*MouserListTable1218[[#This Row],[Price (USD)]]</f>
        <v>1.95</v>
      </c>
    </row>
    <row r="409" spans="1:24" s="146" customFormat="1" x14ac:dyDescent="0.3">
      <c r="A409" s="103" t="s">
        <v>897</v>
      </c>
      <c r="B409" s="106" t="s">
        <v>1617</v>
      </c>
      <c r="C409" s="106" t="s">
        <v>1898</v>
      </c>
      <c r="D409" s="106" t="str">
        <f>IF(MouserListTable1218[[#This Row],[Vendor]]=FilterSpecs!$A$8,MouserListTable1218[[#This Row],[Mouser SKU]], MouserListTable1218[[#This Row],[Supplier SKU]])</f>
        <v>1787</v>
      </c>
      <c r="E409" s="121">
        <f>MouserListTable1218[[#This Row],[Tot '#]]-MouserListTable1218[[#This Row],['# Initial]]</f>
        <v>0</v>
      </c>
      <c r="F409" s="121">
        <f>MouserListTable1218[[#This Row],['#/Unit]]*FilterSpecs!$B$3+MouserListTable1218[[#This Row],[Extra Initial]]</f>
        <v>0</v>
      </c>
      <c r="G409" s="103"/>
      <c r="H409" s="103"/>
      <c r="I409" s="146" t="s">
        <v>2152</v>
      </c>
      <c r="K409" s="158">
        <v>1.5</v>
      </c>
      <c r="L409" s="146" t="s">
        <v>1910</v>
      </c>
      <c r="N409" s="157">
        <f>MouserListTable1218[[#This Row],['# Initial]]*MouserListTable1218[[#This Row],[Price (USD)]]</f>
        <v>0</v>
      </c>
      <c r="O409" s="106" t="s">
        <v>2151</v>
      </c>
      <c r="P409" s="103">
        <f t="shared" si="10"/>
        <v>390</v>
      </c>
      <c r="Q409" s="103" t="s">
        <v>1898</v>
      </c>
      <c r="R40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485-1787</v>
      </c>
      <c r="S409" s="121">
        <v>0</v>
      </c>
      <c r="T409" s="121">
        <v>0</v>
      </c>
      <c r="U409" s="121">
        <v>0</v>
      </c>
      <c r="V409" s="121">
        <f>MouserListTable1218[[#This Row],['#/Unit]]*FilterSpecs!$C$3+MouserListTable1218[[#This Row],[Extra]]</f>
        <v>0</v>
      </c>
      <c r="W409" s="121">
        <f>IF(MouserListTable1218[[#This Row],[Tag]]=FilterSpecs!$F$7,MouserListTable1218[[#This Row],[Price (USD)]],0)</f>
        <v>0</v>
      </c>
      <c r="X409" s="121">
        <f>MouserListTable1218[[#This Row],[Tot '#]]*MouserListTable1218[[#This Row],[Price (USD)]]</f>
        <v>0</v>
      </c>
    </row>
    <row r="410" spans="1:24" s="146" customFormat="1" x14ac:dyDescent="0.3">
      <c r="A410" s="126" t="s">
        <v>897</v>
      </c>
      <c r="B410" s="146" t="s">
        <v>1617</v>
      </c>
      <c r="C410" s="146" t="s">
        <v>8</v>
      </c>
      <c r="D410" s="106" t="str">
        <f>IF(MouserListTable1218[[#This Row],[Vendor]]=FilterSpecs!$A$8,MouserListTable1218[[#This Row],[Mouser SKU]], MouserListTable1218[[#This Row],[Supplier SKU]])</f>
        <v>COM-00525</v>
      </c>
      <c r="E410" s="121">
        <f>MouserListTable1218[[#This Row],[Tot '#]]-MouserListTable1218[[#This Row],['# Initial]]</f>
        <v>0</v>
      </c>
      <c r="F410" s="121">
        <f>MouserListTable1218[[#This Row],['#/Unit]]*FilterSpecs!$B$3+MouserListTable1218[[#This Row],[Extra Initial]]</f>
        <v>0</v>
      </c>
      <c r="G410" s="103" t="s">
        <v>680</v>
      </c>
      <c r="H410" s="103" t="s">
        <v>681</v>
      </c>
      <c r="I410" s="106" t="s">
        <v>682</v>
      </c>
      <c r="J410" s="103">
        <v>1</v>
      </c>
      <c r="K410" s="157">
        <v>1.95</v>
      </c>
      <c r="L410" s="106" t="s">
        <v>1910</v>
      </c>
      <c r="M410" s="103"/>
      <c r="N410" s="157">
        <f>MouserListTable1218[[#This Row],['# Initial]]*MouserListTable1218[[#This Row],[Price (USD)]]</f>
        <v>0</v>
      </c>
      <c r="O410" s="106" t="s">
        <v>679</v>
      </c>
      <c r="P410" s="103">
        <f t="shared" si="10"/>
        <v>391</v>
      </c>
      <c r="Q410" s="103" t="s">
        <v>8</v>
      </c>
      <c r="R41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474-COM-00525</v>
      </c>
      <c r="S410" s="121">
        <v>0</v>
      </c>
      <c r="T410" s="121">
        <v>0</v>
      </c>
      <c r="U410" s="121">
        <v>0</v>
      </c>
      <c r="V410" s="121">
        <f>MouserListTable1218[[#This Row],['#/Unit]]*FilterSpecs!$C$3+MouserListTable1218[[#This Row],[Extra]]</f>
        <v>0</v>
      </c>
      <c r="W410" s="121">
        <f>IF(MouserListTable1218[[#This Row],[Tag]]=FilterSpecs!$F$7,MouserListTable1218[[#This Row],[Price (USD)]],0)</f>
        <v>0</v>
      </c>
      <c r="X410" s="121">
        <f>MouserListTable1218[[#This Row],[Tot '#]]*MouserListTable1218[[#This Row],[Price (USD)]]</f>
        <v>0</v>
      </c>
    </row>
    <row r="411" spans="1:24" s="146" customFormat="1" x14ac:dyDescent="0.3">
      <c r="A411" s="126" t="s">
        <v>897</v>
      </c>
      <c r="B411" s="146" t="s">
        <v>1617</v>
      </c>
      <c r="C411" s="146" t="s">
        <v>8</v>
      </c>
      <c r="D411" s="106" t="str">
        <f>IF(MouserListTable1218[[#This Row],[Vendor]]=FilterSpecs!$A$8,MouserListTable1218[[#This Row],[Mouser SKU]], MouserListTable1218[[#This Row],[Supplier SKU]])</f>
        <v>COM-13699</v>
      </c>
      <c r="E411" s="121">
        <f>MouserListTable1218[[#This Row],[Tot '#]]-MouserListTable1218[[#This Row],['# Initial]]</f>
        <v>0</v>
      </c>
      <c r="F411" s="121">
        <f>MouserListTable1218[[#This Row],['#/Unit]]*FilterSpecs!$B$3+MouserListTable1218[[#This Row],[Extra Initial]]</f>
        <v>0</v>
      </c>
      <c r="G411" s="103" t="s">
        <v>408</v>
      </c>
      <c r="H411" s="103" t="s">
        <v>409</v>
      </c>
      <c r="I411" s="106" t="s">
        <v>410</v>
      </c>
      <c r="J411" s="103">
        <v>1</v>
      </c>
      <c r="K411" s="157">
        <v>0.95</v>
      </c>
      <c r="L411" s="106" t="s">
        <v>1910</v>
      </c>
      <c r="M411" s="103"/>
      <c r="N411" s="157">
        <f>MouserListTable1218[[#This Row],['# Initial]]*MouserListTable1218[[#This Row],[Price (USD)]]</f>
        <v>0</v>
      </c>
      <c r="O411" s="106" t="s">
        <v>407</v>
      </c>
      <c r="P411" s="103">
        <f t="shared" si="10"/>
        <v>392</v>
      </c>
      <c r="Q411" s="103" t="s">
        <v>8</v>
      </c>
      <c r="R41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474-COM-13699</v>
      </c>
      <c r="S411" s="121">
        <v>0</v>
      </c>
      <c r="T411" s="121">
        <v>0</v>
      </c>
      <c r="U411" s="121">
        <v>0</v>
      </c>
      <c r="V411" s="121">
        <f>MouserListTable1218[[#This Row],['#/Unit]]*FilterSpecs!$C$3+MouserListTable1218[[#This Row],[Extra]]</f>
        <v>0</v>
      </c>
      <c r="W411" s="121">
        <f>IF(MouserListTable1218[[#This Row],[Tag]]=FilterSpecs!$F$7,MouserListTable1218[[#This Row],[Price (USD)]],0)</f>
        <v>0</v>
      </c>
      <c r="X411" s="121">
        <f>MouserListTable1218[[#This Row],[Tot '#]]*MouserListTable1218[[#This Row],[Price (USD)]]</f>
        <v>0</v>
      </c>
    </row>
    <row r="412" spans="1:24" s="146" customFormat="1" x14ac:dyDescent="0.3">
      <c r="A412" s="126" t="s">
        <v>897</v>
      </c>
      <c r="B412" s="146" t="s">
        <v>1617</v>
      </c>
      <c r="C412" s="146" t="s">
        <v>8</v>
      </c>
      <c r="D412" s="106" t="str">
        <f>IF(MouserListTable1218[[#This Row],[Vendor]]=FilterSpecs!$A$8,MouserListTable1218[[#This Row],[Mouser SKU]], MouserListTable1218[[#This Row],[Supplier SKU]])</f>
        <v>BOB-11733</v>
      </c>
      <c r="E412" s="121">
        <f>MouserListTable1218[[#This Row],[Tot '#]]-MouserListTable1218[[#This Row],['# Initial]]</f>
        <v>0</v>
      </c>
      <c r="F412" s="121">
        <f>MouserListTable1218[[#This Row],['#/Unit]]*FilterSpecs!$B$3+MouserListTable1218[[#This Row],[Extra Initial]]</f>
        <v>0</v>
      </c>
      <c r="G412" s="103" t="s">
        <v>412</v>
      </c>
      <c r="H412" s="103" t="s">
        <v>413</v>
      </c>
      <c r="I412" s="106" t="s">
        <v>221</v>
      </c>
      <c r="J412" s="103">
        <v>1</v>
      </c>
      <c r="K412" s="157">
        <v>3.95</v>
      </c>
      <c r="L412" s="106" t="s">
        <v>2490</v>
      </c>
      <c r="M412" s="103"/>
      <c r="N412" s="157">
        <f>MouserListTable1218[[#This Row],['# Initial]]*MouserListTable1218[[#This Row],[Price (USD)]]</f>
        <v>0</v>
      </c>
      <c r="O412" s="106" t="s">
        <v>411</v>
      </c>
      <c r="P412" s="103">
        <f t="shared" si="10"/>
        <v>393</v>
      </c>
      <c r="Q412" s="103" t="s">
        <v>8</v>
      </c>
      <c r="R41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474-BOB-11733</v>
      </c>
      <c r="S412" s="121">
        <v>0</v>
      </c>
      <c r="T412" s="121">
        <v>0</v>
      </c>
      <c r="U412" s="121">
        <v>0</v>
      </c>
      <c r="V412" s="121">
        <f>MouserListTable1218[[#This Row],['#/Unit]]*FilterSpecs!$C$3+MouserListTable1218[[#This Row],[Extra]]</f>
        <v>0</v>
      </c>
      <c r="W412" s="121">
        <f>IF(MouserListTable1218[[#This Row],[Tag]]=FilterSpecs!$F$7,MouserListTable1218[[#This Row],[Price (USD)]],0)</f>
        <v>0</v>
      </c>
      <c r="X412" s="121">
        <f>MouserListTable1218[[#This Row],[Tot '#]]*MouserListTable1218[[#This Row],[Price (USD)]]</f>
        <v>0</v>
      </c>
    </row>
    <row r="413" spans="1:24" s="146" customFormat="1" x14ac:dyDescent="0.3">
      <c r="A413" s="103" t="s">
        <v>897</v>
      </c>
      <c r="B413" s="106" t="s">
        <v>1617</v>
      </c>
      <c r="C413" s="106" t="s">
        <v>8</v>
      </c>
      <c r="D413" s="106" t="str">
        <f>IF(MouserListTable1218[[#This Row],[Vendor]]=FilterSpecs!$A$8,MouserListTable1218[[#This Row],[Mouser SKU]], MouserListTable1218[[#This Row],[Supplier SKU]])</f>
        <v>COM-08034</v>
      </c>
      <c r="E413" s="121">
        <f>MouserListTable1218[[#This Row],[Tot '#]]-MouserListTable1218[[#This Row],['# Initial]]</f>
        <v>0</v>
      </c>
      <c r="F413" s="121">
        <f>MouserListTable1218[[#This Row],['#/Unit]]*FilterSpecs!$B$3+MouserListTable1218[[#This Row],[Extra Initial]]</f>
        <v>5</v>
      </c>
      <c r="G413" s="103" t="s">
        <v>434</v>
      </c>
      <c r="H413" s="103" t="s">
        <v>435</v>
      </c>
      <c r="I413" s="106" t="s">
        <v>436</v>
      </c>
      <c r="J413" s="103">
        <v>1</v>
      </c>
      <c r="K413" s="157">
        <v>1.5</v>
      </c>
      <c r="L413" s="106" t="s">
        <v>1911</v>
      </c>
      <c r="M413" s="103"/>
      <c r="N413" s="157">
        <f>MouserListTable1218[[#This Row],['# Initial]]*MouserListTable1218[[#This Row],[Price (USD)]]</f>
        <v>7.5</v>
      </c>
      <c r="O413" s="106" t="s">
        <v>433</v>
      </c>
      <c r="P413" s="103">
        <f t="shared" si="10"/>
        <v>394</v>
      </c>
      <c r="Q413" s="103" t="s">
        <v>8</v>
      </c>
      <c r="R41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474-COM-08034</v>
      </c>
      <c r="S413" s="121">
        <v>1</v>
      </c>
      <c r="T413" s="121">
        <v>0</v>
      </c>
      <c r="U413" s="121">
        <v>0</v>
      </c>
      <c r="V413" s="121">
        <f>MouserListTable1218[[#This Row],['#/Unit]]*FilterSpecs!$C$3+MouserListTable1218[[#This Row],[Extra]]</f>
        <v>5</v>
      </c>
      <c r="W413" s="121">
        <f>IF(MouserListTable1218[[#This Row],[Tag]]=FilterSpecs!$F$7,MouserListTable1218[[#This Row],[Price (USD)]],0)</f>
        <v>1.5</v>
      </c>
      <c r="X413" s="121">
        <f>MouserListTable1218[[#This Row],[Tot '#]]*MouserListTable1218[[#This Row],[Price (USD)]]</f>
        <v>7.5</v>
      </c>
    </row>
    <row r="414" spans="1:24" s="146" customFormat="1" x14ac:dyDescent="0.3">
      <c r="A414" s="126" t="s">
        <v>897</v>
      </c>
      <c r="B414" s="126" t="s">
        <v>1893</v>
      </c>
      <c r="C414" s="126" t="s">
        <v>8</v>
      </c>
      <c r="D414" s="106" t="str">
        <f>IF(MouserListTable1218[[#This Row],[Vendor]]=FilterSpecs!$A$8,MouserListTable1218[[#This Row],[Mouser SKU]], MouserListTable1218[[#This Row],[Supplier SKU]])</f>
        <v>PRT-13875</v>
      </c>
      <c r="E414" s="121">
        <f>MouserListTable1218[[#This Row],[Tot '#]]-MouserListTable1218[[#This Row],['# Initial]]</f>
        <v>0</v>
      </c>
      <c r="F414" s="121">
        <f>MouserListTable1218[[#This Row],['#/Unit]]*FilterSpecs!$B$3+MouserListTable1218[[#This Row],[Extra Initial]]</f>
        <v>0</v>
      </c>
      <c r="G414" s="103" t="s">
        <v>776</v>
      </c>
      <c r="H414" s="103" t="s">
        <v>777</v>
      </c>
      <c r="I414" s="103" t="s">
        <v>778</v>
      </c>
      <c r="J414" s="103">
        <v>1</v>
      </c>
      <c r="K414" s="157">
        <v>0.5</v>
      </c>
      <c r="L414" s="103" t="s">
        <v>1910</v>
      </c>
      <c r="M414" s="103"/>
      <c r="N414" s="157">
        <f>MouserListTable1218[[#This Row],['# Initial]]*MouserListTable1218[[#This Row],[Price (USD)]]</f>
        <v>0</v>
      </c>
      <c r="O414" s="106" t="s">
        <v>775</v>
      </c>
      <c r="P414" s="103">
        <f t="shared" si="10"/>
        <v>395</v>
      </c>
      <c r="Q414" s="103" t="s">
        <v>8</v>
      </c>
      <c r="R41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474-PRT-13875</v>
      </c>
      <c r="S414" s="121">
        <v>0</v>
      </c>
      <c r="T414" s="121">
        <v>0</v>
      </c>
      <c r="U414" s="121">
        <v>0</v>
      </c>
      <c r="V414" s="121">
        <f>MouserListTable1218[[#This Row],['#/Unit]]*FilterSpecs!$C$3+MouserListTable1218[[#This Row],[Extra]]</f>
        <v>0</v>
      </c>
      <c r="W414" s="121">
        <f>IF(MouserListTable1218[[#This Row],[Tag]]=FilterSpecs!$F$7,MouserListTable1218[[#This Row],[Price (USD)]],0)</f>
        <v>0</v>
      </c>
      <c r="X414" s="121">
        <f>MouserListTable1218[[#This Row],[Tot '#]]*MouserListTable1218[[#This Row],[Price (USD)]]</f>
        <v>0</v>
      </c>
    </row>
    <row r="415" spans="1:24" s="146" customFormat="1" x14ac:dyDescent="0.3">
      <c r="A415" s="103" t="s">
        <v>897</v>
      </c>
      <c r="B415" s="103" t="s">
        <v>1893</v>
      </c>
      <c r="C415" s="103" t="s">
        <v>8</v>
      </c>
      <c r="D415" s="106" t="str">
        <f>IF(MouserListTable1218[[#This Row],[Vendor]]=FilterSpecs!$A$8,MouserListTable1218[[#This Row],[Mouser SKU]], MouserListTable1218[[#This Row],[Supplier SKU]])</f>
        <v>PRT-12790</v>
      </c>
      <c r="E415" s="121">
        <f>MouserListTable1218[[#This Row],[Tot '#]]-MouserListTable1218[[#This Row],['# Initial]]</f>
        <v>1</v>
      </c>
      <c r="F415" s="121">
        <f>MouserListTable1218[[#This Row],['#/Unit]]*FilterSpecs!$B$3+MouserListTable1218[[#This Row],[Extra Initial]]</f>
        <v>0</v>
      </c>
      <c r="G415" s="103" t="s">
        <v>1776</v>
      </c>
      <c r="H415" s="103" t="s">
        <v>1777</v>
      </c>
      <c r="I415" s="103" t="s">
        <v>1778</v>
      </c>
      <c r="J415" s="103">
        <v>1</v>
      </c>
      <c r="K415" s="157">
        <v>2.95</v>
      </c>
      <c r="L415" s="103" t="s">
        <v>1910</v>
      </c>
      <c r="M415" s="103"/>
      <c r="N415" s="157">
        <f>MouserListTable1218[[#This Row],['# Initial]]*MouserListTable1218[[#This Row],[Price (USD)]]</f>
        <v>0</v>
      </c>
      <c r="O415" s="106" t="s">
        <v>1775</v>
      </c>
      <c r="P415" s="103">
        <f t="shared" si="10"/>
        <v>396</v>
      </c>
      <c r="Q415" s="103" t="s">
        <v>8</v>
      </c>
      <c r="R41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474-PRT-12790</v>
      </c>
      <c r="S415" s="121">
        <v>0</v>
      </c>
      <c r="T415" s="121">
        <v>1</v>
      </c>
      <c r="U415" s="121">
        <v>0</v>
      </c>
      <c r="V415" s="121">
        <f>MouserListTable1218[[#This Row],['#/Unit]]*FilterSpecs!$C$3+MouserListTable1218[[#This Row],[Extra]]</f>
        <v>1</v>
      </c>
      <c r="W415" s="121">
        <f>IF(MouserListTable1218[[#This Row],[Tag]]=FilterSpecs!$F$7,MouserListTable1218[[#This Row],[Price (USD)]],0)</f>
        <v>0</v>
      </c>
      <c r="X415" s="121">
        <f>MouserListTable1218[[#This Row],[Tot '#]]*MouserListTable1218[[#This Row],[Price (USD)]]</f>
        <v>2.95</v>
      </c>
    </row>
    <row r="416" spans="1:24" s="146" customFormat="1" x14ac:dyDescent="0.3">
      <c r="A416" s="126" t="s">
        <v>897</v>
      </c>
      <c r="B416" s="126" t="s">
        <v>1893</v>
      </c>
      <c r="C416" s="126" t="s">
        <v>8</v>
      </c>
      <c r="D416" s="106" t="str">
        <f>IF(MouserListTable1218[[#This Row],[Vendor]]=FilterSpecs!$A$8,MouserListTable1218[[#This Row],[Mouser SKU]], MouserListTable1218[[#This Row],[Supplier SKU]])</f>
        <v>PRT-10007</v>
      </c>
      <c r="E416" s="121">
        <f>MouserListTable1218[[#This Row],[Tot '#]]-MouserListTable1218[[#This Row],['# Initial]]</f>
        <v>0</v>
      </c>
      <c r="F416" s="121">
        <f>MouserListTable1218[[#This Row],['#/Unit]]*FilterSpecs!$B$3+MouserListTable1218[[#This Row],[Extra Initial]]</f>
        <v>0</v>
      </c>
      <c r="G416" s="103" t="s">
        <v>524</v>
      </c>
      <c r="H416" s="103" t="s">
        <v>525</v>
      </c>
      <c r="I416" s="103" t="s">
        <v>526</v>
      </c>
      <c r="J416" s="103">
        <v>1</v>
      </c>
      <c r="K416" s="157">
        <v>1.5</v>
      </c>
      <c r="L416" s="103" t="s">
        <v>1910</v>
      </c>
      <c r="M416" s="103"/>
      <c r="N416" s="157">
        <f>MouserListTable1218[[#This Row],['# Initial]]*MouserListTable1218[[#This Row],[Price (USD)]]</f>
        <v>0</v>
      </c>
      <c r="O416" s="106" t="s">
        <v>523</v>
      </c>
      <c r="P416" s="103">
        <f t="shared" si="10"/>
        <v>397</v>
      </c>
      <c r="Q416" s="103" t="s">
        <v>8</v>
      </c>
      <c r="R41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474-PRT-10007</v>
      </c>
      <c r="S416" s="121">
        <v>0</v>
      </c>
      <c r="T416" s="121">
        <v>0</v>
      </c>
      <c r="U416" s="121">
        <v>0</v>
      </c>
      <c r="V416" s="121">
        <f>MouserListTable1218[[#This Row],['#/Unit]]*FilterSpecs!$C$3+MouserListTable1218[[#This Row],[Extra]]</f>
        <v>0</v>
      </c>
      <c r="W416" s="121">
        <f>IF(MouserListTable1218[[#This Row],[Tag]]=FilterSpecs!$F$7,MouserListTable1218[[#This Row],[Price (USD)]],0)</f>
        <v>0</v>
      </c>
      <c r="X416" s="121">
        <f>MouserListTable1218[[#This Row],[Tot '#]]*MouserListTable1218[[#This Row],[Price (USD)]]</f>
        <v>0</v>
      </c>
    </row>
    <row r="417" spans="1:24" s="146" customFormat="1" x14ac:dyDescent="0.3">
      <c r="A417" s="126" t="s">
        <v>897</v>
      </c>
      <c r="B417" s="126" t="s">
        <v>1893</v>
      </c>
      <c r="C417" s="126" t="s">
        <v>8</v>
      </c>
      <c r="D417" s="106" t="str">
        <f>IF(MouserListTable1218[[#This Row],[Vendor]]=FilterSpecs!$A$8,MouserListTable1218[[#This Row],[Mouser SKU]], MouserListTable1218[[#This Row],[Supplier SKU]])</f>
        <v>PRT-11376</v>
      </c>
      <c r="E417" s="121">
        <f>MouserListTable1218[[#This Row],[Tot '#]]-MouserListTable1218[[#This Row],['# Initial]]</f>
        <v>0</v>
      </c>
      <c r="F417" s="121">
        <f>MouserListTable1218[[#This Row],['#/Unit]]*FilterSpecs!$B$3+MouserListTable1218[[#This Row],[Extra Initial]]</f>
        <v>0</v>
      </c>
      <c r="G417" s="103" t="s">
        <v>528</v>
      </c>
      <c r="H417" s="103" t="s">
        <v>529</v>
      </c>
      <c r="I417" s="103" t="s">
        <v>530</v>
      </c>
      <c r="J417" s="103">
        <v>1</v>
      </c>
      <c r="K417" s="157">
        <v>0.5</v>
      </c>
      <c r="L417" s="103" t="s">
        <v>1910</v>
      </c>
      <c r="M417" s="103"/>
      <c r="N417" s="157">
        <f>MouserListTable1218[[#This Row],['# Initial]]*MouserListTable1218[[#This Row],[Price (USD)]]</f>
        <v>0</v>
      </c>
      <c r="O417" s="106" t="s">
        <v>527</v>
      </c>
      <c r="P417" s="103">
        <f t="shared" si="10"/>
        <v>398</v>
      </c>
      <c r="Q417" s="103" t="s">
        <v>8</v>
      </c>
      <c r="R41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474-PRT-11376</v>
      </c>
      <c r="S417" s="121">
        <v>0</v>
      </c>
      <c r="T417" s="121">
        <v>0</v>
      </c>
      <c r="U417" s="121">
        <v>0</v>
      </c>
      <c r="V417" s="121">
        <f>MouserListTable1218[[#This Row],['#/Unit]]*FilterSpecs!$C$3+MouserListTable1218[[#This Row],[Extra]]</f>
        <v>0</v>
      </c>
      <c r="W417" s="121">
        <f>IF(MouserListTable1218[[#This Row],[Tag]]=FilterSpecs!$F$7,MouserListTable1218[[#This Row],[Price (USD)]],0)</f>
        <v>0</v>
      </c>
      <c r="X417" s="121">
        <f>MouserListTable1218[[#This Row],[Tot '#]]*MouserListTable1218[[#This Row],[Price (USD)]]</f>
        <v>0</v>
      </c>
    </row>
    <row r="418" spans="1:24" s="146" customFormat="1" x14ac:dyDescent="0.3">
      <c r="A418" s="126" t="s">
        <v>897</v>
      </c>
      <c r="B418" s="126" t="s">
        <v>1893</v>
      </c>
      <c r="C418" s="126" t="s">
        <v>8</v>
      </c>
      <c r="D418" s="106" t="str">
        <f>IF(MouserListTable1218[[#This Row],[Vendor]]=FilterSpecs!$A$8,MouserListTable1218[[#This Row],[Mouser SKU]], MouserListTable1218[[#This Row],[Supplier SKU]])</f>
        <v>PRT-14311</v>
      </c>
      <c r="E418" s="121">
        <f>MouserListTable1218[[#This Row],[Tot '#]]-MouserListTable1218[[#This Row],['# Initial]]</f>
        <v>0</v>
      </c>
      <c r="F418" s="121">
        <f>MouserListTable1218[[#This Row],['#/Unit]]*FilterSpecs!$B$3+MouserListTable1218[[#This Row],[Extra Initial]]</f>
        <v>0</v>
      </c>
      <c r="G418" s="103" t="s">
        <v>580</v>
      </c>
      <c r="H418" s="103" t="s">
        <v>581</v>
      </c>
      <c r="I418" s="103" t="s">
        <v>582</v>
      </c>
      <c r="J418" s="103">
        <v>1</v>
      </c>
      <c r="K418" s="157">
        <v>1.5</v>
      </c>
      <c r="L418" s="103" t="s">
        <v>1910</v>
      </c>
      <c r="M418" s="103"/>
      <c r="N418" s="157">
        <f>MouserListTable1218[[#This Row],['# Initial]]*MouserListTable1218[[#This Row],[Price (USD)]]</f>
        <v>0</v>
      </c>
      <c r="O418" s="106" t="s">
        <v>579</v>
      </c>
      <c r="P418" s="103">
        <f t="shared" si="10"/>
        <v>399</v>
      </c>
      <c r="Q418" s="103" t="s">
        <v>8</v>
      </c>
      <c r="R41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474-PRT-14311</v>
      </c>
      <c r="S418" s="121">
        <v>0</v>
      </c>
      <c r="T418" s="121">
        <v>0</v>
      </c>
      <c r="U418" s="121">
        <v>0</v>
      </c>
      <c r="V418" s="121">
        <f>MouserListTable1218[[#This Row],['#/Unit]]*FilterSpecs!$C$3+MouserListTable1218[[#This Row],[Extra]]</f>
        <v>0</v>
      </c>
      <c r="W418" s="121">
        <f>IF(MouserListTable1218[[#This Row],[Tag]]=FilterSpecs!$F$7,MouserListTable1218[[#This Row],[Price (USD)]],0)</f>
        <v>0</v>
      </c>
      <c r="X418" s="121">
        <f>MouserListTable1218[[#This Row],[Tot '#]]*MouserListTable1218[[#This Row],[Price (USD)]]</f>
        <v>0</v>
      </c>
    </row>
    <row r="419" spans="1:24" s="146" customFormat="1" x14ac:dyDescent="0.3">
      <c r="A419" s="126" t="s">
        <v>897</v>
      </c>
      <c r="B419" s="126" t="s">
        <v>1893</v>
      </c>
      <c r="C419" s="126" t="s">
        <v>8</v>
      </c>
      <c r="D419" s="106" t="str">
        <f>IF(MouserListTable1218[[#This Row],[Vendor]]=FilterSpecs!$A$8,MouserListTable1218[[#This Row],[Mouser SKU]], MouserListTable1218[[#This Row],[Supplier SKU]])</f>
        <v>PRT-14322</v>
      </c>
      <c r="E419" s="121">
        <f>MouserListTable1218[[#This Row],[Tot '#]]-MouserListTable1218[[#This Row],['# Initial]]</f>
        <v>0</v>
      </c>
      <c r="F419" s="121">
        <f>MouserListTable1218[[#This Row],['#/Unit]]*FilterSpecs!$B$3+MouserListTable1218[[#This Row],[Extra Initial]]</f>
        <v>0</v>
      </c>
      <c r="G419" s="103" t="s">
        <v>482</v>
      </c>
      <c r="H419" s="103" t="s">
        <v>483</v>
      </c>
      <c r="I419" s="103" t="s">
        <v>484</v>
      </c>
      <c r="J419" s="103"/>
      <c r="K419" s="157">
        <v>0.5</v>
      </c>
      <c r="L419" s="103" t="s">
        <v>1910</v>
      </c>
      <c r="M419" s="103"/>
      <c r="N419" s="157">
        <f>MouserListTable1218[[#This Row],['# Initial]]*MouserListTable1218[[#This Row],[Price (USD)]]</f>
        <v>0</v>
      </c>
      <c r="O419" s="106" t="s">
        <v>481</v>
      </c>
      <c r="P419" s="103">
        <f t="shared" si="10"/>
        <v>400</v>
      </c>
      <c r="Q419" s="103" t="s">
        <v>8</v>
      </c>
      <c r="R41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474-PRT-14322</v>
      </c>
      <c r="S419" s="121">
        <v>0</v>
      </c>
      <c r="T419" s="121">
        <v>0</v>
      </c>
      <c r="U419" s="121">
        <v>0</v>
      </c>
      <c r="V419" s="121">
        <f>MouserListTable1218[[#This Row],['#/Unit]]*FilterSpecs!$C$3+MouserListTable1218[[#This Row],[Extra]]</f>
        <v>0</v>
      </c>
      <c r="W419" s="121">
        <f>IF(MouserListTable1218[[#This Row],[Tag]]=FilterSpecs!$F$7,MouserListTable1218[[#This Row],[Price (USD)]],0)</f>
        <v>0</v>
      </c>
      <c r="X419" s="121">
        <f>MouserListTable1218[[#This Row],[Tot '#]]*MouserListTable1218[[#This Row],[Price (USD)]]</f>
        <v>0</v>
      </c>
    </row>
    <row r="420" spans="1:24" s="146" customFormat="1" x14ac:dyDescent="0.3">
      <c r="A420" s="126" t="s">
        <v>897</v>
      </c>
      <c r="B420" s="126" t="s">
        <v>1893</v>
      </c>
      <c r="C420" s="126" t="s">
        <v>8</v>
      </c>
      <c r="D420" s="106" t="str">
        <f>IF(MouserListTable1218[[#This Row],[Vendor]]=FilterSpecs!$A$8,MouserListTable1218[[#This Row],[Mouser SKU]], MouserListTable1218[[#This Row],[Supplier SKU]])</f>
        <v>PRT-13925</v>
      </c>
      <c r="E420" s="121">
        <f>MouserListTable1218[[#This Row],[Tot '#]]-MouserListTable1218[[#This Row],['# Initial]]</f>
        <v>0</v>
      </c>
      <c r="F420" s="121">
        <f>MouserListTable1218[[#This Row],['#/Unit]]*FilterSpecs!$B$3+MouserListTable1218[[#This Row],[Extra Initial]]</f>
        <v>0</v>
      </c>
      <c r="G420" s="103" t="s">
        <v>478</v>
      </c>
      <c r="H420" s="103" t="s">
        <v>479</v>
      </c>
      <c r="I420" s="103" t="s">
        <v>480</v>
      </c>
      <c r="J420" s="103">
        <v>1</v>
      </c>
      <c r="K420" s="157">
        <v>1.5</v>
      </c>
      <c r="L420" s="103" t="s">
        <v>1910</v>
      </c>
      <c r="M420" s="103"/>
      <c r="N420" s="157">
        <f>MouserListTable1218[[#This Row],['# Initial]]*MouserListTable1218[[#This Row],[Price (USD)]]</f>
        <v>0</v>
      </c>
      <c r="O420" s="106" t="s">
        <v>477</v>
      </c>
      <c r="P420" s="103">
        <f t="shared" si="10"/>
        <v>401</v>
      </c>
      <c r="Q420" s="103" t="s">
        <v>8</v>
      </c>
      <c r="R42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474-PRT-13925</v>
      </c>
      <c r="S420" s="121">
        <v>0</v>
      </c>
      <c r="T420" s="121">
        <v>0</v>
      </c>
      <c r="U420" s="121">
        <v>0</v>
      </c>
      <c r="V420" s="121">
        <f>MouserListTable1218[[#This Row],['#/Unit]]*FilterSpecs!$C$3+MouserListTable1218[[#This Row],[Extra]]</f>
        <v>0</v>
      </c>
      <c r="W420" s="121">
        <f>IF(MouserListTable1218[[#This Row],[Tag]]=FilterSpecs!$F$7,MouserListTable1218[[#This Row],[Price (USD)]],0)</f>
        <v>0</v>
      </c>
      <c r="X420" s="121">
        <f>MouserListTable1218[[#This Row],[Tot '#]]*MouserListTable1218[[#This Row],[Price (USD)]]</f>
        <v>0</v>
      </c>
    </row>
    <row r="421" spans="1:24" s="146" customFormat="1" x14ac:dyDescent="0.3">
      <c r="A421" s="103" t="s">
        <v>897</v>
      </c>
      <c r="B421" s="103" t="s">
        <v>1893</v>
      </c>
      <c r="C421" s="103" t="s">
        <v>1898</v>
      </c>
      <c r="D421" s="106" t="str">
        <f>IF(MouserListTable1218[[#This Row],[Vendor]]=FilterSpecs!$A$8,MouserListTable1218[[#This Row],[Mouser SKU]], MouserListTable1218[[#This Row],[Supplier SKU]])</f>
        <v>85</v>
      </c>
      <c r="E421" s="121">
        <f>MouserListTable1218[[#This Row],[Tot '#]]-MouserListTable1218[[#This Row],['# Initial]]</f>
        <v>0</v>
      </c>
      <c r="F421" s="121">
        <f>MouserListTable1218[[#This Row],['#/Unit]]*FilterSpecs!$B$3+MouserListTable1218[[#This Row],[Extra Initial]]</f>
        <v>5</v>
      </c>
      <c r="G421" s="103"/>
      <c r="H421" s="103"/>
      <c r="I421" s="103" t="s">
        <v>2194</v>
      </c>
      <c r="K421" s="157">
        <v>1.95</v>
      </c>
      <c r="L421" s="103" t="s">
        <v>1911</v>
      </c>
      <c r="M421" s="106"/>
      <c r="N421" s="157">
        <f>MouserListTable1218[[#This Row],['# Initial]]*MouserListTable1218[[#This Row],[Price (USD)]]</f>
        <v>9.75</v>
      </c>
      <c r="O421" s="106" t="s">
        <v>2193</v>
      </c>
      <c r="P421" s="103">
        <f t="shared" si="10"/>
        <v>402</v>
      </c>
      <c r="Q421" s="103" t="s">
        <v>1898</v>
      </c>
      <c r="R42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485-85</v>
      </c>
      <c r="S421" s="121">
        <v>1</v>
      </c>
      <c r="T421" s="121">
        <v>0</v>
      </c>
      <c r="U421" s="121">
        <v>0</v>
      </c>
      <c r="V421" s="121">
        <f>MouserListTable1218[[#This Row],['#/Unit]]*FilterSpecs!$C$3+MouserListTable1218[[#This Row],[Extra]]</f>
        <v>5</v>
      </c>
      <c r="W421" s="121">
        <f>IF(MouserListTable1218[[#This Row],[Tag]]=FilterSpecs!$F$7,MouserListTable1218[[#This Row],[Price (USD)]],0)</f>
        <v>1.95</v>
      </c>
      <c r="X421" s="121">
        <f>MouserListTable1218[[#This Row],[Tot '#]]*MouserListTable1218[[#This Row],[Price (USD)]]</f>
        <v>9.75</v>
      </c>
    </row>
    <row r="422" spans="1:24" s="146" customFormat="1" x14ac:dyDescent="0.3">
      <c r="A422" s="103" t="s">
        <v>897</v>
      </c>
      <c r="B422" s="103" t="s">
        <v>1893</v>
      </c>
      <c r="C422" s="103" t="s">
        <v>1898</v>
      </c>
      <c r="D422" s="106" t="str">
        <f>IF(MouserListTable1218[[#This Row],[Vendor]]=FilterSpecs!$A$8,MouserListTable1218[[#This Row],[Mouser SKU]], MouserListTable1218[[#This Row],[Supplier SKU]])</f>
        <v>3366</v>
      </c>
      <c r="E422" s="121">
        <f>MouserListTable1218[[#This Row],[Tot '#]]-MouserListTable1218[[#This Row],['# Initial]]</f>
        <v>0</v>
      </c>
      <c r="F422" s="121">
        <f>MouserListTable1218[[#This Row],['#/Unit]]*FilterSpecs!$B$3+MouserListTable1218[[#This Row],[Extra Initial]]</f>
        <v>1</v>
      </c>
      <c r="G422" s="103"/>
      <c r="H422" s="103"/>
      <c r="I422" s="103" t="s">
        <v>2176</v>
      </c>
      <c r="K422" s="157">
        <v>2.95</v>
      </c>
      <c r="L422" s="103" t="s">
        <v>1910</v>
      </c>
      <c r="M422" s="106"/>
      <c r="N422" s="157">
        <f>MouserListTable1218[[#This Row],['# Initial]]*MouserListTable1218[[#This Row],[Price (USD)]]</f>
        <v>2.95</v>
      </c>
      <c r="O422" s="106" t="s">
        <v>2175</v>
      </c>
      <c r="P422" s="103">
        <f t="shared" si="10"/>
        <v>403</v>
      </c>
      <c r="Q422" s="103" t="s">
        <v>1898</v>
      </c>
      <c r="R42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485-3366</v>
      </c>
      <c r="S422" s="121">
        <v>0</v>
      </c>
      <c r="T422" s="121">
        <v>1</v>
      </c>
      <c r="U422" s="121">
        <v>1</v>
      </c>
      <c r="V422" s="121">
        <f>MouserListTable1218[[#This Row],['#/Unit]]*FilterSpecs!$C$3+MouserListTable1218[[#This Row],[Extra]]</f>
        <v>1</v>
      </c>
      <c r="W422" s="121">
        <f>IF(MouserListTable1218[[#This Row],[Tag]]=FilterSpecs!$F$7,MouserListTable1218[[#This Row],[Price (USD)]],0)</f>
        <v>0</v>
      </c>
      <c r="X422" s="121">
        <f>MouserListTable1218[[#This Row],[Tot '#]]*MouserListTable1218[[#This Row],[Price (USD)]]</f>
        <v>2.95</v>
      </c>
    </row>
    <row r="423" spans="1:24" s="146" customFormat="1" x14ac:dyDescent="0.3">
      <c r="A423" s="126" t="s">
        <v>897</v>
      </c>
      <c r="B423" s="126" t="s">
        <v>1891</v>
      </c>
      <c r="C423" s="126" t="s">
        <v>8</v>
      </c>
      <c r="D423" s="106" t="str">
        <f>IF(MouserListTable1218[[#This Row],[Vendor]]=FilterSpecs!$A$8,MouserListTable1218[[#This Row],[Mouser SKU]], MouserListTable1218[[#This Row],[Supplier SKU]])</f>
        <v>PRT-12807</v>
      </c>
      <c r="E423" s="121">
        <f>MouserListTable1218[[#This Row],[Tot '#]]-MouserListTable1218[[#This Row],['# Initial]]</f>
        <v>0</v>
      </c>
      <c r="F423" s="121">
        <f>MouserListTable1218[[#This Row],['#/Unit]]*FilterSpecs!$B$3+MouserListTable1218[[#This Row],[Extra Initial]]</f>
        <v>0</v>
      </c>
      <c r="G423" s="103" t="s">
        <v>772</v>
      </c>
      <c r="H423" s="103" t="s">
        <v>773</v>
      </c>
      <c r="I423" s="103" t="s">
        <v>774</v>
      </c>
      <c r="J423" s="103">
        <v>1</v>
      </c>
      <c r="K423" s="157">
        <v>0.5</v>
      </c>
      <c r="L423" s="103" t="s">
        <v>1910</v>
      </c>
      <c r="M423" s="103"/>
      <c r="N423" s="157">
        <f>MouserListTable1218[[#This Row],['# Initial]]*MouserListTable1218[[#This Row],[Price (USD)]]</f>
        <v>0</v>
      </c>
      <c r="O423" s="106" t="s">
        <v>771</v>
      </c>
      <c r="P423" s="103">
        <f t="shared" si="10"/>
        <v>404</v>
      </c>
      <c r="Q423" s="103" t="s">
        <v>8</v>
      </c>
      <c r="R42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474-PRT-12807</v>
      </c>
      <c r="S423" s="121">
        <v>0</v>
      </c>
      <c r="T423" s="121">
        <v>0</v>
      </c>
      <c r="U423" s="121">
        <v>0</v>
      </c>
      <c r="V423" s="121">
        <f>MouserListTable1218[[#This Row],['#/Unit]]*FilterSpecs!$C$3+MouserListTable1218[[#This Row],[Extra]]</f>
        <v>0</v>
      </c>
      <c r="W423" s="121">
        <f>IF(MouserListTable1218[[#This Row],[Tag]]=FilterSpecs!$F$7,MouserListTable1218[[#This Row],[Price (USD)]],0)</f>
        <v>0</v>
      </c>
      <c r="X423" s="121">
        <f>MouserListTable1218[[#This Row],[Tot '#]]*MouserListTable1218[[#This Row],[Price (USD)]]</f>
        <v>0</v>
      </c>
    </row>
    <row r="424" spans="1:24" s="146" customFormat="1" x14ac:dyDescent="0.3">
      <c r="A424" s="126" t="s">
        <v>897</v>
      </c>
      <c r="B424" s="126" t="s">
        <v>1891</v>
      </c>
      <c r="C424" s="126" t="s">
        <v>8</v>
      </c>
      <c r="D424" s="106" t="str">
        <f>IF(MouserListTable1218[[#This Row],[Vendor]]=FilterSpecs!$A$8,MouserListTable1218[[#This Row],[Mouser SKU]], MouserListTable1218[[#This Row],[Supplier SKU]])</f>
        <v>PRT-13156</v>
      </c>
      <c r="E424" s="121">
        <f>MouserListTable1218[[#This Row],[Tot '#]]-MouserListTable1218[[#This Row],['# Initial]]</f>
        <v>0</v>
      </c>
      <c r="F424" s="121">
        <f>MouserListTable1218[[#This Row],['#/Unit]]*FilterSpecs!$B$3+MouserListTable1218[[#This Row],[Extra Initial]]</f>
        <v>0</v>
      </c>
      <c r="G424" s="103" t="s">
        <v>516</v>
      </c>
      <c r="H424" s="103" t="s">
        <v>517</v>
      </c>
      <c r="I424" s="103" t="s">
        <v>518</v>
      </c>
      <c r="J424" s="103">
        <v>1</v>
      </c>
      <c r="K424" s="157">
        <v>0.95</v>
      </c>
      <c r="L424" s="103" t="s">
        <v>1910</v>
      </c>
      <c r="M424" s="103"/>
      <c r="N424" s="157">
        <f>MouserListTable1218[[#This Row],['# Initial]]*MouserListTable1218[[#This Row],[Price (USD)]]</f>
        <v>0</v>
      </c>
      <c r="O424" s="106" t="s">
        <v>515</v>
      </c>
      <c r="P424" s="103">
        <f t="shared" si="10"/>
        <v>405</v>
      </c>
      <c r="Q424" s="103" t="s">
        <v>8</v>
      </c>
      <c r="R42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474-PRT-13156</v>
      </c>
      <c r="S424" s="121">
        <v>0</v>
      </c>
      <c r="T424" s="121">
        <v>0</v>
      </c>
      <c r="U424" s="121">
        <v>0</v>
      </c>
      <c r="V424" s="121">
        <f>MouserListTable1218[[#This Row],['#/Unit]]*FilterSpecs!$C$3+MouserListTable1218[[#This Row],[Extra]]</f>
        <v>0</v>
      </c>
      <c r="W424" s="121">
        <f>IF(MouserListTable1218[[#This Row],[Tag]]=FilterSpecs!$F$7,MouserListTable1218[[#This Row],[Price (USD)]],0)</f>
        <v>0</v>
      </c>
      <c r="X424" s="121">
        <f>MouserListTable1218[[#This Row],[Tot '#]]*MouserListTable1218[[#This Row],[Price (USD)]]</f>
        <v>0</v>
      </c>
    </row>
    <row r="425" spans="1:24" s="146" customFormat="1" x14ac:dyDescent="0.3">
      <c r="A425" s="103" t="s">
        <v>897</v>
      </c>
      <c r="B425" s="103" t="s">
        <v>1891</v>
      </c>
      <c r="C425" s="103" t="s">
        <v>8</v>
      </c>
      <c r="D425" s="106" t="str">
        <f>IF(MouserListTable1218[[#This Row],[Vendor]]=FilterSpecs!$A$8,MouserListTable1218[[#This Row],[Mouser SKU]], MouserListTable1218[[#This Row],[Supplier SKU]])</f>
        <v>PRT-12791</v>
      </c>
      <c r="E425" s="121">
        <f>MouserListTable1218[[#This Row],[Tot '#]]-MouserListTable1218[[#This Row],['# Initial]]</f>
        <v>0</v>
      </c>
      <c r="F425" s="121">
        <f>MouserListTable1218[[#This Row],['#/Unit]]*FilterSpecs!$B$3+MouserListTable1218[[#This Row],[Extra Initial]]</f>
        <v>1</v>
      </c>
      <c r="G425" s="103" t="s">
        <v>1792</v>
      </c>
      <c r="H425" s="103" t="s">
        <v>1793</v>
      </c>
      <c r="I425" s="103" t="s">
        <v>1794</v>
      </c>
      <c r="J425" s="103">
        <v>1</v>
      </c>
      <c r="K425" s="157">
        <v>0.95</v>
      </c>
      <c r="L425" s="103" t="s">
        <v>1910</v>
      </c>
      <c r="M425" s="103"/>
      <c r="N425" s="157">
        <f>MouserListTable1218[[#This Row],['# Initial]]*MouserListTable1218[[#This Row],[Price (USD)]]</f>
        <v>0.95</v>
      </c>
      <c r="O425" s="106" t="s">
        <v>1791</v>
      </c>
      <c r="P425" s="103">
        <f t="shared" si="10"/>
        <v>406</v>
      </c>
      <c r="Q425" s="103" t="s">
        <v>8</v>
      </c>
      <c r="R42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474-PRT-12791</v>
      </c>
      <c r="S425" s="121">
        <v>0</v>
      </c>
      <c r="T425" s="121">
        <v>1</v>
      </c>
      <c r="U425" s="121">
        <v>1</v>
      </c>
      <c r="V425" s="121">
        <f>MouserListTable1218[[#This Row],['#/Unit]]*FilterSpecs!$C$3+MouserListTable1218[[#This Row],[Extra]]</f>
        <v>1</v>
      </c>
      <c r="W425" s="121">
        <f>IF(MouserListTable1218[[#This Row],[Tag]]=FilterSpecs!$F$7,MouserListTable1218[[#This Row],[Price (USD)]],0)</f>
        <v>0</v>
      </c>
      <c r="X425" s="121">
        <f>MouserListTable1218[[#This Row],[Tot '#]]*MouserListTable1218[[#This Row],[Price (USD)]]</f>
        <v>0.95</v>
      </c>
    </row>
    <row r="426" spans="1:24" s="146" customFormat="1" x14ac:dyDescent="0.3">
      <c r="A426" s="126" t="s">
        <v>897</v>
      </c>
      <c r="B426" s="126" t="s">
        <v>1891</v>
      </c>
      <c r="C426" s="126" t="s">
        <v>8</v>
      </c>
      <c r="D426" s="106" t="str">
        <f>IF(MouserListTable1218[[#This Row],[Vendor]]=FilterSpecs!$A$8,MouserListTable1218[[#This Row],[Mouser SKU]], MouserListTable1218[[#This Row],[Supplier SKU]])</f>
        <v>PRT-00116</v>
      </c>
      <c r="E426" s="121">
        <f>MouserListTable1218[[#This Row],[Tot '#]]-MouserListTable1218[[#This Row],['# Initial]]</f>
        <v>0</v>
      </c>
      <c r="F426" s="121">
        <f>MouserListTable1218[[#This Row],['#/Unit]]*FilterSpecs!$B$3+MouserListTable1218[[#This Row],[Extra Initial]]</f>
        <v>0</v>
      </c>
      <c r="G426" s="103" t="s">
        <v>756</v>
      </c>
      <c r="H426" s="103" t="s">
        <v>757</v>
      </c>
      <c r="I426" s="103" t="s">
        <v>758</v>
      </c>
      <c r="J426" s="103">
        <v>1</v>
      </c>
      <c r="K426" s="157">
        <v>1.5</v>
      </c>
      <c r="L426" s="103" t="s">
        <v>1910</v>
      </c>
      <c r="M426" s="103"/>
      <c r="N426" s="157">
        <f>MouserListTable1218[[#This Row],['# Initial]]*MouserListTable1218[[#This Row],[Price (USD)]]</f>
        <v>0</v>
      </c>
      <c r="O426" s="106" t="s">
        <v>755</v>
      </c>
      <c r="P426" s="103">
        <f t="shared" si="10"/>
        <v>407</v>
      </c>
      <c r="Q426" s="103" t="s">
        <v>8</v>
      </c>
      <c r="R42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474-PRT-00116</v>
      </c>
      <c r="S426" s="121">
        <v>0</v>
      </c>
      <c r="T426" s="121">
        <v>0</v>
      </c>
      <c r="U426" s="121">
        <v>0</v>
      </c>
      <c r="V426" s="121">
        <f>MouserListTable1218[[#This Row],['#/Unit]]*FilterSpecs!$C$3+MouserListTable1218[[#This Row],[Extra]]</f>
        <v>0</v>
      </c>
      <c r="W426" s="121">
        <f>IF(MouserListTable1218[[#This Row],[Tag]]=FilterSpecs!$F$7,MouserListTable1218[[#This Row],[Price (USD)]],0)</f>
        <v>0</v>
      </c>
      <c r="X426" s="121">
        <f>MouserListTable1218[[#This Row],[Tot '#]]*MouserListTable1218[[#This Row],[Price (USD)]]</f>
        <v>0</v>
      </c>
    </row>
    <row r="427" spans="1:24" s="146" customFormat="1" x14ac:dyDescent="0.3">
      <c r="A427" s="103" t="s">
        <v>897</v>
      </c>
      <c r="B427" s="103" t="s">
        <v>1891</v>
      </c>
      <c r="C427" s="103" t="s">
        <v>1898</v>
      </c>
      <c r="D427" s="106" t="str">
        <f>IF(MouserListTable1218[[#This Row],[Vendor]]=FilterSpecs!$A$8,MouserListTable1218[[#This Row],[Mouser SKU]], MouserListTable1218[[#This Row],[Supplier SKU]])</f>
        <v>392</v>
      </c>
      <c r="E427" s="121">
        <f>MouserListTable1218[[#This Row],[Tot '#]]-MouserListTable1218[[#This Row],['# Initial]]</f>
        <v>0</v>
      </c>
      <c r="F427" s="121">
        <f>MouserListTable1218[[#This Row],['#/Unit]]*FilterSpecs!$B$3+MouserListTable1218[[#This Row],[Extra Initial]]</f>
        <v>1</v>
      </c>
      <c r="G427" s="103"/>
      <c r="H427" s="103"/>
      <c r="I427" s="103" t="s">
        <v>2190</v>
      </c>
      <c r="K427" s="157">
        <v>4.95</v>
      </c>
      <c r="L427" s="103" t="s">
        <v>1910</v>
      </c>
      <c r="M427" s="106"/>
      <c r="N427" s="157">
        <f>MouserListTable1218[[#This Row],['# Initial]]*MouserListTable1218[[#This Row],[Price (USD)]]</f>
        <v>4.95</v>
      </c>
      <c r="O427" s="106" t="s">
        <v>2189</v>
      </c>
      <c r="P427" s="103">
        <f t="shared" si="10"/>
        <v>408</v>
      </c>
      <c r="Q427" s="103" t="s">
        <v>1898</v>
      </c>
      <c r="R42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485-392</v>
      </c>
      <c r="S427" s="121">
        <v>0</v>
      </c>
      <c r="T427" s="121">
        <v>1</v>
      </c>
      <c r="U427" s="121">
        <v>1</v>
      </c>
      <c r="V427" s="121">
        <f>MouserListTable1218[[#This Row],['#/Unit]]*FilterSpecs!$C$3+MouserListTable1218[[#This Row],[Extra]]</f>
        <v>1</v>
      </c>
      <c r="W427" s="121">
        <f>IF(MouserListTable1218[[#This Row],[Tag]]=FilterSpecs!$F$7,MouserListTable1218[[#This Row],[Price (USD)]],0)</f>
        <v>0</v>
      </c>
      <c r="X427" s="121">
        <f>MouserListTable1218[[#This Row],[Tot '#]]*MouserListTable1218[[#This Row],[Price (USD)]]</f>
        <v>4.95</v>
      </c>
    </row>
    <row r="428" spans="1:24" s="146" customFormat="1" x14ac:dyDescent="0.3">
      <c r="A428" s="103" t="s">
        <v>897</v>
      </c>
      <c r="B428" s="103" t="s">
        <v>1891</v>
      </c>
      <c r="C428" s="103" t="s">
        <v>1898</v>
      </c>
      <c r="D428" s="106" t="str">
        <f>IF(MouserListTable1218[[#This Row],[Vendor]]=FilterSpecs!$A$8,MouserListTable1218[[#This Row],[Mouser SKU]], MouserListTable1218[[#This Row],[Supplier SKU]])</f>
        <v>3009</v>
      </c>
      <c r="E428" s="121">
        <f>MouserListTable1218[[#This Row],[Tot '#]]-MouserListTable1218[[#This Row],['# Initial]]</f>
        <v>0</v>
      </c>
      <c r="F428" s="121">
        <f>MouserListTable1218[[#This Row],['#/Unit]]*FilterSpecs!$B$3+MouserListTable1218[[#This Row],[Extra Initial]]</f>
        <v>1</v>
      </c>
      <c r="G428" s="103"/>
      <c r="H428" s="103"/>
      <c r="I428" s="103" t="s">
        <v>2182</v>
      </c>
      <c r="K428" s="157">
        <v>4.95</v>
      </c>
      <c r="L428" s="103" t="s">
        <v>1910</v>
      </c>
      <c r="M428" s="106"/>
      <c r="N428" s="157">
        <f>MouserListTable1218[[#This Row],['# Initial]]*MouserListTable1218[[#This Row],[Price (USD)]]</f>
        <v>4.95</v>
      </c>
      <c r="O428" s="106" t="s">
        <v>2181</v>
      </c>
      <c r="P428" s="103">
        <f t="shared" si="10"/>
        <v>409</v>
      </c>
      <c r="Q428" s="103" t="s">
        <v>1898</v>
      </c>
      <c r="R42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485-3009</v>
      </c>
      <c r="S428" s="121">
        <v>0</v>
      </c>
      <c r="T428" s="121">
        <v>1</v>
      </c>
      <c r="U428" s="121">
        <v>1</v>
      </c>
      <c r="V428" s="121">
        <f>MouserListTable1218[[#This Row],['#/Unit]]*FilterSpecs!$C$3+MouserListTable1218[[#This Row],[Extra]]</f>
        <v>1</v>
      </c>
      <c r="W428" s="121">
        <f>IF(MouserListTable1218[[#This Row],[Tag]]=FilterSpecs!$F$7,MouserListTable1218[[#This Row],[Price (USD)]],0)</f>
        <v>0</v>
      </c>
      <c r="X428" s="121">
        <f>MouserListTable1218[[#This Row],[Tot '#]]*MouserListTable1218[[#This Row],[Price (USD)]]</f>
        <v>4.95</v>
      </c>
    </row>
    <row r="429" spans="1:24" s="146" customFormat="1" x14ac:dyDescent="0.3">
      <c r="A429" s="103" t="s">
        <v>897</v>
      </c>
      <c r="B429" s="103" t="s">
        <v>1891</v>
      </c>
      <c r="C429" s="103" t="s">
        <v>8</v>
      </c>
      <c r="D429" s="106" t="str">
        <f>IF(MouserListTable1218[[#This Row],[Vendor]]=FilterSpecs!$A$8,MouserListTable1218[[#This Row],[Mouser SKU]], MouserListTable1218[[#This Row],[Supplier SKU]])</f>
        <v>PRT-10158</v>
      </c>
      <c r="E429" s="121">
        <f>MouserListTable1218[[#This Row],[Tot '#]]-MouserListTable1218[[#This Row],['# Initial]]</f>
        <v>5</v>
      </c>
      <c r="F429" s="121">
        <f>MouserListTable1218[[#This Row],['#/Unit]]*FilterSpecs!$B$3+MouserListTable1218[[#This Row],[Extra Initial]]</f>
        <v>5</v>
      </c>
      <c r="G429" s="103" t="s">
        <v>490</v>
      </c>
      <c r="H429" s="103" t="s">
        <v>491</v>
      </c>
      <c r="I429" s="103" t="s">
        <v>492</v>
      </c>
      <c r="J429" s="103">
        <v>1</v>
      </c>
      <c r="K429" s="157">
        <v>2.95</v>
      </c>
      <c r="L429" s="103" t="s">
        <v>1911</v>
      </c>
      <c r="M429" s="103"/>
      <c r="N429" s="157">
        <f>MouserListTable1218[[#This Row],['# Initial]]*MouserListTable1218[[#This Row],[Price (USD)]]</f>
        <v>14.75</v>
      </c>
      <c r="O429" s="106" t="s">
        <v>489</v>
      </c>
      <c r="P429" s="103">
        <f t="shared" si="10"/>
        <v>410</v>
      </c>
      <c r="Q429" s="103" t="s">
        <v>8</v>
      </c>
      <c r="R42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474-PRT-10158</v>
      </c>
      <c r="S429" s="121">
        <v>1</v>
      </c>
      <c r="T429" s="121">
        <v>5</v>
      </c>
      <c r="U429" s="121">
        <v>0</v>
      </c>
      <c r="V429" s="121">
        <f>MouserListTable1218[[#This Row],['#/Unit]]*FilterSpecs!$C$3+MouserListTable1218[[#This Row],[Extra]]</f>
        <v>10</v>
      </c>
      <c r="W429" s="121">
        <f>IF(MouserListTable1218[[#This Row],[Tag]]=FilterSpecs!$F$7,MouserListTable1218[[#This Row],[Price (USD)]],0)</f>
        <v>2.95</v>
      </c>
      <c r="X429" s="121">
        <f>MouserListTable1218[[#This Row],[Tot '#]]*MouserListTable1218[[#This Row],[Price (USD)]]</f>
        <v>29.5</v>
      </c>
    </row>
    <row r="430" spans="1:24" s="146" customFormat="1" x14ac:dyDescent="0.3">
      <c r="A430" s="103" t="s">
        <v>897</v>
      </c>
      <c r="B430" s="103" t="s">
        <v>1891</v>
      </c>
      <c r="C430" s="103" t="s">
        <v>8</v>
      </c>
      <c r="D430" s="106" t="str">
        <f>IF(MouserListTable1218[[#This Row],[Vendor]]=FilterSpecs!$A$8,MouserListTable1218[[#This Row],[Mouser SKU]], MouserListTable1218[[#This Row],[Supplier SKU]])</f>
        <v>PRT-12693</v>
      </c>
      <c r="E430" s="121">
        <f>MouserListTable1218[[#This Row],[Tot '#]]-MouserListTable1218[[#This Row],['# Initial]]</f>
        <v>5</v>
      </c>
      <c r="F430" s="121">
        <f>MouserListTable1218[[#This Row],['#/Unit]]*FilterSpecs!$B$3+MouserListTable1218[[#This Row],[Extra Initial]]</f>
        <v>5</v>
      </c>
      <c r="G430" s="103" t="s">
        <v>474</v>
      </c>
      <c r="H430" s="103" t="s">
        <v>475</v>
      </c>
      <c r="I430" s="103" t="s">
        <v>476</v>
      </c>
      <c r="J430" s="103">
        <v>1</v>
      </c>
      <c r="K430" s="157">
        <v>0.75</v>
      </c>
      <c r="L430" s="103" t="s">
        <v>1911</v>
      </c>
      <c r="M430" s="103"/>
      <c r="N430" s="157">
        <f>MouserListTable1218[[#This Row],['# Initial]]*MouserListTable1218[[#This Row],[Price (USD)]]</f>
        <v>3.75</v>
      </c>
      <c r="O430" s="106" t="s">
        <v>473</v>
      </c>
      <c r="P430" s="103">
        <f t="shared" si="10"/>
        <v>411</v>
      </c>
      <c r="Q430" s="103" t="s">
        <v>8</v>
      </c>
      <c r="R43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474-PRT-12693</v>
      </c>
      <c r="S430" s="121">
        <v>1</v>
      </c>
      <c r="T430" s="121">
        <v>5</v>
      </c>
      <c r="U430" s="121">
        <v>0</v>
      </c>
      <c r="V430" s="121">
        <f>MouserListTable1218[[#This Row],['#/Unit]]*FilterSpecs!$C$3+MouserListTable1218[[#This Row],[Extra]]</f>
        <v>10</v>
      </c>
      <c r="W430" s="121">
        <f>IF(MouserListTable1218[[#This Row],[Tag]]=FilterSpecs!$F$7,MouserListTable1218[[#This Row],[Price (USD)]],0)</f>
        <v>0.75</v>
      </c>
      <c r="X430" s="121">
        <f>MouserListTable1218[[#This Row],[Tot '#]]*MouserListTable1218[[#This Row],[Price (USD)]]</f>
        <v>7.5</v>
      </c>
    </row>
    <row r="431" spans="1:24" s="146" customFormat="1" x14ac:dyDescent="0.3">
      <c r="A431" s="128" t="s">
        <v>897</v>
      </c>
      <c r="B431" s="128" t="s">
        <v>1891</v>
      </c>
      <c r="C431" s="128" t="s">
        <v>1898</v>
      </c>
      <c r="D431" s="106" t="str">
        <f>IF(MouserListTable1218[[#This Row],[Vendor]]=FilterSpecs!$A$8,MouserListTable1218[[#This Row],[Mouser SKU]], MouserListTable1218[[#This Row],[Supplier SKU]])</f>
        <v>400</v>
      </c>
      <c r="E431" s="121">
        <f>MouserListTable1218[[#This Row],[Tot '#]]-MouserListTable1218[[#This Row],['# Initial]]</f>
        <v>0</v>
      </c>
      <c r="F431" s="121">
        <f>MouserListTable1218[[#This Row],['#/Unit]]*FilterSpecs!$B$3+MouserListTable1218[[#This Row],[Extra Initial]]</f>
        <v>0</v>
      </c>
      <c r="I431" s="128" t="s">
        <v>2482</v>
      </c>
      <c r="J431" s="153">
        <v>117</v>
      </c>
      <c r="K431" s="159">
        <v>3</v>
      </c>
      <c r="L431" s="126" t="s">
        <v>1910</v>
      </c>
      <c r="N431" s="157">
        <f>MouserListTable1218[[#This Row],['# Initial]]*MouserListTable1218[[#This Row],[Price (USD)]]</f>
        <v>0</v>
      </c>
      <c r="O431" s="153" t="s">
        <v>2483</v>
      </c>
      <c r="P431" s="103">
        <f t="shared" si="10"/>
        <v>412</v>
      </c>
      <c r="Q431" s="103" t="s">
        <v>1898</v>
      </c>
      <c r="R43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485-400</v>
      </c>
      <c r="S431" s="121">
        <v>0</v>
      </c>
      <c r="T431" s="121">
        <v>0</v>
      </c>
      <c r="U431" s="121">
        <v>0</v>
      </c>
      <c r="V431" s="121">
        <f>MouserListTable1218[[#This Row],['#/Unit]]*FilterSpecs!$C$3+MouserListTable1218[[#This Row],[Extra]]</f>
        <v>0</v>
      </c>
      <c r="W431" s="121">
        <f>IF(MouserListTable1218[[#This Row],[Tag]]=FilterSpecs!$F$7,MouserListTable1218[[#This Row],[Price (USD)]],0)</f>
        <v>0</v>
      </c>
      <c r="X431" s="121">
        <f>MouserListTable1218[[#This Row],[Tot '#]]*MouserListTable1218[[#This Row],[Price (USD)]]</f>
        <v>0</v>
      </c>
    </row>
    <row r="432" spans="1:24" s="146" customFormat="1" x14ac:dyDescent="0.3">
      <c r="A432" s="126" t="s">
        <v>897</v>
      </c>
      <c r="B432" s="126" t="s">
        <v>1891</v>
      </c>
      <c r="C432" s="126" t="s">
        <v>8</v>
      </c>
      <c r="D432" s="106" t="str">
        <f>IF(MouserListTable1218[[#This Row],[Vendor]]=FilterSpecs!$A$8,MouserListTable1218[[#This Row],[Mouser SKU]], MouserListTable1218[[#This Row],[Supplier SKU]])</f>
        <v>PRT-00553</v>
      </c>
      <c r="E432" s="121">
        <f>MouserListTable1218[[#This Row],[Tot '#]]-MouserListTable1218[[#This Row],['# Initial]]</f>
        <v>0</v>
      </c>
      <c r="F432" s="121">
        <f>MouserListTable1218[[#This Row],['#/Unit]]*FilterSpecs!$B$3+MouserListTable1218[[#This Row],[Extra Initial]]</f>
        <v>0</v>
      </c>
      <c r="G432" s="103" t="s">
        <v>760</v>
      </c>
      <c r="H432" s="103" t="s">
        <v>761</v>
      </c>
      <c r="I432" s="103" t="s">
        <v>762</v>
      </c>
      <c r="J432" s="103">
        <v>1</v>
      </c>
      <c r="K432" s="157">
        <v>1.95</v>
      </c>
      <c r="L432" s="103" t="s">
        <v>1910</v>
      </c>
      <c r="M432" s="103"/>
      <c r="N432" s="157">
        <f>MouserListTable1218[[#This Row],['# Initial]]*MouserListTable1218[[#This Row],[Price (USD)]]</f>
        <v>0</v>
      </c>
      <c r="O432" s="106" t="s">
        <v>759</v>
      </c>
      <c r="P432" s="103">
        <f t="shared" si="10"/>
        <v>413</v>
      </c>
      <c r="Q432" s="103" t="s">
        <v>8</v>
      </c>
      <c r="R43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474-PRT-00553</v>
      </c>
      <c r="S432" s="121">
        <v>0</v>
      </c>
      <c r="T432" s="121">
        <v>0</v>
      </c>
      <c r="U432" s="121">
        <v>0</v>
      </c>
      <c r="V432" s="121">
        <f>MouserListTable1218[[#This Row],['#/Unit]]*FilterSpecs!$C$3+MouserListTable1218[[#This Row],[Extra]]</f>
        <v>0</v>
      </c>
      <c r="W432" s="121">
        <f>IF(MouserListTable1218[[#This Row],[Tag]]=FilterSpecs!$F$7,MouserListTable1218[[#This Row],[Price (USD)]],0)</f>
        <v>0</v>
      </c>
      <c r="X432" s="121">
        <f>MouserListTable1218[[#This Row],[Tot '#]]*MouserListTable1218[[#This Row],[Price (USD)]]</f>
        <v>0</v>
      </c>
    </row>
    <row r="433" spans="1:24" s="146" customFormat="1" x14ac:dyDescent="0.3">
      <c r="A433" s="103" t="s">
        <v>897</v>
      </c>
      <c r="B433" s="103" t="s">
        <v>1891</v>
      </c>
      <c r="C433" s="103" t="s">
        <v>1898</v>
      </c>
      <c r="D433" s="106" t="str">
        <f>IF(MouserListTable1218[[#This Row],[Vendor]]=FilterSpecs!$A$8,MouserListTable1218[[#This Row],[Mouser SKU]], MouserListTable1218[[#This Row],[Supplier SKU]])</f>
        <v>1540</v>
      </c>
      <c r="E433" s="121">
        <f>MouserListTable1218[[#This Row],[Tot '#]]-MouserListTable1218[[#This Row],['# Initial]]</f>
        <v>0</v>
      </c>
      <c r="F433" s="121">
        <f>MouserListTable1218[[#This Row],['#/Unit]]*FilterSpecs!$B$3+MouserListTable1218[[#This Row],[Extra Initial]]</f>
        <v>0</v>
      </c>
      <c r="G433" s="103"/>
      <c r="H433" s="103"/>
      <c r="I433" s="126" t="s">
        <v>2192</v>
      </c>
      <c r="K433" s="158">
        <v>5.95</v>
      </c>
      <c r="L433" s="126" t="s">
        <v>1913</v>
      </c>
      <c r="N433" s="157">
        <f>MouserListTable1218[[#This Row],['# Initial]]*MouserListTable1218[[#This Row],[Price (USD)]]</f>
        <v>0</v>
      </c>
      <c r="O433" s="106" t="s">
        <v>2191</v>
      </c>
      <c r="P433" s="103">
        <f t="shared" si="10"/>
        <v>414</v>
      </c>
      <c r="Q433" s="103" t="s">
        <v>1898</v>
      </c>
      <c r="R43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485-1540</v>
      </c>
      <c r="S433" s="121">
        <v>0</v>
      </c>
      <c r="T433" s="121">
        <v>0</v>
      </c>
      <c r="U433" s="121">
        <v>0</v>
      </c>
      <c r="V433" s="121">
        <f>MouserListTable1218[[#This Row],['#/Unit]]*FilterSpecs!$C$3+MouserListTable1218[[#This Row],[Extra]]</f>
        <v>0</v>
      </c>
      <c r="W433" s="121">
        <f>IF(MouserListTable1218[[#This Row],[Tag]]=FilterSpecs!$F$7,MouserListTable1218[[#This Row],[Price (USD)]],0)</f>
        <v>0</v>
      </c>
      <c r="X433" s="121">
        <f>MouserListTable1218[[#This Row],[Tot '#]]*MouserListTable1218[[#This Row],[Price (USD)]]</f>
        <v>0</v>
      </c>
    </row>
    <row r="434" spans="1:24" s="146" customFormat="1" x14ac:dyDescent="0.3">
      <c r="A434" s="103" t="s">
        <v>897</v>
      </c>
      <c r="B434" s="103" t="s">
        <v>1891</v>
      </c>
      <c r="C434" s="103" t="s">
        <v>1898</v>
      </c>
      <c r="D434" s="106" t="str">
        <f>IF(MouserListTable1218[[#This Row],[Vendor]]=FilterSpecs!$A$8,MouserListTable1218[[#This Row],[Mouser SKU]], MouserListTable1218[[#This Row],[Supplier SKU]])</f>
        <v>2822</v>
      </c>
      <c r="E434" s="121">
        <f>MouserListTable1218[[#This Row],[Tot '#]]-MouserListTable1218[[#This Row],['# Initial]]</f>
        <v>0</v>
      </c>
      <c r="F434" s="121">
        <f>MouserListTable1218[[#This Row],['#/Unit]]*FilterSpecs!$B$3+MouserListTable1218[[#This Row],[Extra Initial]]</f>
        <v>0</v>
      </c>
      <c r="G434" s="103"/>
      <c r="H434" s="103"/>
      <c r="I434" s="126" t="s">
        <v>2184</v>
      </c>
      <c r="K434" s="158">
        <v>0.95</v>
      </c>
      <c r="L434" s="126" t="s">
        <v>1910</v>
      </c>
      <c r="N434" s="157">
        <f>MouserListTable1218[[#This Row],['# Initial]]*MouserListTable1218[[#This Row],[Price (USD)]]</f>
        <v>0</v>
      </c>
      <c r="O434" s="106" t="s">
        <v>2183</v>
      </c>
      <c r="P434" s="103">
        <f t="shared" si="10"/>
        <v>415</v>
      </c>
      <c r="Q434" s="103" t="s">
        <v>1898</v>
      </c>
      <c r="R43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485-2822</v>
      </c>
      <c r="S434" s="121">
        <v>0</v>
      </c>
      <c r="T434" s="121">
        <v>0</v>
      </c>
      <c r="U434" s="121">
        <v>0</v>
      </c>
      <c r="V434" s="121">
        <f>MouserListTable1218[[#This Row],['#/Unit]]*FilterSpecs!$C$3+MouserListTable1218[[#This Row],[Extra]]</f>
        <v>0</v>
      </c>
      <c r="W434" s="121">
        <f>IF(MouserListTable1218[[#This Row],[Tag]]=FilterSpecs!$F$7,MouserListTable1218[[#This Row],[Price (USD)]],0)</f>
        <v>0</v>
      </c>
      <c r="X434" s="121">
        <f>MouserListTable1218[[#This Row],[Tot '#]]*MouserListTable1218[[#This Row],[Price (USD)]]</f>
        <v>0</v>
      </c>
    </row>
    <row r="435" spans="1:24" s="146" customFormat="1" x14ac:dyDescent="0.3">
      <c r="A435" s="103" t="s">
        <v>897</v>
      </c>
      <c r="B435" s="103" t="s">
        <v>1891</v>
      </c>
      <c r="C435" s="103" t="s">
        <v>1898</v>
      </c>
      <c r="D435" s="106" t="str">
        <f>IF(MouserListTable1218[[#This Row],[Vendor]]=FilterSpecs!$A$8,MouserListTable1218[[#This Row],[Mouser SKU]], MouserListTable1218[[#This Row],[Supplier SKU]])</f>
        <v>1539</v>
      </c>
      <c r="E435" s="121">
        <f>MouserListTable1218[[#This Row],[Tot '#]]-MouserListTable1218[[#This Row],['# Initial]]</f>
        <v>0</v>
      </c>
      <c r="F435" s="121">
        <f>MouserListTable1218[[#This Row],['#/Unit]]*FilterSpecs!$B$3+MouserListTable1218[[#This Row],[Extra Initial]]</f>
        <v>1</v>
      </c>
      <c r="G435" s="103"/>
      <c r="H435" s="103"/>
      <c r="I435" s="103" t="s">
        <v>2186</v>
      </c>
      <c r="K435" s="157">
        <v>7.5</v>
      </c>
      <c r="L435" s="103" t="s">
        <v>1910</v>
      </c>
      <c r="M435" s="106"/>
      <c r="N435" s="157">
        <f>MouserListTable1218[[#This Row],['# Initial]]*MouserListTable1218[[#This Row],[Price (USD)]]</f>
        <v>7.5</v>
      </c>
      <c r="O435" s="106" t="s">
        <v>2185</v>
      </c>
      <c r="P435" s="103">
        <f t="shared" si="10"/>
        <v>416</v>
      </c>
      <c r="Q435" s="103" t="s">
        <v>1898</v>
      </c>
      <c r="R43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485-1539</v>
      </c>
      <c r="S435" s="121">
        <v>0</v>
      </c>
      <c r="T435" s="121">
        <v>1</v>
      </c>
      <c r="U435" s="121">
        <v>1</v>
      </c>
      <c r="V435" s="121">
        <f>MouserListTable1218[[#This Row],['#/Unit]]*FilterSpecs!$C$3+MouserListTable1218[[#This Row],[Extra]]</f>
        <v>1</v>
      </c>
      <c r="W435" s="121">
        <f>IF(MouserListTable1218[[#This Row],[Tag]]=FilterSpecs!$F$7,MouserListTable1218[[#This Row],[Price (USD)]],0)</f>
        <v>0</v>
      </c>
      <c r="X435" s="121">
        <f>MouserListTable1218[[#This Row],[Tot '#]]*MouserListTable1218[[#This Row],[Price (USD)]]</f>
        <v>7.5</v>
      </c>
    </row>
    <row r="436" spans="1:24" s="146" customFormat="1" x14ac:dyDescent="0.3">
      <c r="A436" s="103" t="s">
        <v>897</v>
      </c>
      <c r="B436" s="103" t="s">
        <v>1891</v>
      </c>
      <c r="C436" s="103" t="s">
        <v>1898</v>
      </c>
      <c r="D436" s="106" t="str">
        <f>IF(MouserListTable1218[[#This Row],[Vendor]]=FilterSpecs!$A$8,MouserListTable1218[[#This Row],[Mouser SKU]], MouserListTable1218[[#This Row],[Supplier SKU]])</f>
        <v>1541</v>
      </c>
      <c r="E436" s="121">
        <f>MouserListTable1218[[#This Row],[Tot '#]]-MouserListTable1218[[#This Row],['# Initial]]</f>
        <v>0</v>
      </c>
      <c r="F436" s="121">
        <f>MouserListTable1218[[#This Row],['#/Unit]]*FilterSpecs!$B$3+MouserListTable1218[[#This Row],[Extra Initial]]</f>
        <v>1</v>
      </c>
      <c r="G436" s="103"/>
      <c r="H436" s="103"/>
      <c r="I436" s="103" t="s">
        <v>2188</v>
      </c>
      <c r="K436" s="157">
        <v>5.95</v>
      </c>
      <c r="L436" s="103" t="s">
        <v>1910</v>
      </c>
      <c r="M436" s="106"/>
      <c r="N436" s="157">
        <f>MouserListTable1218[[#This Row],['# Initial]]*MouserListTable1218[[#This Row],[Price (USD)]]</f>
        <v>5.95</v>
      </c>
      <c r="O436" s="106" t="s">
        <v>2187</v>
      </c>
      <c r="P436" s="103">
        <f t="shared" si="10"/>
        <v>417</v>
      </c>
      <c r="Q436" s="103" t="s">
        <v>1898</v>
      </c>
      <c r="R43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485-1541</v>
      </c>
      <c r="S436" s="121">
        <v>0</v>
      </c>
      <c r="T436" s="121">
        <v>1</v>
      </c>
      <c r="U436" s="121">
        <v>1</v>
      </c>
      <c r="V436" s="121">
        <f>MouserListTable1218[[#This Row],['#/Unit]]*FilterSpecs!$C$3+MouserListTable1218[[#This Row],[Extra]]</f>
        <v>1</v>
      </c>
      <c r="W436" s="121">
        <f>IF(MouserListTable1218[[#This Row],[Tag]]=FilterSpecs!$F$7,MouserListTable1218[[#This Row],[Price (USD)]],0)</f>
        <v>0</v>
      </c>
      <c r="X436" s="121">
        <f>MouserListTable1218[[#This Row],[Tot '#]]*MouserListTable1218[[#This Row],[Price (USD)]]</f>
        <v>5.95</v>
      </c>
    </row>
    <row r="437" spans="1:24" s="146" customFormat="1" x14ac:dyDescent="0.3">
      <c r="A437" s="126" t="s">
        <v>897</v>
      </c>
      <c r="B437" s="126" t="s">
        <v>1891</v>
      </c>
      <c r="C437" s="126" t="s">
        <v>8</v>
      </c>
      <c r="D437" s="106" t="str">
        <f>IF(MouserListTable1218[[#This Row],[Vendor]]=FilterSpecs!$A$8,MouserListTable1218[[#This Row],[Mouser SKU]], MouserListTable1218[[#This Row],[Supplier SKU]])</f>
        <v>COM-12792</v>
      </c>
      <c r="E437" s="121">
        <f>MouserListTable1218[[#This Row],[Tot '#]]-MouserListTable1218[[#This Row],['# Initial]]</f>
        <v>0</v>
      </c>
      <c r="F437" s="121">
        <f>MouserListTable1218[[#This Row],['#/Unit]]*FilterSpecs!$B$3+MouserListTable1218[[#This Row],[Extra Initial]]</f>
        <v>0</v>
      </c>
      <c r="G437" s="103" t="s">
        <v>764</v>
      </c>
      <c r="H437" s="103" t="s">
        <v>765</v>
      </c>
      <c r="I437" s="103" t="s">
        <v>766</v>
      </c>
      <c r="J437" s="103">
        <v>1</v>
      </c>
      <c r="K437" s="157">
        <v>1.95</v>
      </c>
      <c r="L437" s="103" t="s">
        <v>1910</v>
      </c>
      <c r="M437" s="103"/>
      <c r="N437" s="157">
        <f>MouserListTable1218[[#This Row],['# Initial]]*MouserListTable1218[[#This Row],[Price (USD)]]</f>
        <v>0</v>
      </c>
      <c r="O437" s="106" t="s">
        <v>763</v>
      </c>
      <c r="P437" s="103">
        <f t="shared" si="10"/>
        <v>418</v>
      </c>
      <c r="Q437" s="103" t="s">
        <v>8</v>
      </c>
      <c r="R43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474-COM-12792</v>
      </c>
      <c r="S437" s="121">
        <v>0</v>
      </c>
      <c r="T437" s="121">
        <v>0</v>
      </c>
      <c r="U437" s="121">
        <v>0</v>
      </c>
      <c r="V437" s="121">
        <f>MouserListTable1218[[#This Row],['#/Unit]]*FilterSpecs!$C$3+MouserListTable1218[[#This Row],[Extra]]</f>
        <v>0</v>
      </c>
      <c r="W437" s="121">
        <f>IF(MouserListTable1218[[#This Row],[Tag]]=FilterSpecs!$F$7,MouserListTable1218[[#This Row],[Price (USD)]],0)</f>
        <v>0</v>
      </c>
      <c r="X437" s="121">
        <f>MouserListTable1218[[#This Row],[Tot '#]]*MouserListTable1218[[#This Row],[Price (USD)]]</f>
        <v>0</v>
      </c>
    </row>
    <row r="438" spans="1:24" s="146" customFormat="1" x14ac:dyDescent="0.3">
      <c r="A438" s="126" t="s">
        <v>897</v>
      </c>
      <c r="B438" s="126" t="s">
        <v>1891</v>
      </c>
      <c r="C438" s="126" t="s">
        <v>8</v>
      </c>
      <c r="D438" s="106" t="str">
        <f>IF(MouserListTable1218[[#This Row],[Vendor]]=FilterSpecs!$A$8,MouserListTable1218[[#This Row],[Mouser SKU]], MouserListTable1218[[#This Row],[Supplier SKU]])</f>
        <v>COM-10095</v>
      </c>
      <c r="E438" s="121">
        <f>MouserListTable1218[[#This Row],[Tot '#]]-MouserListTable1218[[#This Row],['# Initial]]</f>
        <v>0</v>
      </c>
      <c r="F438" s="121">
        <f>MouserListTable1218[[#This Row],['#/Unit]]*FilterSpecs!$B$3+MouserListTable1218[[#This Row],[Extra Initial]]</f>
        <v>0</v>
      </c>
      <c r="G438" s="103" t="s">
        <v>1305</v>
      </c>
      <c r="H438" s="103" t="s">
        <v>1306</v>
      </c>
      <c r="I438" s="103" t="s">
        <v>1307</v>
      </c>
      <c r="J438" s="103">
        <v>1</v>
      </c>
      <c r="K438" s="157">
        <v>4.95</v>
      </c>
      <c r="L438" s="103" t="s">
        <v>1910</v>
      </c>
      <c r="M438" s="103"/>
      <c r="N438" s="157">
        <f>MouserListTable1218[[#This Row],['# Initial]]*MouserListTable1218[[#This Row],[Price (USD)]]</f>
        <v>0</v>
      </c>
      <c r="O438" s="106" t="s">
        <v>1304</v>
      </c>
      <c r="P438" s="103">
        <f t="shared" si="10"/>
        <v>419</v>
      </c>
      <c r="Q438" s="103" t="s">
        <v>8</v>
      </c>
      <c r="R43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474-COM-10095</v>
      </c>
      <c r="S438" s="121">
        <v>0</v>
      </c>
      <c r="T438" s="121">
        <v>0</v>
      </c>
      <c r="U438" s="121">
        <v>0</v>
      </c>
      <c r="V438" s="121">
        <f>MouserListTable1218[[#This Row],['#/Unit]]*FilterSpecs!$C$3+MouserListTable1218[[#This Row],[Extra]]</f>
        <v>0</v>
      </c>
      <c r="W438" s="121">
        <f>IF(MouserListTable1218[[#This Row],[Tag]]=FilterSpecs!$F$7,MouserListTable1218[[#This Row],[Price (USD)]],0)</f>
        <v>0</v>
      </c>
      <c r="X438" s="121">
        <f>MouserListTable1218[[#This Row],[Tot '#]]*MouserListTable1218[[#This Row],[Price (USD)]]</f>
        <v>0</v>
      </c>
    </row>
    <row r="439" spans="1:24" s="146" customFormat="1" x14ac:dyDescent="0.3">
      <c r="A439" s="126" t="s">
        <v>897</v>
      </c>
      <c r="B439" s="126" t="s">
        <v>1891</v>
      </c>
      <c r="C439" s="126" t="s">
        <v>8</v>
      </c>
      <c r="D439" s="106" t="str">
        <f>IF(MouserListTable1218[[#This Row],[Vendor]]=FilterSpecs!$A$8,MouserListTable1218[[#This Row],[Mouser SKU]], MouserListTable1218[[#This Row],[Supplier SKU]])</f>
        <v>PRT-10112</v>
      </c>
      <c r="E439" s="121">
        <f>MouserListTable1218[[#This Row],[Tot '#]]-MouserListTable1218[[#This Row],['# Initial]]</f>
        <v>0</v>
      </c>
      <c r="F439" s="121">
        <f>MouserListTable1218[[#This Row],['#/Unit]]*FilterSpecs!$B$3+MouserListTable1218[[#This Row],[Extra Initial]]</f>
        <v>0</v>
      </c>
      <c r="G439" s="103" t="s">
        <v>784</v>
      </c>
      <c r="H439" s="103" t="s">
        <v>785</v>
      </c>
      <c r="I439" s="103" t="s">
        <v>786</v>
      </c>
      <c r="J439" s="103">
        <v>1</v>
      </c>
      <c r="K439" s="157">
        <v>0.95</v>
      </c>
      <c r="L439" s="103" t="s">
        <v>1910</v>
      </c>
      <c r="M439" s="103"/>
      <c r="N439" s="157">
        <f>MouserListTable1218[[#This Row],['# Initial]]*MouserListTable1218[[#This Row],[Price (USD)]]</f>
        <v>0</v>
      </c>
      <c r="O439" s="106" t="s">
        <v>783</v>
      </c>
      <c r="P439" s="103">
        <f t="shared" si="10"/>
        <v>420</v>
      </c>
      <c r="Q439" s="103" t="s">
        <v>8</v>
      </c>
      <c r="R43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474-PRT-10112</v>
      </c>
      <c r="S439" s="121">
        <v>0</v>
      </c>
      <c r="T439" s="121">
        <v>0</v>
      </c>
      <c r="U439" s="121">
        <v>0</v>
      </c>
      <c r="V439" s="121">
        <f>MouserListTable1218[[#This Row],['#/Unit]]*FilterSpecs!$C$3+MouserListTable1218[[#This Row],[Extra]]</f>
        <v>0</v>
      </c>
      <c r="W439" s="121">
        <f>IF(MouserListTable1218[[#This Row],[Tag]]=FilterSpecs!$F$7,MouserListTable1218[[#This Row],[Price (USD)]],0)</f>
        <v>0</v>
      </c>
      <c r="X439" s="121">
        <f>MouserListTable1218[[#This Row],[Tot '#]]*MouserListTable1218[[#This Row],[Price (USD)]]</f>
        <v>0</v>
      </c>
    </row>
    <row r="440" spans="1:24" s="146" customFormat="1" x14ac:dyDescent="0.3">
      <c r="A440" s="103" t="s">
        <v>897</v>
      </c>
      <c r="B440" s="103" t="s">
        <v>1891</v>
      </c>
      <c r="C440" s="103" t="s">
        <v>1898</v>
      </c>
      <c r="D440" s="106" t="str">
        <f>IF(MouserListTable1218[[#This Row],[Vendor]]=FilterSpecs!$A$8,MouserListTable1218[[#This Row],[Mouser SKU]], MouserListTable1218[[#This Row],[Supplier SKU]])</f>
        <v>2671</v>
      </c>
      <c r="E440" s="121">
        <f>MouserListTable1218[[#This Row],[Tot '#]]-MouserListTable1218[[#This Row],['# Initial]]</f>
        <v>0</v>
      </c>
      <c r="F440" s="121">
        <f>MouserListTable1218[[#This Row],['#/Unit]]*FilterSpecs!$B$3+MouserListTable1218[[#This Row],[Extra Initial]]</f>
        <v>1</v>
      </c>
      <c r="G440" s="103"/>
      <c r="H440" s="103"/>
      <c r="I440" s="103" t="s">
        <v>2180</v>
      </c>
      <c r="K440" s="157">
        <v>2.95</v>
      </c>
      <c r="L440" s="103" t="s">
        <v>1910</v>
      </c>
      <c r="M440" s="106"/>
      <c r="N440" s="157">
        <f>MouserListTable1218[[#This Row],['# Initial]]*MouserListTable1218[[#This Row],[Price (USD)]]</f>
        <v>2.95</v>
      </c>
      <c r="O440" s="106" t="s">
        <v>2179</v>
      </c>
      <c r="P440" s="103">
        <f t="shared" si="10"/>
        <v>421</v>
      </c>
      <c r="Q440" s="103" t="s">
        <v>1898</v>
      </c>
      <c r="R44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485-2671</v>
      </c>
      <c r="S440" s="121">
        <v>0</v>
      </c>
      <c r="T440" s="121">
        <v>1</v>
      </c>
      <c r="U440" s="121">
        <v>1</v>
      </c>
      <c r="V440" s="121">
        <f>MouserListTable1218[[#This Row],['#/Unit]]*FilterSpecs!$C$3+MouserListTable1218[[#This Row],[Extra]]</f>
        <v>1</v>
      </c>
      <c r="W440" s="121">
        <f>IF(MouserListTable1218[[#This Row],[Tag]]=FilterSpecs!$F$7,MouserListTable1218[[#This Row],[Price (USD)]],0)</f>
        <v>0</v>
      </c>
      <c r="X440" s="121">
        <f>MouserListTable1218[[#This Row],[Tot '#]]*MouserListTable1218[[#This Row],[Price (USD)]]</f>
        <v>2.95</v>
      </c>
    </row>
    <row r="441" spans="1:24" s="146" customFormat="1" x14ac:dyDescent="0.3">
      <c r="A441" s="103" t="s">
        <v>897</v>
      </c>
      <c r="B441" s="103" t="s">
        <v>1892</v>
      </c>
      <c r="C441" s="103" t="s">
        <v>1898</v>
      </c>
      <c r="D441" s="106" t="str">
        <f>IF(MouserListTable1218[[#This Row],[Vendor]]=FilterSpecs!$A$8,MouserListTable1218[[#This Row],[Mouser SKU]], MouserListTable1218[[#This Row],[Supplier SKU]])</f>
        <v>2886</v>
      </c>
      <c r="E441" s="121">
        <f>MouserListTable1218[[#This Row],[Tot '#]]-MouserListTable1218[[#This Row],['# Initial]]</f>
        <v>0</v>
      </c>
      <c r="F441" s="121">
        <f>MouserListTable1218[[#This Row],['#/Unit]]*FilterSpecs!$B$3+MouserListTable1218[[#This Row],[Extra Initial]]</f>
        <v>0</v>
      </c>
      <c r="G441" s="103"/>
      <c r="H441" s="103"/>
      <c r="I441" s="126" t="s">
        <v>2178</v>
      </c>
      <c r="K441" s="158">
        <v>0.95</v>
      </c>
      <c r="L441" s="126" t="s">
        <v>1910</v>
      </c>
      <c r="N441" s="157">
        <f>MouserListTable1218[[#This Row],['# Initial]]*MouserListTable1218[[#This Row],[Price (USD)]]</f>
        <v>0</v>
      </c>
      <c r="O441" s="106" t="s">
        <v>2177</v>
      </c>
      <c r="P441" s="103">
        <f t="shared" si="10"/>
        <v>422</v>
      </c>
      <c r="Q441" s="103" t="s">
        <v>1898</v>
      </c>
      <c r="R44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485-2886</v>
      </c>
      <c r="S441" s="121">
        <v>0</v>
      </c>
      <c r="T441" s="121">
        <v>0</v>
      </c>
      <c r="U441" s="121">
        <v>0</v>
      </c>
      <c r="V441" s="121">
        <f>MouserListTable1218[[#This Row],['#/Unit]]*FilterSpecs!$C$3+MouserListTable1218[[#This Row],[Extra]]</f>
        <v>0</v>
      </c>
      <c r="W441" s="121">
        <f>IF(MouserListTable1218[[#This Row],[Tag]]=FilterSpecs!$F$7,MouserListTable1218[[#This Row],[Price (USD)]],0)</f>
        <v>0</v>
      </c>
      <c r="X441" s="121">
        <f>MouserListTable1218[[#This Row],[Tot '#]]*MouserListTable1218[[#This Row],[Price (USD)]]</f>
        <v>0</v>
      </c>
    </row>
    <row r="442" spans="1:24" s="146" customFormat="1" x14ac:dyDescent="0.3">
      <c r="A442" s="103" t="s">
        <v>897</v>
      </c>
      <c r="B442" s="103" t="s">
        <v>1892</v>
      </c>
      <c r="C442" s="103" t="s">
        <v>1898</v>
      </c>
      <c r="D442" s="106" t="str">
        <f>IF(MouserListTable1218[[#This Row],[Vendor]]=FilterSpecs!$A$8,MouserListTable1218[[#This Row],[Mouser SKU]], MouserListTable1218[[#This Row],[Supplier SKU]])</f>
        <v>598</v>
      </c>
      <c r="E442" s="121">
        <f>MouserListTable1218[[#This Row],[Tot '#]]-MouserListTable1218[[#This Row],['# Initial]]</f>
        <v>0</v>
      </c>
      <c r="F442" s="121">
        <f>MouserListTable1218[[#This Row],['#/Unit]]*FilterSpecs!$B$3+MouserListTable1218[[#This Row],[Extra Initial]]</f>
        <v>1</v>
      </c>
      <c r="G442" s="103"/>
      <c r="H442" s="103"/>
      <c r="I442" s="103" t="s">
        <v>2172</v>
      </c>
      <c r="K442" s="157">
        <v>2.95</v>
      </c>
      <c r="L442" s="103" t="s">
        <v>1910</v>
      </c>
      <c r="M442" s="106"/>
      <c r="N442" s="157">
        <f>MouserListTable1218[[#This Row],['# Initial]]*MouserListTable1218[[#This Row],[Price (USD)]]</f>
        <v>2.95</v>
      </c>
      <c r="O442" s="106" t="s">
        <v>2171</v>
      </c>
      <c r="P442" s="103">
        <f t="shared" si="10"/>
        <v>423</v>
      </c>
      <c r="Q442" s="103" t="s">
        <v>1898</v>
      </c>
      <c r="R44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485-598</v>
      </c>
      <c r="S442" s="121">
        <v>0</v>
      </c>
      <c r="T442" s="121">
        <v>1</v>
      </c>
      <c r="U442" s="121">
        <v>1</v>
      </c>
      <c r="V442" s="121">
        <f>MouserListTable1218[[#This Row],['#/Unit]]*FilterSpecs!$C$3+MouserListTable1218[[#This Row],[Extra]]</f>
        <v>1</v>
      </c>
      <c r="W442" s="121">
        <f>IF(MouserListTable1218[[#This Row],[Tag]]=FilterSpecs!$F$7,MouserListTable1218[[#This Row],[Price (USD)]],0)</f>
        <v>0</v>
      </c>
      <c r="X442" s="121">
        <f>MouserListTable1218[[#This Row],[Tot '#]]*MouserListTable1218[[#This Row],[Price (USD)]]</f>
        <v>2.95</v>
      </c>
    </row>
    <row r="443" spans="1:24" s="146" customFormat="1" x14ac:dyDescent="0.3">
      <c r="A443" s="103" t="s">
        <v>897</v>
      </c>
      <c r="B443" s="103" t="s">
        <v>1892</v>
      </c>
      <c r="C443" s="103" t="s">
        <v>1898</v>
      </c>
      <c r="D443" s="106" t="str">
        <f>IF(MouserListTable1218[[#This Row],[Vendor]]=FilterSpecs!$A$8,MouserListTable1218[[#This Row],[Mouser SKU]], MouserListTable1218[[#This Row],[Supplier SKU]])</f>
        <v>3008</v>
      </c>
      <c r="E443" s="121">
        <f>MouserListTable1218[[#This Row],[Tot '#]]-MouserListTable1218[[#This Row],['# Initial]]</f>
        <v>0</v>
      </c>
      <c r="F443" s="121">
        <f>MouserListTable1218[[#This Row],['#/Unit]]*FilterSpecs!$B$3+MouserListTable1218[[#This Row],[Extra Initial]]</f>
        <v>1</v>
      </c>
      <c r="G443" s="103"/>
      <c r="H443" s="103"/>
      <c r="I443" s="103" t="s">
        <v>2174</v>
      </c>
      <c r="K443" s="157">
        <v>7.95</v>
      </c>
      <c r="L443" s="103" t="s">
        <v>1910</v>
      </c>
      <c r="M443" s="106"/>
      <c r="N443" s="157">
        <f>MouserListTable1218[[#This Row],['# Initial]]*MouserListTable1218[[#This Row],[Price (USD)]]</f>
        <v>7.95</v>
      </c>
      <c r="O443" s="106" t="s">
        <v>2173</v>
      </c>
      <c r="P443" s="103">
        <f t="shared" si="10"/>
        <v>424</v>
      </c>
      <c r="Q443" s="103" t="s">
        <v>1898</v>
      </c>
      <c r="R44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485-3008</v>
      </c>
      <c r="S443" s="121">
        <v>0</v>
      </c>
      <c r="T443" s="121">
        <v>1</v>
      </c>
      <c r="U443" s="121">
        <v>1</v>
      </c>
      <c r="V443" s="121">
        <f>MouserListTable1218[[#This Row],['#/Unit]]*FilterSpecs!$C$3+MouserListTable1218[[#This Row],[Extra]]</f>
        <v>1</v>
      </c>
      <c r="W443" s="121">
        <f>IF(MouserListTable1218[[#This Row],[Tag]]=FilterSpecs!$F$7,MouserListTable1218[[#This Row],[Price (USD)]],0)</f>
        <v>0</v>
      </c>
      <c r="X443" s="121">
        <f>MouserListTable1218[[#This Row],[Tot '#]]*MouserListTable1218[[#This Row],[Price (USD)]]</f>
        <v>7.95</v>
      </c>
    </row>
    <row r="444" spans="1:24" s="146" customFormat="1" x14ac:dyDescent="0.3">
      <c r="A444" s="103" t="s">
        <v>897</v>
      </c>
      <c r="B444" s="103" t="s">
        <v>1892</v>
      </c>
      <c r="C444" s="103" t="s">
        <v>1898</v>
      </c>
      <c r="D444" s="106" t="str">
        <f>IF(MouserListTable1218[[#This Row],[Vendor]]=FilterSpecs!$A$8,MouserListTable1218[[#This Row],[Mouser SKU]], MouserListTable1218[[#This Row],[Supplier SKU]])</f>
        <v>1542</v>
      </c>
      <c r="E444" s="121">
        <f>MouserListTable1218[[#This Row],[Tot '#]]-MouserListTable1218[[#This Row],['# Initial]]</f>
        <v>0</v>
      </c>
      <c r="F444" s="121">
        <f>MouserListTable1218[[#This Row],['#/Unit]]*FilterSpecs!$B$3+MouserListTable1218[[#This Row],[Extra Initial]]</f>
        <v>1</v>
      </c>
      <c r="G444" s="103"/>
      <c r="H444" s="103"/>
      <c r="I444" s="103" t="s">
        <v>2164</v>
      </c>
      <c r="K444" s="157">
        <v>4.95</v>
      </c>
      <c r="L444" s="103" t="s">
        <v>1910</v>
      </c>
      <c r="M444" s="106"/>
      <c r="N444" s="157">
        <f>MouserListTable1218[[#This Row],['# Initial]]*MouserListTable1218[[#This Row],[Price (USD)]]</f>
        <v>4.95</v>
      </c>
      <c r="O444" s="106" t="s">
        <v>2163</v>
      </c>
      <c r="P444" s="103">
        <f t="shared" si="10"/>
        <v>425</v>
      </c>
      <c r="Q444" s="103" t="s">
        <v>1898</v>
      </c>
      <c r="R44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485-1542</v>
      </c>
      <c r="S444" s="121">
        <v>0</v>
      </c>
      <c r="T444" s="121">
        <v>1</v>
      </c>
      <c r="U444" s="121">
        <v>1</v>
      </c>
      <c r="V444" s="121">
        <f>MouserListTable1218[[#This Row],['#/Unit]]*FilterSpecs!$C$3+MouserListTable1218[[#This Row],[Extra]]</f>
        <v>1</v>
      </c>
      <c r="W444" s="121">
        <f>IF(MouserListTable1218[[#This Row],[Tag]]=FilterSpecs!$F$7,MouserListTable1218[[#This Row],[Price (USD)]],0)</f>
        <v>0</v>
      </c>
      <c r="X444" s="121">
        <f>MouserListTable1218[[#This Row],[Tot '#]]*MouserListTable1218[[#This Row],[Price (USD)]]</f>
        <v>4.95</v>
      </c>
    </row>
    <row r="445" spans="1:24" s="146" customFormat="1" x14ac:dyDescent="0.3">
      <c r="A445" s="103" t="s">
        <v>897</v>
      </c>
      <c r="B445" s="103" t="s">
        <v>1892</v>
      </c>
      <c r="C445" s="103" t="s">
        <v>1898</v>
      </c>
      <c r="D445" s="106" t="str">
        <f>IF(MouserListTable1218[[#This Row],[Vendor]]=FilterSpecs!$A$8,MouserListTable1218[[#This Row],[Mouser SKU]], MouserListTable1218[[#This Row],[Supplier SKU]])</f>
        <v>1544</v>
      </c>
      <c r="E445" s="121">
        <f>MouserListTable1218[[#This Row],[Tot '#]]-MouserListTable1218[[#This Row],['# Initial]]</f>
        <v>0</v>
      </c>
      <c r="F445" s="121">
        <f>MouserListTable1218[[#This Row],['#/Unit]]*FilterSpecs!$B$3+MouserListTable1218[[#This Row],[Extra Initial]]</f>
        <v>1</v>
      </c>
      <c r="G445" s="103"/>
      <c r="H445" s="103"/>
      <c r="I445" s="103" t="s">
        <v>2162</v>
      </c>
      <c r="K445" s="157">
        <v>5.95</v>
      </c>
      <c r="L445" s="103" t="s">
        <v>1910</v>
      </c>
      <c r="M445" s="106"/>
      <c r="N445" s="157">
        <f>MouserListTable1218[[#This Row],['# Initial]]*MouserListTable1218[[#This Row],[Price (USD)]]</f>
        <v>5.95</v>
      </c>
      <c r="O445" s="106" t="s">
        <v>2161</v>
      </c>
      <c r="P445" s="103">
        <f t="shared" si="10"/>
        <v>426</v>
      </c>
      <c r="Q445" s="103" t="s">
        <v>1898</v>
      </c>
      <c r="R44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485-1544</v>
      </c>
      <c r="S445" s="121">
        <v>0</v>
      </c>
      <c r="T445" s="121">
        <v>1</v>
      </c>
      <c r="U445" s="121">
        <v>1</v>
      </c>
      <c r="V445" s="121">
        <f>MouserListTable1218[[#This Row],['#/Unit]]*FilterSpecs!$C$3+MouserListTable1218[[#This Row],[Extra]]</f>
        <v>1</v>
      </c>
      <c r="W445" s="121">
        <f>IF(MouserListTable1218[[#This Row],[Tag]]=FilterSpecs!$F$7,MouserListTable1218[[#This Row],[Price (USD)]],0)</f>
        <v>0</v>
      </c>
      <c r="X445" s="121">
        <f>MouserListTable1218[[#This Row],[Tot '#]]*MouserListTable1218[[#This Row],[Price (USD)]]</f>
        <v>5.95</v>
      </c>
    </row>
    <row r="446" spans="1:24" s="146" customFormat="1" x14ac:dyDescent="0.3">
      <c r="A446" s="103" t="s">
        <v>897</v>
      </c>
      <c r="B446" s="103" t="s">
        <v>1892</v>
      </c>
      <c r="C446" s="103" t="s">
        <v>1898</v>
      </c>
      <c r="D446" s="106" t="str">
        <f>IF(MouserListTable1218[[#This Row],[Vendor]]=FilterSpecs!$A$8,MouserListTable1218[[#This Row],[Mouser SKU]], MouserListTable1218[[#This Row],[Supplier SKU]])</f>
        <v>2823</v>
      </c>
      <c r="E446" s="121">
        <f>MouserListTable1218[[#This Row],[Tot '#]]-MouserListTable1218[[#This Row],['# Initial]]</f>
        <v>0</v>
      </c>
      <c r="F446" s="121">
        <f>MouserListTable1218[[#This Row],['#/Unit]]*FilterSpecs!$B$3+MouserListTable1218[[#This Row],[Extra Initial]]</f>
        <v>0</v>
      </c>
      <c r="G446" s="103"/>
      <c r="H446" s="103"/>
      <c r="I446" s="126" t="s">
        <v>2158</v>
      </c>
      <c r="K446" s="158">
        <v>1.5</v>
      </c>
      <c r="L446" s="126" t="s">
        <v>1910</v>
      </c>
      <c r="N446" s="157">
        <f>MouserListTable1218[[#This Row],['# Initial]]*MouserListTable1218[[#This Row],[Price (USD)]]</f>
        <v>0</v>
      </c>
      <c r="O446" s="106" t="s">
        <v>2157</v>
      </c>
      <c r="P446" s="103">
        <f t="shared" si="10"/>
        <v>427</v>
      </c>
      <c r="Q446" s="103" t="s">
        <v>1898</v>
      </c>
      <c r="R44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485-2823</v>
      </c>
      <c r="S446" s="121">
        <v>0</v>
      </c>
      <c r="T446" s="121">
        <v>0</v>
      </c>
      <c r="U446" s="121">
        <v>0</v>
      </c>
      <c r="V446" s="121">
        <f>MouserListTable1218[[#This Row],['#/Unit]]*FilterSpecs!$C$3+MouserListTable1218[[#This Row],[Extra]]</f>
        <v>0</v>
      </c>
      <c r="W446" s="121">
        <f>IF(MouserListTable1218[[#This Row],[Tag]]=FilterSpecs!$F$7,MouserListTable1218[[#This Row],[Price (USD)]],0)</f>
        <v>0</v>
      </c>
      <c r="X446" s="121">
        <f>MouserListTable1218[[#This Row],[Tot '#]]*MouserListTable1218[[#This Row],[Price (USD)]]</f>
        <v>0</v>
      </c>
    </row>
    <row r="447" spans="1:24" s="146" customFormat="1" x14ac:dyDescent="0.3">
      <c r="A447" s="103" t="s">
        <v>897</v>
      </c>
      <c r="B447" s="103" t="s">
        <v>1892</v>
      </c>
      <c r="C447" s="103" t="s">
        <v>1898</v>
      </c>
      <c r="D447" s="106" t="str">
        <f>IF(MouserListTable1218[[#This Row],[Vendor]]=FilterSpecs!$A$8,MouserListTable1218[[#This Row],[Mouser SKU]], MouserListTable1218[[#This Row],[Supplier SKU]])</f>
        <v>1543</v>
      </c>
      <c r="E447" s="121">
        <f>MouserListTable1218[[#This Row],[Tot '#]]-MouserListTable1218[[#This Row],['# Initial]]</f>
        <v>0</v>
      </c>
      <c r="F447" s="121">
        <f>MouserListTable1218[[#This Row],['#/Unit]]*FilterSpecs!$B$3+MouserListTable1218[[#This Row],[Extra Initial]]</f>
        <v>1</v>
      </c>
      <c r="G447" s="103"/>
      <c r="H447" s="103"/>
      <c r="I447" s="103" t="s">
        <v>2160</v>
      </c>
      <c r="K447" s="157">
        <v>7.95</v>
      </c>
      <c r="L447" s="103" t="s">
        <v>1910</v>
      </c>
      <c r="M447" s="106"/>
      <c r="N447" s="157">
        <f>MouserListTable1218[[#This Row],['# Initial]]*MouserListTable1218[[#This Row],[Price (USD)]]</f>
        <v>7.95</v>
      </c>
      <c r="O447" s="106" t="s">
        <v>2159</v>
      </c>
      <c r="P447" s="103">
        <f t="shared" si="10"/>
        <v>428</v>
      </c>
      <c r="Q447" s="103" t="s">
        <v>1898</v>
      </c>
      <c r="R44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485-1543</v>
      </c>
      <c r="S447" s="121">
        <v>0</v>
      </c>
      <c r="T447" s="121">
        <v>1</v>
      </c>
      <c r="U447" s="121">
        <v>1</v>
      </c>
      <c r="V447" s="121">
        <f>MouserListTable1218[[#This Row],['#/Unit]]*FilterSpecs!$C$3+MouserListTable1218[[#This Row],[Extra]]</f>
        <v>1</v>
      </c>
      <c r="W447" s="121">
        <f>IF(MouserListTable1218[[#This Row],[Tag]]=FilterSpecs!$F$7,MouserListTable1218[[#This Row],[Price (USD)]],0)</f>
        <v>0</v>
      </c>
      <c r="X447" s="121">
        <f>MouserListTable1218[[#This Row],[Tot '#]]*MouserListTable1218[[#This Row],[Price (USD)]]</f>
        <v>7.95</v>
      </c>
    </row>
    <row r="448" spans="1:24" s="146" customFormat="1" x14ac:dyDescent="0.3">
      <c r="A448" s="103" t="s">
        <v>897</v>
      </c>
      <c r="B448" s="103" t="s">
        <v>1892</v>
      </c>
      <c r="C448" s="103" t="s">
        <v>1898</v>
      </c>
      <c r="D448" s="106" t="str">
        <f>IF(MouserListTable1218[[#This Row],[Vendor]]=FilterSpecs!$A$8,MouserListTable1218[[#This Row],[Mouser SKU]], MouserListTable1218[[#This Row],[Supplier SKU]])</f>
        <v>3342</v>
      </c>
      <c r="E448" s="121">
        <f>MouserListTable1218[[#This Row],[Tot '#]]-MouserListTable1218[[#This Row],['# Initial]]</f>
        <v>0</v>
      </c>
      <c r="F448" s="121">
        <f>MouserListTable1218[[#This Row],['#/Unit]]*FilterSpecs!$B$3+MouserListTable1218[[#This Row],[Extra Initial]]</f>
        <v>0</v>
      </c>
      <c r="G448" s="103"/>
      <c r="H448" s="103"/>
      <c r="I448" s="126" t="s">
        <v>2170</v>
      </c>
      <c r="K448" s="158">
        <v>0</v>
      </c>
      <c r="L448" s="126" t="s">
        <v>1910</v>
      </c>
      <c r="N448" s="157">
        <f>MouserListTable1218[[#This Row],['# Initial]]*MouserListTable1218[[#This Row],[Price (USD)]]</f>
        <v>0</v>
      </c>
      <c r="O448" s="106" t="s">
        <v>2169</v>
      </c>
      <c r="P448" s="103">
        <f t="shared" si="10"/>
        <v>429</v>
      </c>
      <c r="Q448" s="103" t="s">
        <v>1898</v>
      </c>
      <c r="R44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485-3342</v>
      </c>
      <c r="S448" s="121">
        <v>0</v>
      </c>
      <c r="T448" s="121">
        <v>0</v>
      </c>
      <c r="U448" s="121">
        <v>0</v>
      </c>
      <c r="V448" s="121">
        <f>MouserListTable1218[[#This Row],['#/Unit]]*FilterSpecs!$C$3+MouserListTable1218[[#This Row],[Extra]]</f>
        <v>0</v>
      </c>
      <c r="W448" s="121">
        <f>IF(MouserListTable1218[[#This Row],[Tag]]=FilterSpecs!$F$7,MouserListTable1218[[#This Row],[Price (USD)]],0)</f>
        <v>0</v>
      </c>
      <c r="X448" s="121">
        <f>MouserListTable1218[[#This Row],[Tot '#]]*MouserListTable1218[[#This Row],[Price (USD)]]</f>
        <v>0</v>
      </c>
    </row>
    <row r="449" spans="1:24" s="146" customFormat="1" x14ac:dyDescent="0.3">
      <c r="A449" s="126" t="s">
        <v>897</v>
      </c>
      <c r="B449" s="126" t="s">
        <v>1892</v>
      </c>
      <c r="C449" s="126" t="s">
        <v>8</v>
      </c>
      <c r="D449" s="106" t="str">
        <f>IF(MouserListTable1218[[#This Row],[Vendor]]=FilterSpecs!$A$8,MouserListTable1218[[#This Row],[Mouser SKU]], MouserListTable1218[[#This Row],[Supplier SKU]])</f>
        <v>PRT-13010</v>
      </c>
      <c r="E449" s="121">
        <f>MouserListTable1218[[#This Row],[Tot '#]]-MouserListTable1218[[#This Row],['# Initial]]</f>
        <v>0</v>
      </c>
      <c r="F449" s="121">
        <f>MouserListTable1218[[#This Row],['#/Unit]]*FilterSpecs!$B$3+MouserListTable1218[[#This Row],[Extra Initial]]</f>
        <v>0</v>
      </c>
      <c r="G449" s="103" t="s">
        <v>768</v>
      </c>
      <c r="H449" s="103" t="s">
        <v>769</v>
      </c>
      <c r="I449" s="103" t="s">
        <v>770</v>
      </c>
      <c r="J449" s="103">
        <v>1</v>
      </c>
      <c r="K449" s="157">
        <v>0.5</v>
      </c>
      <c r="L449" s="103" t="s">
        <v>1910</v>
      </c>
      <c r="M449" s="103"/>
      <c r="N449" s="157">
        <f>MouserListTable1218[[#This Row],['# Initial]]*MouserListTable1218[[#This Row],[Price (USD)]]</f>
        <v>0</v>
      </c>
      <c r="O449" s="106" t="s">
        <v>767</v>
      </c>
      <c r="P449" s="103">
        <f t="shared" si="10"/>
        <v>430</v>
      </c>
      <c r="Q449" s="103" t="s">
        <v>8</v>
      </c>
      <c r="R44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474-PRT-13010</v>
      </c>
      <c r="S449" s="121">
        <v>0</v>
      </c>
      <c r="T449" s="121">
        <v>0</v>
      </c>
      <c r="U449" s="121">
        <v>0</v>
      </c>
      <c r="V449" s="121">
        <f>MouserListTable1218[[#This Row],['#/Unit]]*FilterSpecs!$C$3+MouserListTable1218[[#This Row],[Extra]]</f>
        <v>0</v>
      </c>
      <c r="W449" s="121">
        <f>IF(MouserListTable1218[[#This Row],[Tag]]=FilterSpecs!$F$7,MouserListTable1218[[#This Row],[Price (USD)]],0)</f>
        <v>0</v>
      </c>
      <c r="X449" s="121">
        <f>MouserListTable1218[[#This Row],[Tot '#]]*MouserListTable1218[[#This Row],[Price (USD)]]</f>
        <v>0</v>
      </c>
    </row>
    <row r="450" spans="1:24" s="146" customFormat="1" x14ac:dyDescent="0.3">
      <c r="A450" s="103" t="s">
        <v>897</v>
      </c>
      <c r="B450" s="103" t="s">
        <v>1892</v>
      </c>
      <c r="C450" s="103" t="s">
        <v>8</v>
      </c>
      <c r="D450" s="106" t="str">
        <f>IF(MouserListTable1218[[#This Row],[Vendor]]=FilterSpecs!$A$8,MouserListTable1218[[#This Row],[Mouser SKU]], MouserListTable1218[[#This Row],[Supplier SKU]])</f>
        <v>PRT-10877</v>
      </c>
      <c r="E450" s="121">
        <f>MouserListTable1218[[#This Row],[Tot '#]]-MouserListTable1218[[#This Row],['# Initial]]</f>
        <v>5</v>
      </c>
      <c r="F450" s="121">
        <f>MouserListTable1218[[#This Row],['#/Unit]]*FilterSpecs!$B$3+MouserListTable1218[[#This Row],[Extra Initial]]</f>
        <v>5</v>
      </c>
      <c r="G450" s="103" t="s">
        <v>1536</v>
      </c>
      <c r="H450" s="103" t="s">
        <v>1537</v>
      </c>
      <c r="I450" s="103" t="s">
        <v>1538</v>
      </c>
      <c r="J450" s="103">
        <v>1</v>
      </c>
      <c r="K450" s="157">
        <v>1.5</v>
      </c>
      <c r="L450" s="103" t="s">
        <v>1911</v>
      </c>
      <c r="M450" s="103"/>
      <c r="N450" s="157">
        <f>MouserListTable1218[[#This Row],['# Initial]]*MouserListTable1218[[#This Row],[Price (USD)]]</f>
        <v>7.5</v>
      </c>
      <c r="O450" s="106" t="s">
        <v>1535</v>
      </c>
      <c r="P450" s="103">
        <f t="shared" si="10"/>
        <v>431</v>
      </c>
      <c r="Q450" s="103" t="s">
        <v>8</v>
      </c>
      <c r="R45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474-PRT-10877</v>
      </c>
      <c r="S450" s="121">
        <v>1</v>
      </c>
      <c r="T450" s="121">
        <v>5</v>
      </c>
      <c r="U450" s="121">
        <v>0</v>
      </c>
      <c r="V450" s="121">
        <f>MouserListTable1218[[#This Row],['#/Unit]]*FilterSpecs!$C$3+MouserListTable1218[[#This Row],[Extra]]</f>
        <v>10</v>
      </c>
      <c r="W450" s="121">
        <f>IF(MouserListTable1218[[#This Row],[Tag]]=FilterSpecs!$F$7,MouserListTable1218[[#This Row],[Price (USD)]],0)</f>
        <v>1.5</v>
      </c>
      <c r="X450" s="121">
        <f>MouserListTable1218[[#This Row],[Tot '#]]*MouserListTable1218[[#This Row],[Price (USD)]]</f>
        <v>15</v>
      </c>
    </row>
    <row r="451" spans="1:24" s="146" customFormat="1" x14ac:dyDescent="0.3">
      <c r="A451" s="103" t="s">
        <v>897</v>
      </c>
      <c r="B451" s="103" t="s">
        <v>1892</v>
      </c>
      <c r="C451" s="103" t="s">
        <v>8</v>
      </c>
      <c r="D451" s="106" t="str">
        <f>IF(MouserListTable1218[[#This Row],[Vendor]]=FilterSpecs!$A$8,MouserListTable1218[[#This Row],[Mouser SKU]], MouserListTable1218[[#This Row],[Supplier SKU]])</f>
        <v>PRT-08506</v>
      </c>
      <c r="E451" s="121">
        <f>MouserListTable1218[[#This Row],[Tot '#]]-MouserListTable1218[[#This Row],['# Initial]]</f>
        <v>5</v>
      </c>
      <c r="F451" s="121">
        <f>MouserListTable1218[[#This Row],['#/Unit]]*FilterSpecs!$B$3+MouserListTable1218[[#This Row],[Extra Initial]]</f>
        <v>5</v>
      </c>
      <c r="G451" s="103" t="s">
        <v>1540</v>
      </c>
      <c r="H451" s="103" t="s">
        <v>1541</v>
      </c>
      <c r="I451" s="103" t="s">
        <v>1542</v>
      </c>
      <c r="J451" s="103">
        <v>1</v>
      </c>
      <c r="K451" s="157">
        <v>1.5</v>
      </c>
      <c r="L451" s="103" t="s">
        <v>1911</v>
      </c>
      <c r="M451" s="103"/>
      <c r="N451" s="157">
        <f>MouserListTable1218[[#This Row],['# Initial]]*MouserListTable1218[[#This Row],[Price (USD)]]</f>
        <v>7.5</v>
      </c>
      <c r="O451" s="106" t="s">
        <v>1539</v>
      </c>
      <c r="P451" s="103">
        <f t="shared" si="10"/>
        <v>432</v>
      </c>
      <c r="Q451" s="103" t="s">
        <v>8</v>
      </c>
      <c r="R45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474-PRT-08506</v>
      </c>
      <c r="S451" s="121">
        <v>1</v>
      </c>
      <c r="T451" s="121">
        <v>5</v>
      </c>
      <c r="U451" s="121">
        <v>0</v>
      </c>
      <c r="V451" s="121">
        <f>MouserListTable1218[[#This Row],['#/Unit]]*FilterSpecs!$C$3+MouserListTable1218[[#This Row],[Extra]]</f>
        <v>10</v>
      </c>
      <c r="W451" s="121">
        <f>IF(MouserListTable1218[[#This Row],[Tag]]=FilterSpecs!$F$7,MouserListTable1218[[#This Row],[Price (USD)]],0)</f>
        <v>1.5</v>
      </c>
      <c r="X451" s="121">
        <f>MouserListTable1218[[#This Row],[Tot '#]]*MouserListTable1218[[#This Row],[Price (USD)]]</f>
        <v>15</v>
      </c>
    </row>
    <row r="452" spans="1:24" s="146" customFormat="1" x14ac:dyDescent="0.3">
      <c r="A452" s="128" t="s">
        <v>897</v>
      </c>
      <c r="B452" s="128" t="s">
        <v>1892</v>
      </c>
      <c r="C452" s="128" t="s">
        <v>1898</v>
      </c>
      <c r="D452" s="106" t="str">
        <f>IF(MouserListTable1218[[#This Row],[Vendor]]=FilterSpecs!$A$8,MouserListTable1218[[#This Row],[Mouser SKU]], MouserListTable1218[[#This Row],[Supplier SKU]])</f>
        <v>1465</v>
      </c>
      <c r="E452" s="121">
        <f>MouserListTable1218[[#This Row],[Tot '#]]-MouserListTable1218[[#This Row],['# Initial]]</f>
        <v>0</v>
      </c>
      <c r="F452" s="121">
        <f>MouserListTable1218[[#This Row],['#/Unit]]*FilterSpecs!$B$3+MouserListTable1218[[#This Row],[Extra Initial]]</f>
        <v>0</v>
      </c>
      <c r="I452" s="128" t="s">
        <v>2480</v>
      </c>
      <c r="J452" s="153">
        <v>116</v>
      </c>
      <c r="K452" s="159">
        <v>0.95</v>
      </c>
      <c r="L452" s="126" t="s">
        <v>1910</v>
      </c>
      <c r="N452" s="157">
        <f>MouserListTable1218[[#This Row],['# Initial]]*MouserListTable1218[[#This Row],[Price (USD)]]</f>
        <v>0</v>
      </c>
      <c r="O452" s="153" t="s">
        <v>2481</v>
      </c>
      <c r="P452" s="103">
        <f t="shared" si="10"/>
        <v>433</v>
      </c>
      <c r="Q452" s="103" t="s">
        <v>1898</v>
      </c>
      <c r="R45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485-1465</v>
      </c>
      <c r="S452" s="121">
        <v>0</v>
      </c>
      <c r="T452" s="121">
        <v>0</v>
      </c>
      <c r="U452" s="121">
        <v>0</v>
      </c>
      <c r="V452" s="121">
        <f>MouserListTable1218[[#This Row],['#/Unit]]*FilterSpecs!$C$3+MouserListTable1218[[#This Row],[Extra]]</f>
        <v>0</v>
      </c>
      <c r="W452" s="121">
        <f>IF(MouserListTable1218[[#This Row],[Tag]]=FilterSpecs!$F$7,MouserListTable1218[[#This Row],[Price (USD)]],0)</f>
        <v>0</v>
      </c>
      <c r="X452" s="121">
        <f>MouserListTable1218[[#This Row],[Tot '#]]*MouserListTable1218[[#This Row],[Price (USD)]]</f>
        <v>0</v>
      </c>
    </row>
    <row r="453" spans="1:24" s="146" customFormat="1" x14ac:dyDescent="0.3">
      <c r="A453" s="126" t="s">
        <v>897</v>
      </c>
      <c r="B453" s="126" t="s">
        <v>1892</v>
      </c>
      <c r="C453" s="126" t="s">
        <v>8</v>
      </c>
      <c r="D453" s="106" t="str">
        <f>IF(MouserListTable1218[[#This Row],[Vendor]]=FilterSpecs!$A$8,MouserListTable1218[[#This Row],[Mouser SKU]], MouserListTable1218[[#This Row],[Supplier SKU]])</f>
        <v>PRT-08272</v>
      </c>
      <c r="E453" s="121">
        <f>MouserListTable1218[[#This Row],[Tot '#]]-MouserListTable1218[[#This Row],['# Initial]]</f>
        <v>0</v>
      </c>
      <c r="F453" s="121">
        <f>MouserListTable1218[[#This Row],['#/Unit]]*FilterSpecs!$B$3+MouserListTable1218[[#This Row],[Extra Initial]]</f>
        <v>0</v>
      </c>
      <c r="G453" s="103" t="s">
        <v>780</v>
      </c>
      <c r="H453" s="103" t="s">
        <v>781</v>
      </c>
      <c r="I453" s="103" t="s">
        <v>782</v>
      </c>
      <c r="J453" s="103">
        <v>1</v>
      </c>
      <c r="K453" s="157">
        <v>1</v>
      </c>
      <c r="L453" s="103" t="s">
        <v>1910</v>
      </c>
      <c r="M453" s="103"/>
      <c r="N453" s="157">
        <f>MouserListTable1218[[#This Row],['# Initial]]*MouserListTable1218[[#This Row],[Price (USD)]]</f>
        <v>0</v>
      </c>
      <c r="O453" s="106" t="s">
        <v>779</v>
      </c>
      <c r="P453" s="103">
        <f t="shared" si="10"/>
        <v>434</v>
      </c>
      <c r="Q453" s="103" t="s">
        <v>8</v>
      </c>
      <c r="R45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474-PRT-08272</v>
      </c>
      <c r="S453" s="121">
        <v>0</v>
      </c>
      <c r="T453" s="121">
        <v>0</v>
      </c>
      <c r="U453" s="121">
        <v>0</v>
      </c>
      <c r="V453" s="121">
        <f>MouserListTable1218[[#This Row],['#/Unit]]*FilterSpecs!$C$3+MouserListTable1218[[#This Row],[Extra]]</f>
        <v>0</v>
      </c>
      <c r="W453" s="121">
        <f>IF(MouserListTable1218[[#This Row],[Tag]]=FilterSpecs!$F$7,MouserListTable1218[[#This Row],[Price (USD)]],0)</f>
        <v>0</v>
      </c>
      <c r="X453" s="121">
        <f>MouserListTable1218[[#This Row],[Tot '#]]*MouserListTable1218[[#This Row],[Price (USD)]]</f>
        <v>0</v>
      </c>
    </row>
    <row r="454" spans="1:24" s="146" customFormat="1" x14ac:dyDescent="0.3">
      <c r="A454" s="103" t="s">
        <v>897</v>
      </c>
      <c r="B454" s="103" t="s">
        <v>1892</v>
      </c>
      <c r="C454" s="103" t="s">
        <v>1898</v>
      </c>
      <c r="D454" s="106" t="str">
        <f>IF(MouserListTable1218[[#This Row],[Vendor]]=FilterSpecs!$A$8,MouserListTable1218[[#This Row],[Mouser SKU]], MouserListTable1218[[#This Row],[Supplier SKU]])</f>
        <v>366</v>
      </c>
      <c r="E454" s="121">
        <f>MouserListTable1218[[#This Row],[Tot '#]]-MouserListTable1218[[#This Row],['# Initial]]</f>
        <v>0</v>
      </c>
      <c r="F454" s="121">
        <f>MouserListTable1218[[#This Row],['#/Unit]]*FilterSpecs!$B$3+MouserListTable1218[[#This Row],[Extra Initial]]</f>
        <v>2</v>
      </c>
      <c r="G454" s="103"/>
      <c r="H454" s="103"/>
      <c r="I454" s="103" t="s">
        <v>2166</v>
      </c>
      <c r="K454" s="157">
        <v>0.95</v>
      </c>
      <c r="L454" s="103" t="s">
        <v>1910</v>
      </c>
      <c r="M454" s="106"/>
      <c r="N454" s="157">
        <f>MouserListTable1218[[#This Row],['# Initial]]*MouserListTable1218[[#This Row],[Price (USD)]]</f>
        <v>1.9</v>
      </c>
      <c r="O454" s="106" t="s">
        <v>2165</v>
      </c>
      <c r="P454" s="103">
        <f t="shared" si="10"/>
        <v>435</v>
      </c>
      <c r="Q454" s="103" t="s">
        <v>1898</v>
      </c>
      <c r="R45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485-366</v>
      </c>
      <c r="S454" s="121">
        <v>0</v>
      </c>
      <c r="T454" s="121">
        <v>2</v>
      </c>
      <c r="U454" s="121">
        <v>2</v>
      </c>
      <c r="V454" s="121">
        <f>MouserListTable1218[[#This Row],['#/Unit]]*FilterSpecs!$C$3+MouserListTable1218[[#This Row],[Extra]]</f>
        <v>2</v>
      </c>
      <c r="W454" s="121">
        <f>IF(MouserListTable1218[[#This Row],[Tag]]=FilterSpecs!$F$7,MouserListTable1218[[#This Row],[Price (USD)]],0)</f>
        <v>0</v>
      </c>
      <c r="X454" s="121">
        <f>MouserListTable1218[[#This Row],[Tot '#]]*MouserListTable1218[[#This Row],[Price (USD)]]</f>
        <v>1.9</v>
      </c>
    </row>
    <row r="455" spans="1:24" s="146" customFormat="1" x14ac:dyDescent="0.3">
      <c r="A455" s="103" t="s">
        <v>897</v>
      </c>
      <c r="B455" s="103" t="s">
        <v>1892</v>
      </c>
      <c r="C455" s="103" t="s">
        <v>1898</v>
      </c>
      <c r="D455" s="106" t="str">
        <f>IF(MouserListTable1218[[#This Row],[Vendor]]=FilterSpecs!$A$8,MouserListTable1218[[#This Row],[Mouser SKU]], MouserListTable1218[[#This Row],[Supplier SKU]])</f>
        <v>2672</v>
      </c>
      <c r="E455" s="121">
        <f>MouserListTable1218[[#This Row],[Tot '#]]-MouserListTable1218[[#This Row],['# Initial]]</f>
        <v>0</v>
      </c>
      <c r="F455" s="121">
        <f>MouserListTable1218[[#This Row],['#/Unit]]*FilterSpecs!$B$3+MouserListTable1218[[#This Row],[Extra Initial]]</f>
        <v>1</v>
      </c>
      <c r="G455" s="103"/>
      <c r="H455" s="103"/>
      <c r="I455" s="103" t="s">
        <v>2168</v>
      </c>
      <c r="K455" s="157">
        <v>3.95</v>
      </c>
      <c r="L455" s="103" t="s">
        <v>1910</v>
      </c>
      <c r="M455" s="106"/>
      <c r="N455" s="157">
        <f>MouserListTable1218[[#This Row],['# Initial]]*MouserListTable1218[[#This Row],[Price (USD)]]</f>
        <v>3.95</v>
      </c>
      <c r="O455" s="106" t="s">
        <v>2167</v>
      </c>
      <c r="P455" s="103">
        <f t="shared" si="10"/>
        <v>436</v>
      </c>
      <c r="Q455" s="103" t="s">
        <v>1898</v>
      </c>
      <c r="R45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485-2672</v>
      </c>
      <c r="S455" s="121">
        <v>0</v>
      </c>
      <c r="T455" s="121">
        <v>1</v>
      </c>
      <c r="U455" s="121">
        <v>1</v>
      </c>
      <c r="V455" s="121">
        <f>MouserListTable1218[[#This Row],['#/Unit]]*FilterSpecs!$C$3+MouserListTable1218[[#This Row],[Extra]]</f>
        <v>1</v>
      </c>
      <c r="W455" s="121">
        <f>IF(MouserListTable1218[[#This Row],[Tag]]=FilterSpecs!$F$7,MouserListTable1218[[#This Row],[Price (USD)]],0)</f>
        <v>0</v>
      </c>
      <c r="X455" s="121">
        <f>MouserListTable1218[[#This Row],[Tot '#]]*MouserListTable1218[[#This Row],[Price (USD)]]</f>
        <v>3.95</v>
      </c>
    </row>
    <row r="456" spans="1:24" s="146" customFormat="1" x14ac:dyDescent="0.3">
      <c r="A456" s="103" t="s">
        <v>897</v>
      </c>
      <c r="B456" s="103" t="s">
        <v>1890</v>
      </c>
      <c r="C456" s="103" t="s">
        <v>8</v>
      </c>
      <c r="D456" s="106" t="str">
        <f>IF(MouserListTable1218[[#This Row],[Vendor]]=FilterSpecs!$A$8,MouserListTable1218[[#This Row],[Mouser SKU]], MouserListTable1218[[#This Row],[Supplier SKU]])</f>
        <v>COM-14087</v>
      </c>
      <c r="E456" s="121">
        <f>MouserListTable1218[[#This Row],[Tot '#]]-MouserListTable1218[[#This Row],['# Initial]]</f>
        <v>0</v>
      </c>
      <c r="F456" s="121">
        <f>MouserListTable1218[[#This Row],['#/Unit]]*FilterSpecs!$B$3+MouserListTable1218[[#This Row],[Extra Initial]]</f>
        <v>15</v>
      </c>
      <c r="G456" s="103" t="s">
        <v>824</v>
      </c>
      <c r="H456" s="103" t="s">
        <v>825</v>
      </c>
      <c r="I456" s="103" t="s">
        <v>826</v>
      </c>
      <c r="J456" s="103">
        <v>1</v>
      </c>
      <c r="K456" s="157">
        <v>1.95</v>
      </c>
      <c r="L456" s="103" t="s">
        <v>1913</v>
      </c>
      <c r="M456" s="103"/>
      <c r="N456" s="157">
        <f>MouserListTable1218[[#This Row],['# Initial]]*MouserListTable1218[[#This Row],[Price (USD)]]</f>
        <v>29.25</v>
      </c>
      <c r="O456" s="106" t="s">
        <v>823</v>
      </c>
      <c r="P456" s="103">
        <f t="shared" si="10"/>
        <v>437</v>
      </c>
      <c r="Q456" s="103" t="s">
        <v>8</v>
      </c>
      <c r="R45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474-COM-14087</v>
      </c>
      <c r="S456" s="121">
        <v>3</v>
      </c>
      <c r="T456" s="121">
        <v>0</v>
      </c>
      <c r="U456" s="121">
        <v>0</v>
      </c>
      <c r="V456" s="121">
        <f>MouserListTable1218[[#This Row],['#/Unit]]*FilterSpecs!$C$3+MouserListTable1218[[#This Row],[Extra]]</f>
        <v>15</v>
      </c>
      <c r="W456" s="121">
        <f>IF(MouserListTable1218[[#This Row],[Tag]]=FilterSpecs!$F$7,MouserListTable1218[[#This Row],[Price (USD)]],0)</f>
        <v>0</v>
      </c>
      <c r="X456" s="121">
        <f>MouserListTable1218[[#This Row],[Tot '#]]*MouserListTable1218[[#This Row],[Price (USD)]]</f>
        <v>29.25</v>
      </c>
    </row>
    <row r="457" spans="1:24" s="146" customFormat="1" x14ac:dyDescent="0.3">
      <c r="A457" s="126" t="s">
        <v>897</v>
      </c>
      <c r="B457" s="126" t="s">
        <v>1890</v>
      </c>
      <c r="C457" s="126" t="s">
        <v>8</v>
      </c>
      <c r="D457" s="106" t="str">
        <f>IF(MouserListTable1218[[#This Row],[Vendor]]=FilterSpecs!$A$8,MouserListTable1218[[#This Row],[Mouser SKU]], MouserListTable1218[[#This Row],[Supplier SKU]])</f>
        <v>COM-14085</v>
      </c>
      <c r="E457" s="121">
        <f>MouserListTable1218[[#This Row],[Tot '#]]-MouserListTable1218[[#This Row],['# Initial]]</f>
        <v>0</v>
      </c>
      <c r="F457" s="121">
        <f>MouserListTable1218[[#This Row],['#/Unit]]*FilterSpecs!$B$3+MouserListTable1218[[#This Row],[Extra Initial]]</f>
        <v>0</v>
      </c>
      <c r="G457" s="103" t="s">
        <v>820</v>
      </c>
      <c r="H457" s="103" t="s">
        <v>821</v>
      </c>
      <c r="I457" s="103" t="s">
        <v>822</v>
      </c>
      <c r="J457" s="103">
        <v>1</v>
      </c>
      <c r="K457" s="157">
        <v>0.95</v>
      </c>
      <c r="L457" s="103" t="s">
        <v>1910</v>
      </c>
      <c r="M457" s="103"/>
      <c r="N457" s="157">
        <f>MouserListTable1218[[#This Row],['# Initial]]*MouserListTable1218[[#This Row],[Price (USD)]]</f>
        <v>0</v>
      </c>
      <c r="O457" s="106" t="s">
        <v>819</v>
      </c>
      <c r="P457" s="103">
        <f t="shared" si="10"/>
        <v>438</v>
      </c>
      <c r="Q457" s="103" t="s">
        <v>8</v>
      </c>
      <c r="R45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474-COM-14085</v>
      </c>
      <c r="S457" s="121">
        <v>0</v>
      </c>
      <c r="T457" s="121">
        <v>0</v>
      </c>
      <c r="U457" s="121">
        <v>0</v>
      </c>
      <c r="V457" s="121">
        <f>MouserListTable1218[[#This Row],['#/Unit]]*FilterSpecs!$C$3+MouserListTable1218[[#This Row],[Extra]]</f>
        <v>0</v>
      </c>
      <c r="W457" s="121">
        <f>IF(MouserListTable1218[[#This Row],[Tag]]=FilterSpecs!$F$7,MouserListTable1218[[#This Row],[Price (USD)]],0)</f>
        <v>0</v>
      </c>
      <c r="X457" s="121">
        <f>MouserListTable1218[[#This Row],[Tot '#]]*MouserListTable1218[[#This Row],[Price (USD)]]</f>
        <v>0</v>
      </c>
    </row>
    <row r="458" spans="1:24" s="144" customFormat="1" x14ac:dyDescent="0.3">
      <c r="A458" s="106" t="s">
        <v>897</v>
      </c>
      <c r="B458" s="106" t="s">
        <v>2025</v>
      </c>
      <c r="C458" s="106" t="s">
        <v>1898</v>
      </c>
      <c r="D458" s="106" t="str">
        <f>IF(MouserListTable1218[[#This Row],[Vendor]]=FilterSpecs!$A$8,MouserListTable1218[[#This Row],[Mouser SKU]], MouserListTable1218[[#This Row],[Supplier SKU]])</f>
        <v>3145</v>
      </c>
      <c r="E458" s="121">
        <f>MouserListTable1218[[#This Row],[Tot '#]]-MouserListTable1218[[#This Row],['# Initial]]</f>
        <v>0</v>
      </c>
      <c r="F458" s="121">
        <f>MouserListTable1218[[#This Row],['#/Unit]]*FilterSpecs!$B$3+MouserListTable1218[[#This Row],[Extra Initial]]</f>
        <v>3</v>
      </c>
      <c r="G458" s="103"/>
      <c r="H458" s="103"/>
      <c r="I458" s="106" t="s">
        <v>2206</v>
      </c>
      <c r="J458" s="146"/>
      <c r="K458" s="157">
        <v>1.95</v>
      </c>
      <c r="L458" s="106" t="s">
        <v>1910</v>
      </c>
      <c r="M458" s="106"/>
      <c r="N458" s="157">
        <f>MouserListTable1218[[#This Row],['# Initial]]*MouserListTable1218[[#This Row],[Price (USD)]]</f>
        <v>5.85</v>
      </c>
      <c r="O458" s="106" t="s">
        <v>2205</v>
      </c>
      <c r="P458" s="103">
        <f t="shared" si="10"/>
        <v>439</v>
      </c>
      <c r="Q458" s="103" t="s">
        <v>1898</v>
      </c>
      <c r="R45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485-3145</v>
      </c>
      <c r="S458" s="121">
        <v>0</v>
      </c>
      <c r="T458" s="121">
        <v>3</v>
      </c>
      <c r="U458" s="121">
        <v>3</v>
      </c>
      <c r="V458" s="121">
        <f>MouserListTable1218[[#This Row],['#/Unit]]*FilterSpecs!$C$3+MouserListTable1218[[#This Row],[Extra]]</f>
        <v>3</v>
      </c>
      <c r="W458" s="121">
        <f>IF(MouserListTable1218[[#This Row],[Tag]]=FilterSpecs!$F$7,MouserListTable1218[[#This Row],[Price (USD)]],0)</f>
        <v>0</v>
      </c>
      <c r="X458" s="121">
        <f>MouserListTable1218[[#This Row],[Tot '#]]*MouserListTable1218[[#This Row],[Price (USD)]]</f>
        <v>5.85</v>
      </c>
    </row>
    <row r="459" spans="1:24" s="144" customFormat="1" x14ac:dyDescent="0.3">
      <c r="A459" s="106" t="s">
        <v>897</v>
      </c>
      <c r="B459" s="106" t="s">
        <v>2025</v>
      </c>
      <c r="C459" s="106" t="s">
        <v>1898</v>
      </c>
      <c r="D459" s="106" t="str">
        <f>IF(MouserListTable1218[[#This Row],[Vendor]]=FilterSpecs!$A$8,MouserListTable1218[[#This Row],[Mouser SKU]], MouserListTable1218[[#This Row],[Supplier SKU]])</f>
        <v>3144</v>
      </c>
      <c r="E459" s="121">
        <f>MouserListTable1218[[#This Row],[Tot '#]]-MouserListTable1218[[#This Row],['# Initial]]</f>
        <v>0</v>
      </c>
      <c r="F459" s="121">
        <f>MouserListTable1218[[#This Row],['#/Unit]]*FilterSpecs!$B$3+MouserListTable1218[[#This Row],[Extra Initial]]</f>
        <v>1</v>
      </c>
      <c r="G459" s="103"/>
      <c r="H459" s="103"/>
      <c r="I459" s="106" t="s">
        <v>2196</v>
      </c>
      <c r="J459" s="146"/>
      <c r="K459" s="157">
        <v>3.95</v>
      </c>
      <c r="L459" s="106" t="s">
        <v>1910</v>
      </c>
      <c r="M459" s="106"/>
      <c r="N459" s="157">
        <f>MouserListTable1218[[#This Row],['# Initial]]*MouserListTable1218[[#This Row],[Price (USD)]]</f>
        <v>3.95</v>
      </c>
      <c r="O459" s="106" t="s">
        <v>2195</v>
      </c>
      <c r="P459" s="103">
        <f t="shared" si="10"/>
        <v>440</v>
      </c>
      <c r="Q459" s="103" t="s">
        <v>1898</v>
      </c>
      <c r="R45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485-3144</v>
      </c>
      <c r="S459" s="121">
        <v>0</v>
      </c>
      <c r="T459" s="121">
        <v>1</v>
      </c>
      <c r="U459" s="121">
        <v>1</v>
      </c>
      <c r="V459" s="121">
        <f>MouserListTable1218[[#This Row],['#/Unit]]*FilterSpecs!$C$3+MouserListTable1218[[#This Row],[Extra]]</f>
        <v>1</v>
      </c>
      <c r="W459" s="121">
        <f>IF(MouserListTable1218[[#This Row],[Tag]]=FilterSpecs!$F$7,MouserListTable1218[[#This Row],[Price (USD)]],0)</f>
        <v>0</v>
      </c>
      <c r="X459" s="121">
        <f>MouserListTable1218[[#This Row],[Tot '#]]*MouserListTable1218[[#This Row],[Price (USD)]]</f>
        <v>3.95</v>
      </c>
    </row>
    <row r="460" spans="1:24" s="144" customFormat="1" x14ac:dyDescent="0.3">
      <c r="A460" s="106" t="s">
        <v>897</v>
      </c>
      <c r="B460" s="106" t="s">
        <v>2025</v>
      </c>
      <c r="C460" s="106" t="s">
        <v>1898</v>
      </c>
      <c r="D460" s="106" t="str">
        <f>IF(MouserListTable1218[[#This Row],[Vendor]]=FilterSpecs!$A$8,MouserListTable1218[[#This Row],[Mouser SKU]], MouserListTable1218[[#This Row],[Supplier SKU]])</f>
        <v>3143</v>
      </c>
      <c r="E460" s="121">
        <f>MouserListTable1218[[#This Row],[Tot '#]]-MouserListTable1218[[#This Row],['# Initial]]</f>
        <v>0</v>
      </c>
      <c r="F460" s="121">
        <f>MouserListTable1218[[#This Row],['#/Unit]]*FilterSpecs!$B$3+MouserListTable1218[[#This Row],[Extra Initial]]</f>
        <v>2</v>
      </c>
      <c r="G460" s="103"/>
      <c r="H460" s="103"/>
      <c r="I460" s="106" t="s">
        <v>2204</v>
      </c>
      <c r="J460" s="146"/>
      <c r="K460" s="157">
        <v>1.95</v>
      </c>
      <c r="L460" s="106" t="s">
        <v>1910</v>
      </c>
      <c r="M460" s="106"/>
      <c r="N460" s="157">
        <f>MouserListTable1218[[#This Row],['# Initial]]*MouserListTable1218[[#This Row],[Price (USD)]]</f>
        <v>3.9</v>
      </c>
      <c r="O460" s="106" t="s">
        <v>2203</v>
      </c>
      <c r="P460" s="103">
        <f t="shared" si="10"/>
        <v>441</v>
      </c>
      <c r="Q460" s="103" t="s">
        <v>1898</v>
      </c>
      <c r="R46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485-3143</v>
      </c>
      <c r="S460" s="121">
        <v>0</v>
      </c>
      <c r="T460" s="121">
        <v>2</v>
      </c>
      <c r="U460" s="121">
        <v>2</v>
      </c>
      <c r="V460" s="121">
        <f>MouserListTable1218[[#This Row],['#/Unit]]*FilterSpecs!$C$3+MouserListTable1218[[#This Row],[Extra]]</f>
        <v>2</v>
      </c>
      <c r="W460" s="121">
        <f>IF(MouserListTable1218[[#This Row],[Tag]]=FilterSpecs!$F$7,MouserListTable1218[[#This Row],[Price (USD)]],0)</f>
        <v>0</v>
      </c>
      <c r="X460" s="121">
        <f>MouserListTable1218[[#This Row],[Tot '#]]*MouserListTable1218[[#This Row],[Price (USD)]]</f>
        <v>3.9</v>
      </c>
    </row>
    <row r="461" spans="1:24" s="144" customFormat="1" x14ac:dyDescent="0.3">
      <c r="A461" s="106" t="s">
        <v>897</v>
      </c>
      <c r="B461" s="106" t="s">
        <v>2025</v>
      </c>
      <c r="C461" s="106" t="s">
        <v>1898</v>
      </c>
      <c r="D461" s="106" t="str">
        <f>IF(MouserListTable1218[[#This Row],[Vendor]]=FilterSpecs!$A$8,MouserListTable1218[[#This Row],[Mouser SKU]], MouserListTable1218[[#This Row],[Supplier SKU]])</f>
        <v>3146</v>
      </c>
      <c r="E461" s="121">
        <f>MouserListTable1218[[#This Row],[Tot '#]]-MouserListTable1218[[#This Row],['# Initial]]</f>
        <v>0</v>
      </c>
      <c r="F461" s="121">
        <f>MouserListTable1218[[#This Row],['#/Unit]]*FilterSpecs!$B$3+MouserListTable1218[[#This Row],[Extra Initial]]</f>
        <v>1</v>
      </c>
      <c r="G461" s="103"/>
      <c r="H461" s="103"/>
      <c r="I461" s="106" t="s">
        <v>2198</v>
      </c>
      <c r="J461" s="146"/>
      <c r="K461" s="157">
        <v>2.95</v>
      </c>
      <c r="L461" s="106" t="s">
        <v>1910</v>
      </c>
      <c r="M461" s="106"/>
      <c r="N461" s="157">
        <f>MouserListTable1218[[#This Row],['# Initial]]*MouserListTable1218[[#This Row],[Price (USD)]]</f>
        <v>2.95</v>
      </c>
      <c r="O461" s="106" t="s">
        <v>2197</v>
      </c>
      <c r="P461" s="103">
        <f t="shared" si="10"/>
        <v>442</v>
      </c>
      <c r="Q461" s="103" t="s">
        <v>1898</v>
      </c>
      <c r="R46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485-3146</v>
      </c>
      <c r="S461" s="121">
        <v>0</v>
      </c>
      <c r="T461" s="121">
        <v>1</v>
      </c>
      <c r="U461" s="121">
        <v>1</v>
      </c>
      <c r="V461" s="121">
        <f>MouserListTable1218[[#This Row],['#/Unit]]*FilterSpecs!$C$3+MouserListTable1218[[#This Row],[Extra]]</f>
        <v>1</v>
      </c>
      <c r="W461" s="121">
        <f>IF(MouserListTable1218[[#This Row],[Tag]]=FilterSpecs!$F$7,MouserListTable1218[[#This Row],[Price (USD)]],0)</f>
        <v>0</v>
      </c>
      <c r="X461" s="121">
        <f>MouserListTable1218[[#This Row],[Tot '#]]*MouserListTable1218[[#This Row],[Price (USD)]]</f>
        <v>2.95</v>
      </c>
    </row>
    <row r="462" spans="1:24" s="144" customFormat="1" x14ac:dyDescent="0.3">
      <c r="A462" s="106" t="s">
        <v>897</v>
      </c>
      <c r="B462" s="106" t="s">
        <v>2025</v>
      </c>
      <c r="C462" s="106" t="s">
        <v>1898</v>
      </c>
      <c r="D462" s="106" t="str">
        <f>IF(MouserListTable1218[[#This Row],[Vendor]]=FilterSpecs!$A$8,MouserListTable1218[[#This Row],[Mouser SKU]], MouserListTable1218[[#This Row],[Supplier SKU]])</f>
        <v>3141</v>
      </c>
      <c r="E462" s="121">
        <f>MouserListTable1218[[#This Row],[Tot '#]]-MouserListTable1218[[#This Row],['# Initial]]</f>
        <v>5</v>
      </c>
      <c r="F462" s="121">
        <f>MouserListTable1218[[#This Row],['#/Unit]]*FilterSpecs!$B$3+MouserListTable1218[[#This Row],[Extra Initial]]</f>
        <v>5</v>
      </c>
      <c r="G462" s="103"/>
      <c r="H462" s="103"/>
      <c r="I462" s="106" t="s">
        <v>2200</v>
      </c>
      <c r="J462" s="146"/>
      <c r="K462" s="157">
        <v>2.95</v>
      </c>
      <c r="L462" s="106" t="s">
        <v>1911</v>
      </c>
      <c r="M462" s="106"/>
      <c r="N462" s="157">
        <f>MouserListTable1218[[#This Row],['# Initial]]*MouserListTable1218[[#This Row],[Price (USD)]]</f>
        <v>14.75</v>
      </c>
      <c r="O462" s="106" t="s">
        <v>2199</v>
      </c>
      <c r="P462" s="103">
        <f t="shared" ref="P462:P525" si="11">IF($P461="List #",1,$P461+1)</f>
        <v>443</v>
      </c>
      <c r="Q462" s="103" t="s">
        <v>1898</v>
      </c>
      <c r="R46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485-3141</v>
      </c>
      <c r="S462" s="121">
        <v>1</v>
      </c>
      <c r="T462" s="121">
        <v>5</v>
      </c>
      <c r="U462" s="121">
        <v>0</v>
      </c>
      <c r="V462" s="121">
        <f>MouserListTable1218[[#This Row],['#/Unit]]*FilterSpecs!$C$3+MouserListTable1218[[#This Row],[Extra]]</f>
        <v>10</v>
      </c>
      <c r="W462" s="121">
        <f>IF(MouserListTable1218[[#This Row],[Tag]]=FilterSpecs!$F$7,MouserListTable1218[[#This Row],[Price (USD)]],0)</f>
        <v>2.95</v>
      </c>
      <c r="X462" s="121">
        <f>MouserListTable1218[[#This Row],[Tot '#]]*MouserListTable1218[[#This Row],[Price (USD)]]</f>
        <v>29.5</v>
      </c>
    </row>
    <row r="463" spans="1:24" s="144" customFormat="1" x14ac:dyDescent="0.3">
      <c r="A463" s="106" t="s">
        <v>897</v>
      </c>
      <c r="B463" s="106" t="s">
        <v>2025</v>
      </c>
      <c r="C463" s="106" t="s">
        <v>1898</v>
      </c>
      <c r="D463" s="106" t="str">
        <f>IF(MouserListTable1218[[#This Row],[Vendor]]=FilterSpecs!$A$8,MouserListTable1218[[#This Row],[Mouser SKU]], MouserListTable1218[[#This Row],[Supplier SKU]])</f>
        <v>3142</v>
      </c>
      <c r="E463" s="121">
        <f>MouserListTable1218[[#This Row],[Tot '#]]-MouserListTable1218[[#This Row],['# Initial]]</f>
        <v>5</v>
      </c>
      <c r="F463" s="121">
        <f>MouserListTable1218[[#This Row],['#/Unit]]*FilterSpecs!$B$3+MouserListTable1218[[#This Row],[Extra Initial]]</f>
        <v>5</v>
      </c>
      <c r="G463" s="103"/>
      <c r="H463" s="103"/>
      <c r="I463" s="106" t="s">
        <v>2202</v>
      </c>
      <c r="J463" s="146"/>
      <c r="K463" s="157">
        <v>3.95</v>
      </c>
      <c r="L463" s="106" t="s">
        <v>1911</v>
      </c>
      <c r="M463" s="106"/>
      <c r="N463" s="157">
        <f>MouserListTable1218[[#This Row],['# Initial]]*MouserListTable1218[[#This Row],[Price (USD)]]</f>
        <v>19.75</v>
      </c>
      <c r="O463" s="106" t="s">
        <v>2201</v>
      </c>
      <c r="P463" s="103">
        <f t="shared" si="11"/>
        <v>444</v>
      </c>
      <c r="Q463" s="103" t="s">
        <v>1898</v>
      </c>
      <c r="R46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485-3142</v>
      </c>
      <c r="S463" s="121">
        <v>1</v>
      </c>
      <c r="T463" s="121">
        <v>5</v>
      </c>
      <c r="U463" s="121">
        <v>0</v>
      </c>
      <c r="V463" s="121">
        <f>MouserListTable1218[[#This Row],['#/Unit]]*FilterSpecs!$C$3+MouserListTable1218[[#This Row],[Extra]]</f>
        <v>10</v>
      </c>
      <c r="W463" s="121">
        <f>IF(MouserListTable1218[[#This Row],[Tag]]=FilterSpecs!$F$7,MouserListTable1218[[#This Row],[Price (USD)]],0)</f>
        <v>3.95</v>
      </c>
      <c r="X463" s="121">
        <f>MouserListTable1218[[#This Row],[Tot '#]]*MouserListTable1218[[#This Row],[Price (USD)]]</f>
        <v>39.5</v>
      </c>
    </row>
    <row r="464" spans="1:24" s="144" customFormat="1" x14ac:dyDescent="0.3">
      <c r="A464" s="146" t="s">
        <v>897</v>
      </c>
      <c r="B464" s="146" t="s">
        <v>2434</v>
      </c>
      <c r="C464" s="146" t="s">
        <v>8</v>
      </c>
      <c r="D464" s="106" t="str">
        <f>IF(MouserListTable1218[[#This Row],[Vendor]]=FilterSpecs!$A$8,MouserListTable1218[[#This Row],[Mouser SKU]], MouserListTable1218[[#This Row],[Supplier SKU]])</f>
        <v>PRT-08671</v>
      </c>
      <c r="E464" s="121">
        <f>MouserListTable1218[[#This Row],[Tot '#]]-MouserListTable1218[[#This Row],['# Initial]]</f>
        <v>0</v>
      </c>
      <c r="F464" s="121">
        <f>MouserListTable1218[[#This Row],['#/Unit]]*FilterSpecs!$B$3+MouserListTable1218[[#This Row],[Extra Initial]]</f>
        <v>0</v>
      </c>
      <c r="G464" s="103" t="s">
        <v>596</v>
      </c>
      <c r="H464" s="103" t="s">
        <v>597</v>
      </c>
      <c r="I464" s="106" t="s">
        <v>598</v>
      </c>
      <c r="J464" s="103">
        <v>1</v>
      </c>
      <c r="K464" s="157">
        <v>0.95</v>
      </c>
      <c r="L464" s="106" t="s">
        <v>1910</v>
      </c>
      <c r="M464" s="103" t="s">
        <v>2399</v>
      </c>
      <c r="N464" s="157">
        <f>MouserListTable1218[[#This Row],['# Initial]]*MouserListTable1218[[#This Row],[Price (USD)]]</f>
        <v>0</v>
      </c>
      <c r="O464" s="106" t="s">
        <v>595</v>
      </c>
      <c r="P464" s="103">
        <f t="shared" si="11"/>
        <v>445</v>
      </c>
      <c r="Q464" s="103" t="s">
        <v>8</v>
      </c>
      <c r="R46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474-PRT-08671</v>
      </c>
      <c r="S464" s="121">
        <v>0</v>
      </c>
      <c r="T464" s="121">
        <v>0</v>
      </c>
      <c r="U464" s="121">
        <v>0</v>
      </c>
      <c r="V464" s="121">
        <f>MouserListTable1218[[#This Row],['#/Unit]]*FilterSpecs!$C$3+MouserListTable1218[[#This Row],[Extra]]</f>
        <v>0</v>
      </c>
      <c r="W464" s="121">
        <f>IF(MouserListTable1218[[#This Row],[Tag]]=FilterSpecs!$F$7,MouserListTable1218[[#This Row],[Price (USD)]],0)</f>
        <v>0</v>
      </c>
      <c r="X464" s="121">
        <f>MouserListTable1218[[#This Row],[Tot '#]]*MouserListTable1218[[#This Row],[Price (USD)]]</f>
        <v>0</v>
      </c>
    </row>
    <row r="465" spans="1:24" s="144" customFormat="1" x14ac:dyDescent="0.3">
      <c r="A465" s="146" t="s">
        <v>897</v>
      </c>
      <c r="B465" s="146" t="s">
        <v>2434</v>
      </c>
      <c r="C465" s="146" t="s">
        <v>8</v>
      </c>
      <c r="D465" s="106" t="str">
        <f>IF(MouserListTable1218[[#This Row],[Vendor]]=FilterSpecs!$A$8,MouserListTable1218[[#This Row],[Mouser SKU]], MouserListTable1218[[#This Row],[Supplier SKU]])</f>
        <v>PRT-08670</v>
      </c>
      <c r="E465" s="121">
        <f>MouserListTable1218[[#This Row],[Tot '#]]-MouserListTable1218[[#This Row],['# Initial]]</f>
        <v>0</v>
      </c>
      <c r="F465" s="121">
        <f>MouserListTable1218[[#This Row],['#/Unit]]*FilterSpecs!$B$3+MouserListTable1218[[#This Row],[Extra Initial]]</f>
        <v>0</v>
      </c>
      <c r="G465" s="103" t="s">
        <v>592</v>
      </c>
      <c r="H465" s="103" t="s">
        <v>593</v>
      </c>
      <c r="I465" s="106" t="s">
        <v>594</v>
      </c>
      <c r="J465" s="103">
        <v>1</v>
      </c>
      <c r="K465" s="157">
        <v>0.95</v>
      </c>
      <c r="L465" s="106" t="s">
        <v>1910</v>
      </c>
      <c r="M465" s="103" t="s">
        <v>2399</v>
      </c>
      <c r="N465" s="157">
        <f>MouserListTable1218[[#This Row],['# Initial]]*MouserListTable1218[[#This Row],[Price (USD)]]</f>
        <v>0</v>
      </c>
      <c r="O465" s="106" t="s">
        <v>591</v>
      </c>
      <c r="P465" s="103">
        <f t="shared" si="11"/>
        <v>446</v>
      </c>
      <c r="Q465" s="103" t="s">
        <v>8</v>
      </c>
      <c r="R46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474-PRT-08670</v>
      </c>
      <c r="S465" s="121">
        <v>0</v>
      </c>
      <c r="T465" s="121">
        <v>0</v>
      </c>
      <c r="U465" s="121">
        <v>0</v>
      </c>
      <c r="V465" s="121">
        <f>MouserListTable1218[[#This Row],['#/Unit]]*FilterSpecs!$C$3+MouserListTable1218[[#This Row],[Extra]]</f>
        <v>0</v>
      </c>
      <c r="W465" s="121">
        <f>IF(MouserListTable1218[[#This Row],[Tag]]=FilterSpecs!$F$7,MouserListTable1218[[#This Row],[Price (USD)]],0)</f>
        <v>0</v>
      </c>
      <c r="X465" s="121">
        <f>MouserListTable1218[[#This Row],[Tot '#]]*MouserListTable1218[[#This Row],[Price (USD)]]</f>
        <v>0</v>
      </c>
    </row>
    <row r="466" spans="1:24" s="144" customFormat="1" x14ac:dyDescent="0.3">
      <c r="A466" s="106" t="s">
        <v>897</v>
      </c>
      <c r="B466" s="106" t="s">
        <v>2434</v>
      </c>
      <c r="C466" s="106" t="s">
        <v>8</v>
      </c>
      <c r="D466" s="106" t="str">
        <f>IF(MouserListTable1218[[#This Row],[Vendor]]=FilterSpecs!$A$8,MouserListTable1218[[#This Row],[Mouser SKU]], MouserListTable1218[[#This Row],[Supplier SKU]])</f>
        <v>PRT-09914</v>
      </c>
      <c r="E466" s="121">
        <f>MouserListTable1218[[#This Row],[Tot '#]]-MouserListTable1218[[#This Row],['# Initial]]</f>
        <v>0</v>
      </c>
      <c r="F466" s="121">
        <f>MouserListTable1218[[#This Row],['#/Unit]]*FilterSpecs!$B$3+MouserListTable1218[[#This Row],[Extra Initial]]</f>
        <v>10</v>
      </c>
      <c r="G466" s="103" t="s">
        <v>512</v>
      </c>
      <c r="H466" s="103" t="s">
        <v>513</v>
      </c>
      <c r="I466" s="106" t="s">
        <v>514</v>
      </c>
      <c r="J466" s="103">
        <v>1</v>
      </c>
      <c r="K466" s="157">
        <v>0.95</v>
      </c>
      <c r="L466" s="106" t="s">
        <v>1911</v>
      </c>
      <c r="M466" s="103" t="s">
        <v>2399</v>
      </c>
      <c r="N466" s="157">
        <f>MouserListTable1218[[#This Row],['# Initial]]*MouserListTable1218[[#This Row],[Price (USD)]]</f>
        <v>9.5</v>
      </c>
      <c r="O466" s="106" t="s">
        <v>511</v>
      </c>
      <c r="P466" s="103">
        <f t="shared" si="11"/>
        <v>447</v>
      </c>
      <c r="Q466" s="103" t="s">
        <v>8</v>
      </c>
      <c r="R46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474-PRT-09914</v>
      </c>
      <c r="S466" s="121">
        <v>2</v>
      </c>
      <c r="T466" s="121">
        <v>0</v>
      </c>
      <c r="U466" s="121">
        <v>0</v>
      </c>
      <c r="V466" s="121">
        <f>MouserListTable1218[[#This Row],['#/Unit]]*FilterSpecs!$C$3+MouserListTable1218[[#This Row],[Extra]]</f>
        <v>10</v>
      </c>
      <c r="W466" s="121">
        <f>IF(MouserListTable1218[[#This Row],[Tag]]=FilterSpecs!$F$7,MouserListTable1218[[#This Row],[Price (USD)]],0)</f>
        <v>0.95</v>
      </c>
      <c r="X466" s="121">
        <f>MouserListTable1218[[#This Row],[Tot '#]]*MouserListTable1218[[#This Row],[Price (USD)]]</f>
        <v>9.5</v>
      </c>
    </row>
    <row r="467" spans="1:24" s="144" customFormat="1" x14ac:dyDescent="0.3">
      <c r="A467" s="106" t="s">
        <v>897</v>
      </c>
      <c r="B467" s="106" t="s">
        <v>2434</v>
      </c>
      <c r="C467" s="106" t="s">
        <v>8</v>
      </c>
      <c r="D467" s="106" t="str">
        <f>IF(MouserListTable1218[[#This Row],[Vendor]]=FilterSpecs!$A$8,MouserListTable1218[[#This Row],[Mouser SKU]], MouserListTable1218[[#This Row],[Supplier SKU]])</f>
        <v>PRT-09915</v>
      </c>
      <c r="E467" s="121">
        <f>MouserListTable1218[[#This Row],[Tot '#]]-MouserListTable1218[[#This Row],['# Initial]]</f>
        <v>0</v>
      </c>
      <c r="F467" s="121">
        <f>MouserListTable1218[[#This Row],['#/Unit]]*FilterSpecs!$B$3+MouserListTable1218[[#This Row],[Extra Initial]]</f>
        <v>5</v>
      </c>
      <c r="G467" s="103" t="s">
        <v>1354</v>
      </c>
      <c r="H467" s="103" t="s">
        <v>1355</v>
      </c>
      <c r="I467" s="106" t="s">
        <v>1356</v>
      </c>
      <c r="J467" s="103">
        <v>1</v>
      </c>
      <c r="K467" s="157">
        <v>1.5</v>
      </c>
      <c r="L467" s="106" t="s">
        <v>1911</v>
      </c>
      <c r="M467" s="103" t="s">
        <v>2399</v>
      </c>
      <c r="N467" s="157">
        <f>MouserListTable1218[[#This Row],['# Initial]]*MouserListTable1218[[#This Row],[Price (USD)]]</f>
        <v>7.5</v>
      </c>
      <c r="O467" s="106" t="s">
        <v>1353</v>
      </c>
      <c r="P467" s="103">
        <f t="shared" si="11"/>
        <v>448</v>
      </c>
      <c r="Q467" s="103" t="s">
        <v>8</v>
      </c>
      <c r="R46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474-PRT-09915</v>
      </c>
      <c r="S467" s="121">
        <v>1</v>
      </c>
      <c r="T467" s="121">
        <v>0</v>
      </c>
      <c r="U467" s="121">
        <v>0</v>
      </c>
      <c r="V467" s="121">
        <f>MouserListTable1218[[#This Row],['#/Unit]]*FilterSpecs!$C$3+MouserListTable1218[[#This Row],[Extra]]</f>
        <v>5</v>
      </c>
      <c r="W467" s="121">
        <f>IF(MouserListTable1218[[#This Row],[Tag]]=FilterSpecs!$F$7,MouserListTable1218[[#This Row],[Price (USD)]],0)</f>
        <v>1.5</v>
      </c>
      <c r="X467" s="121">
        <f>MouserListTable1218[[#This Row],[Tot '#]]*MouserListTable1218[[#This Row],[Price (USD)]]</f>
        <v>7.5</v>
      </c>
    </row>
    <row r="468" spans="1:24" s="144" customFormat="1" x14ac:dyDescent="0.3">
      <c r="A468" s="106" t="s">
        <v>897</v>
      </c>
      <c r="B468" s="106" t="s">
        <v>2434</v>
      </c>
      <c r="C468" s="106" t="s">
        <v>8</v>
      </c>
      <c r="D468" s="106" t="str">
        <f>IF(MouserListTable1218[[#This Row],[Vendor]]=FilterSpecs!$A$8,MouserListTable1218[[#This Row],[Mouser SKU]], MouserListTable1218[[#This Row],[Supplier SKU]])</f>
        <v>PRT-09916</v>
      </c>
      <c r="E468" s="121">
        <f>MouserListTable1218[[#This Row],[Tot '#]]-MouserListTable1218[[#This Row],['# Initial]]</f>
        <v>0</v>
      </c>
      <c r="F468" s="121">
        <f>MouserListTable1218[[#This Row],['#/Unit]]*FilterSpecs!$B$3+MouserListTable1218[[#This Row],[Extra Initial]]</f>
        <v>10</v>
      </c>
      <c r="G468" s="103" t="s">
        <v>486</v>
      </c>
      <c r="H468" s="103" t="s">
        <v>487</v>
      </c>
      <c r="I468" s="106" t="s">
        <v>488</v>
      </c>
      <c r="J468" s="103"/>
      <c r="K468" s="157">
        <v>1.5</v>
      </c>
      <c r="L468" s="106" t="s">
        <v>1911</v>
      </c>
      <c r="M468" s="103" t="s">
        <v>2399</v>
      </c>
      <c r="N468" s="157">
        <f>MouserListTable1218[[#This Row],['# Initial]]*MouserListTable1218[[#This Row],[Price (USD)]]</f>
        <v>15</v>
      </c>
      <c r="O468" s="106" t="s">
        <v>485</v>
      </c>
      <c r="P468" s="103">
        <f t="shared" si="11"/>
        <v>449</v>
      </c>
      <c r="Q468" s="103" t="s">
        <v>8</v>
      </c>
      <c r="R46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474-PRT-09916</v>
      </c>
      <c r="S468" s="121">
        <v>2</v>
      </c>
      <c r="T468" s="121">
        <v>0</v>
      </c>
      <c r="U468" s="121">
        <v>0</v>
      </c>
      <c r="V468" s="121">
        <f>MouserListTable1218[[#This Row],['#/Unit]]*FilterSpecs!$C$3+MouserListTable1218[[#This Row],[Extra]]</f>
        <v>10</v>
      </c>
      <c r="W468" s="121">
        <f>IF(MouserListTable1218[[#This Row],[Tag]]=FilterSpecs!$F$7,MouserListTable1218[[#This Row],[Price (USD)]],0)</f>
        <v>1.5</v>
      </c>
      <c r="X468" s="121">
        <f>MouserListTable1218[[#This Row],[Tot '#]]*MouserListTable1218[[#This Row],[Price (USD)]]</f>
        <v>15</v>
      </c>
    </row>
    <row r="469" spans="1:24" s="144" customFormat="1" x14ac:dyDescent="0.3">
      <c r="A469" s="106" t="s">
        <v>897</v>
      </c>
      <c r="B469" s="106" t="s">
        <v>2434</v>
      </c>
      <c r="C469" s="106" t="s">
        <v>1898</v>
      </c>
      <c r="D469" s="106" t="str">
        <f>IF(MouserListTable1218[[#This Row],[Vendor]]=FilterSpecs!$A$8,MouserListTable1218[[#This Row],[Mouser SKU]], MouserListTable1218[[#This Row],[Supplier SKU]])</f>
        <v>3064</v>
      </c>
      <c r="E469" s="121">
        <f>MouserListTable1218[[#This Row],[Tot '#]]-MouserListTable1218[[#This Row],['# Initial]]</f>
        <v>0</v>
      </c>
      <c r="F469" s="121">
        <f>MouserListTable1218[[#This Row],['#/Unit]]*FilterSpecs!$B$3+MouserListTable1218[[#This Row],[Extra Initial]]</f>
        <v>5</v>
      </c>
      <c r="G469" s="103"/>
      <c r="H469" s="103"/>
      <c r="I469" s="106" t="s">
        <v>2210</v>
      </c>
      <c r="J469" s="146"/>
      <c r="K469" s="157">
        <v>2.95</v>
      </c>
      <c r="L469" s="106" t="s">
        <v>1911</v>
      </c>
      <c r="M469" s="106" t="s">
        <v>2399</v>
      </c>
      <c r="N469" s="157">
        <f>MouserListTable1218[[#This Row],['# Initial]]*MouserListTable1218[[#This Row],[Price (USD)]]</f>
        <v>14.75</v>
      </c>
      <c r="O469" s="106" t="s">
        <v>2209</v>
      </c>
      <c r="P469" s="103">
        <f t="shared" si="11"/>
        <v>450</v>
      </c>
      <c r="Q469" s="103" t="s">
        <v>1898</v>
      </c>
      <c r="R46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485-3064</v>
      </c>
      <c r="S469" s="121">
        <v>1</v>
      </c>
      <c r="T469" s="121">
        <v>0</v>
      </c>
      <c r="U469" s="121">
        <v>0</v>
      </c>
      <c r="V469" s="121">
        <f>MouserListTable1218[[#This Row],['#/Unit]]*FilterSpecs!$C$3+MouserListTable1218[[#This Row],[Extra]]</f>
        <v>5</v>
      </c>
      <c r="W469" s="121">
        <f>IF(MouserListTable1218[[#This Row],[Tag]]=FilterSpecs!$F$7,MouserListTable1218[[#This Row],[Price (USD)]],0)</f>
        <v>2.95</v>
      </c>
      <c r="X469" s="121">
        <f>MouserListTable1218[[#This Row],[Tot '#]]*MouserListTable1218[[#This Row],[Price (USD)]]</f>
        <v>14.75</v>
      </c>
    </row>
    <row r="470" spans="1:24" s="144" customFormat="1" x14ac:dyDescent="0.3">
      <c r="A470" s="106" t="s">
        <v>897</v>
      </c>
      <c r="B470" s="106" t="s">
        <v>2434</v>
      </c>
      <c r="C470" s="106" t="s">
        <v>1898</v>
      </c>
      <c r="D470" s="106" t="str">
        <f>IF(MouserListTable1218[[#This Row],[Vendor]]=FilterSpecs!$A$8,MouserListTable1218[[#This Row],[Mouser SKU]], MouserListTable1218[[#This Row],[Supplier SKU]])</f>
        <v>3568</v>
      </c>
      <c r="E470" s="121">
        <f>MouserListTable1218[[#This Row],[Tot '#]]-MouserListTable1218[[#This Row],['# Initial]]</f>
        <v>0</v>
      </c>
      <c r="F470" s="121">
        <f>MouserListTable1218[[#This Row],['#/Unit]]*FilterSpecs!$B$3+MouserListTable1218[[#This Row],[Extra Initial]]</f>
        <v>0</v>
      </c>
      <c r="G470" s="103"/>
      <c r="H470" s="103"/>
      <c r="I470" s="146" t="s">
        <v>2212</v>
      </c>
      <c r="J470" s="146"/>
      <c r="K470" s="158">
        <v>0.75</v>
      </c>
      <c r="L470" s="146" t="s">
        <v>1910</v>
      </c>
      <c r="M470" s="146" t="s">
        <v>2399</v>
      </c>
      <c r="N470" s="157">
        <f>MouserListTable1218[[#This Row],['# Initial]]*MouserListTable1218[[#This Row],[Price (USD)]]</f>
        <v>0</v>
      </c>
      <c r="O470" s="106" t="s">
        <v>2211</v>
      </c>
      <c r="P470" s="103">
        <f t="shared" si="11"/>
        <v>451</v>
      </c>
      <c r="Q470" s="103" t="s">
        <v>1898</v>
      </c>
      <c r="R47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485-3568</v>
      </c>
      <c r="S470" s="121">
        <v>0</v>
      </c>
      <c r="T470" s="121">
        <v>0</v>
      </c>
      <c r="U470" s="121">
        <v>0</v>
      </c>
      <c r="V470" s="121">
        <f>MouserListTable1218[[#This Row],['#/Unit]]*FilterSpecs!$C$3+MouserListTable1218[[#This Row],[Extra]]</f>
        <v>0</v>
      </c>
      <c r="W470" s="121">
        <f>IF(MouserListTable1218[[#This Row],[Tag]]=FilterSpecs!$F$7,MouserListTable1218[[#This Row],[Price (USD)]],0)</f>
        <v>0</v>
      </c>
      <c r="X470" s="121">
        <f>MouserListTable1218[[#This Row],[Tot '#]]*MouserListTable1218[[#This Row],[Price (USD)]]</f>
        <v>0</v>
      </c>
    </row>
    <row r="471" spans="1:24" s="144" customFormat="1" x14ac:dyDescent="0.3">
      <c r="A471" s="106" t="s">
        <v>897</v>
      </c>
      <c r="B471" s="106" t="s">
        <v>2435</v>
      </c>
      <c r="C471" s="106" t="s">
        <v>8</v>
      </c>
      <c r="D471" s="106" t="str">
        <f>IF(MouserListTable1218[[#This Row],[Vendor]]=FilterSpecs!$A$8,MouserListTable1218[[#This Row],[Mouser SKU]], MouserListTable1218[[#This Row],[Supplier SKU]])</f>
        <v>PRT-10359</v>
      </c>
      <c r="E471" s="121">
        <f>MouserListTable1218[[#This Row],[Tot '#]]-MouserListTable1218[[#This Row],['# Initial]]</f>
        <v>0</v>
      </c>
      <c r="F471" s="121">
        <f>MouserListTable1218[[#This Row],['#/Unit]]*FilterSpecs!$B$3+MouserListTable1218[[#This Row],[Extra Initial]]</f>
        <v>5</v>
      </c>
      <c r="G471" s="103" t="s">
        <v>1820</v>
      </c>
      <c r="H471" s="103" t="s">
        <v>1821</v>
      </c>
      <c r="I471" s="106" t="s">
        <v>1822</v>
      </c>
      <c r="J471" s="103"/>
      <c r="K471" s="157">
        <v>1.5</v>
      </c>
      <c r="L471" s="106" t="s">
        <v>1911</v>
      </c>
      <c r="M471" s="103" t="s">
        <v>2398</v>
      </c>
      <c r="N471" s="157">
        <f>MouserListTable1218[[#This Row],['# Initial]]*MouserListTable1218[[#This Row],[Price (USD)]]</f>
        <v>7.5</v>
      </c>
      <c r="O471" s="106" t="s">
        <v>1819</v>
      </c>
      <c r="P471" s="103">
        <f t="shared" si="11"/>
        <v>452</v>
      </c>
      <c r="Q471" s="103" t="s">
        <v>8</v>
      </c>
      <c r="R47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474-PRT-10359</v>
      </c>
      <c r="S471" s="121">
        <v>1</v>
      </c>
      <c r="T471" s="121">
        <v>0</v>
      </c>
      <c r="U471" s="121">
        <v>0</v>
      </c>
      <c r="V471" s="121">
        <f>MouserListTable1218[[#This Row],['#/Unit]]*FilterSpecs!$C$3+MouserListTable1218[[#This Row],[Extra]]</f>
        <v>5</v>
      </c>
      <c r="W471" s="121">
        <f>IF(MouserListTable1218[[#This Row],[Tag]]=FilterSpecs!$F$7,MouserListTable1218[[#This Row],[Price (USD)]],0)</f>
        <v>1.5</v>
      </c>
      <c r="X471" s="121">
        <f>MouserListTable1218[[#This Row],[Tot '#]]*MouserListTable1218[[#This Row],[Price (USD)]]</f>
        <v>7.5</v>
      </c>
    </row>
    <row r="472" spans="1:24" s="144" customFormat="1" x14ac:dyDescent="0.3">
      <c r="A472" s="146" t="s">
        <v>897</v>
      </c>
      <c r="B472" s="146" t="s">
        <v>2435</v>
      </c>
      <c r="C472" s="146" t="s">
        <v>8</v>
      </c>
      <c r="D472" s="106" t="str">
        <f>IF(MouserListTable1218[[#This Row],[Vendor]]=FilterSpecs!$A$8,MouserListTable1218[[#This Row],[Mouser SKU]], MouserListTable1218[[#This Row],[Supplier SKU]])</f>
        <v>GPS-00574</v>
      </c>
      <c r="E472" s="121">
        <f>MouserListTable1218[[#This Row],[Tot '#]]-MouserListTable1218[[#This Row],['# Initial]]</f>
        <v>0</v>
      </c>
      <c r="F472" s="121">
        <f>MouserListTable1218[[#This Row],['#/Unit]]*FilterSpecs!$B$3+MouserListTable1218[[#This Row],[Extra Initial]]</f>
        <v>0</v>
      </c>
      <c r="G472" s="103" t="s">
        <v>1812</v>
      </c>
      <c r="H472" s="103" t="s">
        <v>1813</v>
      </c>
      <c r="I472" s="106" t="s">
        <v>1814</v>
      </c>
      <c r="J472" s="103"/>
      <c r="K472" s="157">
        <v>2.95</v>
      </c>
      <c r="L472" s="106" t="s">
        <v>1910</v>
      </c>
      <c r="M472" s="103" t="s">
        <v>2398</v>
      </c>
      <c r="N472" s="157">
        <f>MouserListTable1218[[#This Row],['# Initial]]*MouserListTable1218[[#This Row],[Price (USD)]]</f>
        <v>0</v>
      </c>
      <c r="O472" s="106" t="s">
        <v>1811</v>
      </c>
      <c r="P472" s="103">
        <f t="shared" si="11"/>
        <v>453</v>
      </c>
      <c r="Q472" s="103" t="s">
        <v>8</v>
      </c>
      <c r="R47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474-GPS-00574</v>
      </c>
      <c r="S472" s="121">
        <v>0</v>
      </c>
      <c r="T472" s="121">
        <v>0</v>
      </c>
      <c r="U472" s="121">
        <v>0</v>
      </c>
      <c r="V472" s="121">
        <f>MouserListTable1218[[#This Row],['#/Unit]]*FilterSpecs!$C$3+MouserListTable1218[[#This Row],[Extra]]</f>
        <v>0</v>
      </c>
      <c r="W472" s="121">
        <f>IF(MouserListTable1218[[#This Row],[Tag]]=FilterSpecs!$F$7,MouserListTable1218[[#This Row],[Price (USD)]],0)</f>
        <v>0</v>
      </c>
      <c r="X472" s="121">
        <f>MouserListTable1218[[#This Row],[Tot '#]]*MouserListTable1218[[#This Row],[Price (USD)]]</f>
        <v>0</v>
      </c>
    </row>
    <row r="473" spans="1:24" s="144" customFormat="1" x14ac:dyDescent="0.3">
      <c r="A473" s="146" t="s">
        <v>897</v>
      </c>
      <c r="B473" s="146" t="s">
        <v>2435</v>
      </c>
      <c r="C473" s="146" t="s">
        <v>8</v>
      </c>
      <c r="D473" s="106" t="str">
        <f>IF(MouserListTable1218[[#This Row],[Vendor]]=FilterSpecs!$A$8,MouserListTable1218[[#This Row],[Mouser SKU]], MouserListTable1218[[#This Row],[Supplier SKU]])</f>
        <v>PRT-10361</v>
      </c>
      <c r="E473" s="121">
        <f>MouserListTable1218[[#This Row],[Tot '#]]-MouserListTable1218[[#This Row],['# Initial]]</f>
        <v>0</v>
      </c>
      <c r="F473" s="121">
        <f>MouserListTable1218[[#This Row],['#/Unit]]*FilterSpecs!$B$3+MouserListTable1218[[#This Row],[Extra Initial]]</f>
        <v>0</v>
      </c>
      <c r="G473" s="103" t="s">
        <v>1804</v>
      </c>
      <c r="H473" s="103" t="s">
        <v>1805</v>
      </c>
      <c r="I473" s="106" t="s">
        <v>1806</v>
      </c>
      <c r="J473" s="103"/>
      <c r="K473" s="157">
        <v>1.5</v>
      </c>
      <c r="L473" s="106" t="s">
        <v>1910</v>
      </c>
      <c r="M473" s="103" t="s">
        <v>2398</v>
      </c>
      <c r="N473" s="157">
        <f>MouserListTable1218[[#This Row],['# Initial]]*MouserListTable1218[[#This Row],[Price (USD)]]</f>
        <v>0</v>
      </c>
      <c r="O473" s="106" t="s">
        <v>1803</v>
      </c>
      <c r="P473" s="103">
        <f t="shared" si="11"/>
        <v>454</v>
      </c>
      <c r="Q473" s="103" t="s">
        <v>8</v>
      </c>
      <c r="R47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474-PRT-10361</v>
      </c>
      <c r="S473" s="121">
        <v>0</v>
      </c>
      <c r="T473" s="121">
        <v>0</v>
      </c>
      <c r="U473" s="121">
        <v>0</v>
      </c>
      <c r="V473" s="121">
        <f>MouserListTable1218[[#This Row],['#/Unit]]*FilterSpecs!$C$3+MouserListTable1218[[#This Row],[Extra]]</f>
        <v>0</v>
      </c>
      <c r="W473" s="121">
        <f>IF(MouserListTable1218[[#This Row],[Tag]]=FilterSpecs!$F$7,MouserListTable1218[[#This Row],[Price (USD)]],0)</f>
        <v>0</v>
      </c>
      <c r="X473" s="121">
        <f>MouserListTable1218[[#This Row],[Tot '#]]*MouserListTable1218[[#This Row],[Price (USD)]]</f>
        <v>0</v>
      </c>
    </row>
    <row r="474" spans="1:24" s="144" customFormat="1" x14ac:dyDescent="0.3">
      <c r="A474" s="146" t="s">
        <v>897</v>
      </c>
      <c r="B474" s="146" t="s">
        <v>2435</v>
      </c>
      <c r="C474" s="146" t="s">
        <v>8</v>
      </c>
      <c r="D474" s="106" t="str">
        <f>IF(MouserListTable1218[[#This Row],[Vendor]]=FilterSpecs!$A$8,MouserListTable1218[[#This Row],[Mouser SKU]], MouserListTable1218[[#This Row],[Supplier SKU]])</f>
        <v>GPS-09123</v>
      </c>
      <c r="E474" s="121">
        <f>MouserListTable1218[[#This Row],[Tot '#]]-MouserListTable1218[[#This Row],['# Initial]]</f>
        <v>0</v>
      </c>
      <c r="F474" s="121">
        <f>MouserListTable1218[[#This Row],['#/Unit]]*FilterSpecs!$B$3+MouserListTable1218[[#This Row],[Extra Initial]]</f>
        <v>0</v>
      </c>
      <c r="G474" s="103" t="s">
        <v>1816</v>
      </c>
      <c r="H474" s="103" t="s">
        <v>1817</v>
      </c>
      <c r="I474" s="106" t="s">
        <v>1818</v>
      </c>
      <c r="J474" s="103">
        <v>1</v>
      </c>
      <c r="K474" s="157">
        <v>2.95</v>
      </c>
      <c r="L474" s="106" t="s">
        <v>1910</v>
      </c>
      <c r="M474" s="103" t="s">
        <v>2398</v>
      </c>
      <c r="N474" s="157">
        <f>MouserListTable1218[[#This Row],['# Initial]]*MouserListTable1218[[#This Row],[Price (USD)]]</f>
        <v>0</v>
      </c>
      <c r="O474" s="106" t="s">
        <v>1815</v>
      </c>
      <c r="P474" s="103">
        <f t="shared" si="11"/>
        <v>455</v>
      </c>
      <c r="Q474" s="103" t="s">
        <v>8</v>
      </c>
      <c r="R47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474-GPS-09123</v>
      </c>
      <c r="S474" s="121">
        <v>0</v>
      </c>
      <c r="T474" s="121">
        <v>0</v>
      </c>
      <c r="U474" s="121">
        <v>0</v>
      </c>
      <c r="V474" s="121">
        <f>MouserListTable1218[[#This Row],['#/Unit]]*FilterSpecs!$C$3+MouserListTable1218[[#This Row],[Extra]]</f>
        <v>0</v>
      </c>
      <c r="W474" s="121">
        <f>IF(MouserListTable1218[[#This Row],[Tag]]=FilterSpecs!$F$7,MouserListTable1218[[#This Row],[Price (USD)]],0)</f>
        <v>0</v>
      </c>
      <c r="X474" s="121">
        <f>MouserListTable1218[[#This Row],[Tot '#]]*MouserListTable1218[[#This Row],[Price (USD)]]</f>
        <v>0</v>
      </c>
    </row>
    <row r="475" spans="1:24" s="144" customFormat="1" x14ac:dyDescent="0.3">
      <c r="A475" s="146" t="s">
        <v>897</v>
      </c>
      <c r="B475" s="146" t="s">
        <v>2435</v>
      </c>
      <c r="C475" s="146" t="s">
        <v>8</v>
      </c>
      <c r="D475" s="106" t="str">
        <f>IF(MouserListTable1218[[#This Row],[Vendor]]=FilterSpecs!$A$8,MouserListTable1218[[#This Row],[Mouser SKU]], MouserListTable1218[[#This Row],[Supplier SKU]])</f>
        <v>PRT-10853</v>
      </c>
      <c r="E475" s="121">
        <f>MouserListTable1218[[#This Row],[Tot '#]]-MouserListTable1218[[#This Row],['# Initial]]</f>
        <v>0</v>
      </c>
      <c r="F475" s="121">
        <f>MouserListTable1218[[#This Row],['#/Unit]]*FilterSpecs!$B$3+MouserListTable1218[[#This Row],[Extra Initial]]</f>
        <v>0</v>
      </c>
      <c r="G475" s="103" t="s">
        <v>2431</v>
      </c>
      <c r="H475" s="103" t="s">
        <v>2432</v>
      </c>
      <c r="I475" s="106" t="s">
        <v>2433</v>
      </c>
      <c r="J475" s="103">
        <v>1</v>
      </c>
      <c r="K475" s="157">
        <v>0.95</v>
      </c>
      <c r="L475" s="146" t="s">
        <v>1910</v>
      </c>
      <c r="M475" s="146" t="s">
        <v>2398</v>
      </c>
      <c r="N475" s="157">
        <f>MouserListTable1218[[#This Row],['# Initial]]*MouserListTable1218[[#This Row],[Price (USD)]]</f>
        <v>0</v>
      </c>
      <c r="O475" s="106" t="s">
        <v>2430</v>
      </c>
      <c r="P475" s="103">
        <f t="shared" si="11"/>
        <v>456</v>
      </c>
      <c r="Q475" s="103" t="s">
        <v>8</v>
      </c>
      <c r="R47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474-PRT-10853</v>
      </c>
      <c r="S475" s="121">
        <v>0</v>
      </c>
      <c r="T475" s="121">
        <v>0</v>
      </c>
      <c r="U475" s="121">
        <v>0</v>
      </c>
      <c r="V475" s="121">
        <f>MouserListTable1218[[#This Row],['#/Unit]]*FilterSpecs!$C$3+MouserListTable1218[[#This Row],[Extra]]</f>
        <v>0</v>
      </c>
      <c r="W475" s="121">
        <f>IF(MouserListTable1218[[#This Row],[Tag]]=FilterSpecs!$F$7,MouserListTable1218[[#This Row],[Price (USD)]],0)</f>
        <v>0</v>
      </c>
      <c r="X475" s="121">
        <f>MouserListTable1218[[#This Row],[Tot '#]]*MouserListTable1218[[#This Row],[Price (USD)]]</f>
        <v>0</v>
      </c>
    </row>
    <row r="476" spans="1:24" s="144" customFormat="1" x14ac:dyDescent="0.3">
      <c r="A476" s="106" t="s">
        <v>897</v>
      </c>
      <c r="B476" s="106" t="s">
        <v>2436</v>
      </c>
      <c r="C476" s="106" t="s">
        <v>1898</v>
      </c>
      <c r="D476" s="106" t="str">
        <f>IF(MouserListTable1218[[#This Row],[Vendor]]=FilterSpecs!$A$8,MouserListTable1218[[#This Row],[Mouser SKU]], MouserListTable1218[[#This Row],[Supplier SKU]])</f>
        <v>578</v>
      </c>
      <c r="E476" s="121">
        <f>MouserListTable1218[[#This Row],[Tot '#]]-MouserListTable1218[[#This Row],['# Initial]]</f>
        <v>0</v>
      </c>
      <c r="F476" s="121">
        <f>MouserListTable1218[[#This Row],['#/Unit]]*FilterSpecs!$B$3+MouserListTable1218[[#This Row],[Extra Initial]]</f>
        <v>0</v>
      </c>
      <c r="G476" s="103"/>
      <c r="H476" s="103"/>
      <c r="I476" s="146" t="s">
        <v>2208</v>
      </c>
      <c r="J476" s="146"/>
      <c r="K476" s="158">
        <v>1.5</v>
      </c>
      <c r="L476" s="146" t="s">
        <v>1913</v>
      </c>
      <c r="M476" s="146" t="s">
        <v>2399</v>
      </c>
      <c r="N476" s="157">
        <f>MouserListTable1218[[#This Row],['# Initial]]*MouserListTable1218[[#This Row],[Price (USD)]]</f>
        <v>0</v>
      </c>
      <c r="O476" s="106" t="s">
        <v>2207</v>
      </c>
      <c r="P476" s="103">
        <f t="shared" si="11"/>
        <v>457</v>
      </c>
      <c r="Q476" s="103" t="s">
        <v>1898</v>
      </c>
      <c r="R47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485-578</v>
      </c>
      <c r="S476" s="121">
        <v>0</v>
      </c>
      <c r="T476" s="121">
        <v>0</v>
      </c>
      <c r="U476" s="121">
        <v>0</v>
      </c>
      <c r="V476" s="121">
        <f>MouserListTable1218[[#This Row],['#/Unit]]*FilterSpecs!$C$3+MouserListTable1218[[#This Row],[Extra]]</f>
        <v>0</v>
      </c>
      <c r="W476" s="121">
        <f>IF(MouserListTable1218[[#This Row],[Tag]]=FilterSpecs!$F$7,MouserListTable1218[[#This Row],[Price (USD)]],0)</f>
        <v>0</v>
      </c>
      <c r="X476" s="121">
        <f>MouserListTable1218[[#This Row],[Tot '#]]*MouserListTable1218[[#This Row],[Price (USD)]]</f>
        <v>0</v>
      </c>
    </row>
    <row r="477" spans="1:24" s="144" customFormat="1" x14ac:dyDescent="0.3">
      <c r="A477" s="106" t="s">
        <v>897</v>
      </c>
      <c r="B477" s="106" t="s">
        <v>1611</v>
      </c>
      <c r="C477" s="106" t="s">
        <v>8</v>
      </c>
      <c r="D477" s="106" t="str">
        <f>IF(MouserListTable1218[[#This Row],[Vendor]]=FilterSpecs!$A$8,MouserListTable1218[[#This Row],[Mouser SKU]], MouserListTable1218[[#This Row],[Supplier SKU]])</f>
        <v>CAB-13685</v>
      </c>
      <c r="E477" s="121">
        <f>MouserListTable1218[[#This Row],[Tot '#]]-MouserListTable1218[[#This Row],['# Initial]]</f>
        <v>1</v>
      </c>
      <c r="F477" s="121">
        <f>MouserListTable1218[[#This Row],['#/Unit]]*FilterSpecs!$B$3+MouserListTable1218[[#This Row],[Extra Initial]]</f>
        <v>5</v>
      </c>
      <c r="G477" s="103" t="s">
        <v>520</v>
      </c>
      <c r="H477" s="103" t="s">
        <v>521</v>
      </c>
      <c r="I477" s="106" t="s">
        <v>522</v>
      </c>
      <c r="J477" s="103">
        <v>1</v>
      </c>
      <c r="K477" s="157">
        <v>1.5</v>
      </c>
      <c r="L477" s="106" t="s">
        <v>1911</v>
      </c>
      <c r="M477" s="103" t="s">
        <v>2399</v>
      </c>
      <c r="N477" s="157">
        <f>MouserListTable1218[[#This Row],['# Initial]]*MouserListTable1218[[#This Row],[Price (USD)]]</f>
        <v>7.5</v>
      </c>
      <c r="O477" s="106" t="s">
        <v>519</v>
      </c>
      <c r="P477" s="103">
        <f t="shared" si="11"/>
        <v>458</v>
      </c>
      <c r="Q477" s="103" t="s">
        <v>8</v>
      </c>
      <c r="R47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474-CAB-13685</v>
      </c>
      <c r="S477" s="121">
        <v>1</v>
      </c>
      <c r="T477" s="121">
        <v>1</v>
      </c>
      <c r="U477" s="121">
        <v>0</v>
      </c>
      <c r="V477" s="121">
        <f>MouserListTable1218[[#This Row],['#/Unit]]*FilterSpecs!$C$3+MouserListTable1218[[#This Row],[Extra]]</f>
        <v>6</v>
      </c>
      <c r="W477" s="121">
        <f>IF(MouserListTable1218[[#This Row],[Tag]]=FilterSpecs!$F$7,MouserListTable1218[[#This Row],[Price (USD)]],0)</f>
        <v>1.5</v>
      </c>
      <c r="X477" s="121">
        <f>MouserListTable1218[[#This Row],[Tot '#]]*MouserListTable1218[[#This Row],[Price (USD)]]</f>
        <v>9</v>
      </c>
    </row>
    <row r="478" spans="1:24" s="144" customFormat="1" x14ac:dyDescent="0.3">
      <c r="A478" s="146" t="s">
        <v>897</v>
      </c>
      <c r="B478" s="146" t="s">
        <v>1611</v>
      </c>
      <c r="C478" s="146" t="s">
        <v>8</v>
      </c>
      <c r="D478" s="106" t="str">
        <f>IF(MouserListTable1218[[#This Row],[Vendor]]=FilterSpecs!$A$8,MouserListTable1218[[#This Row],[Mouser SKU]], MouserListTable1218[[#This Row],[Supplier SKU]])</f>
        <v>PRT-08599</v>
      </c>
      <c r="E478" s="121">
        <f>MouserListTable1218[[#This Row],[Tot '#]]-MouserListTable1218[[#This Row],['# Initial]]</f>
        <v>0</v>
      </c>
      <c r="F478" s="121">
        <f>MouserListTable1218[[#This Row],['#/Unit]]*FilterSpecs!$B$3+MouserListTable1218[[#This Row],[Extra Initial]]</f>
        <v>0</v>
      </c>
      <c r="G478" s="103" t="s">
        <v>584</v>
      </c>
      <c r="H478" s="103" t="s">
        <v>585</v>
      </c>
      <c r="I478" s="106" t="s">
        <v>586</v>
      </c>
      <c r="J478" s="103">
        <v>1</v>
      </c>
      <c r="K478" s="157">
        <v>1.5</v>
      </c>
      <c r="L478" s="106" t="s">
        <v>1910</v>
      </c>
      <c r="M478" s="103" t="s">
        <v>2399</v>
      </c>
      <c r="N478" s="157">
        <f>MouserListTable1218[[#This Row],['# Initial]]*MouserListTable1218[[#This Row],[Price (USD)]]</f>
        <v>0</v>
      </c>
      <c r="O478" s="106" t="s">
        <v>583</v>
      </c>
      <c r="P478" s="103">
        <f t="shared" si="11"/>
        <v>459</v>
      </c>
      <c r="Q478" s="103" t="s">
        <v>8</v>
      </c>
      <c r="R47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474-PRT-08599</v>
      </c>
      <c r="S478" s="121">
        <v>0</v>
      </c>
      <c r="T478" s="121">
        <v>0</v>
      </c>
      <c r="U478" s="121">
        <v>0</v>
      </c>
      <c r="V478" s="121">
        <f>MouserListTable1218[[#This Row],['#/Unit]]*FilterSpecs!$C$3+MouserListTable1218[[#This Row],[Extra]]</f>
        <v>0</v>
      </c>
      <c r="W478" s="121">
        <f>IF(MouserListTable1218[[#This Row],[Tag]]=FilterSpecs!$F$7,MouserListTable1218[[#This Row],[Price (USD)]],0)</f>
        <v>0</v>
      </c>
      <c r="X478" s="121">
        <f>MouserListTable1218[[#This Row],[Tot '#]]*MouserListTable1218[[#This Row],[Price (USD)]]</f>
        <v>0</v>
      </c>
    </row>
    <row r="479" spans="1:24" s="144" customFormat="1" x14ac:dyDescent="0.3">
      <c r="A479" s="146" t="s">
        <v>897</v>
      </c>
      <c r="B479" s="146" t="s">
        <v>1611</v>
      </c>
      <c r="C479" s="146" t="s">
        <v>8</v>
      </c>
      <c r="D479" s="106" t="str">
        <f>IF(MouserListTable1218[[#This Row],[Vendor]]=FilterSpecs!$A$8,MouserListTable1218[[#This Row],[Mouser SKU]], MouserListTable1218[[#This Row],[Supplier SKU]])</f>
        <v>PRT-08598</v>
      </c>
      <c r="E479" s="121">
        <f>MouserListTable1218[[#This Row],[Tot '#]]-MouserListTable1218[[#This Row],['# Initial]]</f>
        <v>0</v>
      </c>
      <c r="F479" s="121">
        <f>MouserListTable1218[[#This Row],['#/Unit]]*FilterSpecs!$B$3+MouserListTable1218[[#This Row],[Extra Initial]]</f>
        <v>0</v>
      </c>
      <c r="G479" s="103" t="s">
        <v>1752</v>
      </c>
      <c r="H479" s="103" t="s">
        <v>1753</v>
      </c>
      <c r="I479" s="106" t="s">
        <v>1754</v>
      </c>
      <c r="J479" s="103">
        <v>1</v>
      </c>
      <c r="K479" s="157">
        <v>1.5</v>
      </c>
      <c r="L479" s="106" t="s">
        <v>1913</v>
      </c>
      <c r="M479" s="103" t="s">
        <v>2399</v>
      </c>
      <c r="N479" s="157">
        <f>MouserListTable1218[[#This Row],['# Initial]]*MouserListTable1218[[#This Row],[Price (USD)]]</f>
        <v>0</v>
      </c>
      <c r="O479" s="106" t="s">
        <v>1751</v>
      </c>
      <c r="P479" s="103">
        <f t="shared" si="11"/>
        <v>460</v>
      </c>
      <c r="Q479" s="103" t="s">
        <v>8</v>
      </c>
      <c r="R47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474-PRT-08598</v>
      </c>
      <c r="S479" s="121">
        <v>0</v>
      </c>
      <c r="T479" s="121">
        <v>0</v>
      </c>
      <c r="U479" s="121">
        <v>0</v>
      </c>
      <c r="V479" s="121">
        <f>MouserListTable1218[[#This Row],['#/Unit]]*FilterSpecs!$C$3+MouserListTable1218[[#This Row],[Extra]]</f>
        <v>0</v>
      </c>
      <c r="W479" s="121">
        <f>IF(MouserListTable1218[[#This Row],[Tag]]=FilterSpecs!$F$7,MouserListTable1218[[#This Row],[Price (USD)]],0)</f>
        <v>0</v>
      </c>
      <c r="X479" s="121">
        <f>MouserListTable1218[[#This Row],[Tot '#]]*MouserListTable1218[[#This Row],[Price (USD)]]</f>
        <v>0</v>
      </c>
    </row>
    <row r="480" spans="1:24" s="144" customFormat="1" x14ac:dyDescent="0.3">
      <c r="A480" s="128" t="s">
        <v>897</v>
      </c>
      <c r="B480" s="128" t="s">
        <v>1611</v>
      </c>
      <c r="C480" s="128" t="s">
        <v>1898</v>
      </c>
      <c r="D480" s="106" t="str">
        <f>IF(MouserListTable1218[[#This Row],[Vendor]]=FilterSpecs!$A$8,MouserListTable1218[[#This Row],[Mouser SKU]], MouserListTable1218[[#This Row],[Supplier SKU]])</f>
        <v>425</v>
      </c>
      <c r="E480" s="121">
        <f>MouserListTable1218[[#This Row],[Tot '#]]-MouserListTable1218[[#This Row],['# Initial]]</f>
        <v>0</v>
      </c>
      <c r="F480" s="121">
        <f>MouserListTable1218[[#This Row],['#/Unit]]*FilterSpecs!$B$3+MouserListTable1218[[#This Row],[Extra Initial]]</f>
        <v>0</v>
      </c>
      <c r="G480" s="146"/>
      <c r="H480" s="146"/>
      <c r="I480" s="128" t="s">
        <v>2462</v>
      </c>
      <c r="J480" s="153">
        <v>107</v>
      </c>
      <c r="K480" s="159">
        <v>1.95</v>
      </c>
      <c r="L480" s="126" t="s">
        <v>1910</v>
      </c>
      <c r="M480" s="146"/>
      <c r="N480" s="157">
        <f>MouserListTable1218[[#This Row],['# Initial]]*MouserListTable1218[[#This Row],[Price (USD)]]</f>
        <v>0</v>
      </c>
      <c r="O480" s="153" t="s">
        <v>2463</v>
      </c>
      <c r="P480" s="103">
        <f t="shared" si="11"/>
        <v>461</v>
      </c>
      <c r="Q480" s="103" t="s">
        <v>1898</v>
      </c>
      <c r="R48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485-425</v>
      </c>
      <c r="S480" s="121">
        <v>0</v>
      </c>
      <c r="T480" s="121">
        <v>0</v>
      </c>
      <c r="U480" s="121">
        <v>0</v>
      </c>
      <c r="V480" s="121">
        <f>MouserListTable1218[[#This Row],['#/Unit]]*FilterSpecs!$C$3+MouserListTable1218[[#This Row],[Extra]]</f>
        <v>0</v>
      </c>
      <c r="W480" s="121">
        <f>IF(MouserListTable1218[[#This Row],[Tag]]=FilterSpecs!$F$7,MouserListTable1218[[#This Row],[Price (USD)]],0)</f>
        <v>0</v>
      </c>
      <c r="X480" s="121">
        <f>MouserListTable1218[[#This Row],[Tot '#]]*MouserListTable1218[[#This Row],[Price (USD)]]</f>
        <v>0</v>
      </c>
    </row>
    <row r="481" spans="1:24" s="144" customFormat="1" x14ac:dyDescent="0.3">
      <c r="A481" s="128" t="s">
        <v>897</v>
      </c>
      <c r="B481" s="128" t="s">
        <v>2436</v>
      </c>
      <c r="C481" s="128" t="s">
        <v>1898</v>
      </c>
      <c r="D481" s="106" t="str">
        <f>IF(MouserListTable1218[[#This Row],[Vendor]]=FilterSpecs!$A$8,MouserListTable1218[[#This Row],[Mouser SKU]], MouserListTable1218[[#This Row],[Supplier SKU]])</f>
        <v>2880</v>
      </c>
      <c r="E481" s="121">
        <f>MouserListTable1218[[#This Row],[Tot '#]]-MouserListTable1218[[#This Row],['# Initial]]</f>
        <v>0</v>
      </c>
      <c r="F481" s="121">
        <f>MouserListTable1218[[#This Row],['#/Unit]]*FilterSpecs!$B$3+MouserListTable1218[[#This Row],[Extra Initial]]</f>
        <v>0</v>
      </c>
      <c r="G481" s="146"/>
      <c r="H481" s="146"/>
      <c r="I481" s="128" t="s">
        <v>2449</v>
      </c>
      <c r="J481" s="153">
        <v>100</v>
      </c>
      <c r="K481" s="159">
        <v>0.75</v>
      </c>
      <c r="L481" s="126" t="s">
        <v>1910</v>
      </c>
      <c r="M481" s="146"/>
      <c r="N481" s="157">
        <f>MouserListTable1218[[#This Row],['# Initial]]*MouserListTable1218[[#This Row],[Price (USD)]]</f>
        <v>0</v>
      </c>
      <c r="O481" s="153" t="s">
        <v>2450</v>
      </c>
      <c r="P481" s="103">
        <f t="shared" si="11"/>
        <v>462</v>
      </c>
      <c r="Q481" s="103" t="s">
        <v>1898</v>
      </c>
      <c r="R48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485-2880</v>
      </c>
      <c r="S481" s="121">
        <v>0</v>
      </c>
      <c r="T481" s="121">
        <v>0</v>
      </c>
      <c r="U481" s="121">
        <v>0</v>
      </c>
      <c r="V481" s="121">
        <f>MouserListTable1218[[#This Row],['#/Unit]]*FilterSpecs!$C$3+MouserListTable1218[[#This Row],[Extra]]</f>
        <v>0</v>
      </c>
      <c r="W481" s="121">
        <f>IF(MouserListTable1218[[#This Row],[Tag]]=FilterSpecs!$F$7,MouserListTable1218[[#This Row],[Price (USD)]],0)</f>
        <v>0</v>
      </c>
      <c r="X481" s="121">
        <f>MouserListTable1218[[#This Row],[Tot '#]]*MouserListTable1218[[#This Row],[Price (USD)]]</f>
        <v>0</v>
      </c>
    </row>
    <row r="482" spans="1:24" s="144" customFormat="1" x14ac:dyDescent="0.3">
      <c r="A482" s="128" t="s">
        <v>897</v>
      </c>
      <c r="B482" s="128" t="s">
        <v>2434</v>
      </c>
      <c r="C482" s="128" t="s">
        <v>1898</v>
      </c>
      <c r="D482" s="106" t="str">
        <f>IF(MouserListTable1218[[#This Row],[Vendor]]=FilterSpecs!$A$8,MouserListTable1218[[#This Row],[Mouser SKU]], MouserListTable1218[[#This Row],[Supplier SKU]])</f>
        <v>261</v>
      </c>
      <c r="E482" s="121">
        <f>MouserListTable1218[[#This Row],[Tot '#]]-MouserListTable1218[[#This Row],['# Initial]]</f>
        <v>0</v>
      </c>
      <c r="F482" s="121">
        <f>MouserListTable1218[[#This Row],['#/Unit]]*FilterSpecs!$B$3+MouserListTable1218[[#This Row],[Extra Initial]]</f>
        <v>0</v>
      </c>
      <c r="G482" s="146"/>
      <c r="H482" s="146"/>
      <c r="I482" s="128" t="s">
        <v>2451</v>
      </c>
      <c r="J482" s="153">
        <v>101</v>
      </c>
      <c r="K482" s="159">
        <v>0.75</v>
      </c>
      <c r="L482" s="126" t="s">
        <v>1910</v>
      </c>
      <c r="M482" s="146"/>
      <c r="N482" s="157">
        <f>MouserListTable1218[[#This Row],['# Initial]]*MouserListTable1218[[#This Row],[Price (USD)]]</f>
        <v>0</v>
      </c>
      <c r="O482" s="153" t="s">
        <v>2452</v>
      </c>
      <c r="P482" s="103">
        <f t="shared" si="11"/>
        <v>463</v>
      </c>
      <c r="Q482" s="103" t="s">
        <v>1898</v>
      </c>
      <c r="R48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485-261</v>
      </c>
      <c r="S482" s="121">
        <v>0</v>
      </c>
      <c r="T482" s="121">
        <v>0</v>
      </c>
      <c r="U482" s="121">
        <v>0</v>
      </c>
      <c r="V482" s="121">
        <f>MouserListTable1218[[#This Row],['#/Unit]]*FilterSpecs!$C$3+MouserListTable1218[[#This Row],[Extra]]</f>
        <v>0</v>
      </c>
      <c r="W482" s="121">
        <f>IF(MouserListTable1218[[#This Row],[Tag]]=FilterSpecs!$F$7,MouserListTable1218[[#This Row],[Price (USD)]],0)</f>
        <v>0</v>
      </c>
      <c r="X482" s="121">
        <f>MouserListTable1218[[#This Row],[Tot '#]]*MouserListTable1218[[#This Row],[Price (USD)]]</f>
        <v>0</v>
      </c>
    </row>
    <row r="483" spans="1:24" s="144" customFormat="1" x14ac:dyDescent="0.3">
      <c r="A483" s="128" t="s">
        <v>897</v>
      </c>
      <c r="B483" s="128" t="s">
        <v>2434</v>
      </c>
      <c r="C483" s="128" t="s">
        <v>1898</v>
      </c>
      <c r="D483" s="106" t="str">
        <f>IF(MouserListTable1218[[#This Row],[Vendor]]=FilterSpecs!$A$8,MouserListTable1218[[#This Row],[Mouser SKU]], MouserListTable1218[[#This Row],[Supplier SKU]])</f>
        <v>1769</v>
      </c>
      <c r="E483" s="121">
        <f>MouserListTable1218[[#This Row],[Tot '#]]-MouserListTable1218[[#This Row],['# Initial]]</f>
        <v>0</v>
      </c>
      <c r="F483" s="121">
        <f>MouserListTable1218[[#This Row],['#/Unit]]*FilterSpecs!$B$3+MouserListTable1218[[#This Row],[Extra Initial]]</f>
        <v>0</v>
      </c>
      <c r="G483" s="146"/>
      <c r="H483" s="146"/>
      <c r="I483" s="128" t="s">
        <v>2453</v>
      </c>
      <c r="J483" s="153">
        <v>102</v>
      </c>
      <c r="K483" s="159">
        <v>0.75</v>
      </c>
      <c r="L483" s="126" t="s">
        <v>1910</v>
      </c>
      <c r="M483" s="146"/>
      <c r="N483" s="157">
        <f>MouserListTable1218[[#This Row],['# Initial]]*MouserListTable1218[[#This Row],[Price (USD)]]</f>
        <v>0</v>
      </c>
      <c r="O483" s="153" t="s">
        <v>2146</v>
      </c>
      <c r="P483" s="103">
        <f t="shared" si="11"/>
        <v>464</v>
      </c>
      <c r="Q483" s="103" t="s">
        <v>1898</v>
      </c>
      <c r="R48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485-1769</v>
      </c>
      <c r="S483" s="121">
        <v>0</v>
      </c>
      <c r="T483" s="121">
        <v>0</v>
      </c>
      <c r="U483" s="121">
        <v>0</v>
      </c>
      <c r="V483" s="121">
        <f>MouserListTable1218[[#This Row],['#/Unit]]*FilterSpecs!$C$3+MouserListTable1218[[#This Row],[Extra]]</f>
        <v>0</v>
      </c>
      <c r="W483" s="121">
        <f>IF(MouserListTable1218[[#This Row],[Tag]]=FilterSpecs!$F$7,MouserListTable1218[[#This Row],[Price (USD)]],0)</f>
        <v>0</v>
      </c>
      <c r="X483" s="121">
        <f>MouserListTable1218[[#This Row],[Tot '#]]*MouserListTable1218[[#This Row],[Price (USD)]]</f>
        <v>0</v>
      </c>
    </row>
    <row r="484" spans="1:24" s="144" customFormat="1" x14ac:dyDescent="0.3">
      <c r="A484" s="106" t="s">
        <v>897</v>
      </c>
      <c r="B484" s="106" t="s">
        <v>1883</v>
      </c>
      <c r="C484" s="106" t="s">
        <v>8</v>
      </c>
      <c r="D484" s="106" t="str">
        <f>IF(MouserListTable1218[[#This Row],[Vendor]]=FilterSpecs!$A$8,MouserListTable1218[[#This Row],[Mouser SKU]], MouserListTable1218[[#This Row],[Supplier SKU]])</f>
        <v>PRT-09918</v>
      </c>
      <c r="E484" s="121">
        <f>MouserListTable1218[[#This Row],[Tot '#]]-MouserListTable1218[[#This Row],['# Initial]]</f>
        <v>0</v>
      </c>
      <c r="F484" s="121">
        <f>MouserListTable1218[[#This Row],['#/Unit]]*FilterSpecs!$B$3+MouserListTable1218[[#This Row],[Extra Initial]]</f>
        <v>10</v>
      </c>
      <c r="G484" s="103" t="s">
        <v>1756</v>
      </c>
      <c r="H484" s="103" t="s">
        <v>1757</v>
      </c>
      <c r="I484" s="106" t="s">
        <v>1758</v>
      </c>
      <c r="J484" s="103"/>
      <c r="K484" s="157">
        <v>0.95</v>
      </c>
      <c r="L484" s="106" t="s">
        <v>1911</v>
      </c>
      <c r="M484" s="103"/>
      <c r="N484" s="157">
        <f>MouserListTable1218[[#This Row],['# Initial]]*MouserListTable1218[[#This Row],[Price (USD)]]</f>
        <v>9.5</v>
      </c>
      <c r="O484" s="106" t="s">
        <v>1755</v>
      </c>
      <c r="P484" s="103">
        <f t="shared" si="11"/>
        <v>465</v>
      </c>
      <c r="Q484" s="103" t="s">
        <v>8</v>
      </c>
      <c r="R48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474-PRT-09918</v>
      </c>
      <c r="S484" s="121">
        <v>2</v>
      </c>
      <c r="T484" s="121">
        <v>0</v>
      </c>
      <c r="U484" s="121">
        <v>0</v>
      </c>
      <c r="V484" s="121">
        <f>MouserListTable1218[[#This Row],['#/Unit]]*FilterSpecs!$C$3+MouserListTable1218[[#This Row],[Extra]]</f>
        <v>10</v>
      </c>
      <c r="W484" s="121">
        <f>IF(MouserListTable1218[[#This Row],[Tag]]=FilterSpecs!$F$7,MouserListTable1218[[#This Row],[Price (USD)]],0)</f>
        <v>0.95</v>
      </c>
      <c r="X484" s="121">
        <f>MouserListTable1218[[#This Row],[Tot '#]]*MouserListTable1218[[#This Row],[Price (USD)]]</f>
        <v>9.5</v>
      </c>
    </row>
    <row r="485" spans="1:24" s="144" customFormat="1" x14ac:dyDescent="0.3">
      <c r="A485" s="106" t="s">
        <v>897</v>
      </c>
      <c r="B485" s="106" t="s">
        <v>1883</v>
      </c>
      <c r="C485" s="106" t="s">
        <v>8</v>
      </c>
      <c r="D485" s="106" t="str">
        <f>IF(MouserListTable1218[[#This Row],[Vendor]]=FilterSpecs!$A$8,MouserListTable1218[[#This Row],[Mouser SKU]], MouserListTable1218[[#This Row],[Supplier SKU]])</f>
        <v>PRT-09922</v>
      </c>
      <c r="E485" s="121">
        <f>MouserListTable1218[[#This Row],[Tot '#]]-MouserListTable1218[[#This Row],['# Initial]]</f>
        <v>0</v>
      </c>
      <c r="F485" s="121">
        <f>MouserListTable1218[[#This Row],['#/Unit]]*FilterSpecs!$B$3+MouserListTable1218[[#This Row],[Extra Initial]]</f>
        <v>10</v>
      </c>
      <c r="G485" s="103" t="s">
        <v>1768</v>
      </c>
      <c r="H485" s="103" t="s">
        <v>1769</v>
      </c>
      <c r="I485" s="106" t="s">
        <v>1770</v>
      </c>
      <c r="J485" s="103">
        <v>1</v>
      </c>
      <c r="K485" s="157">
        <v>1.95</v>
      </c>
      <c r="L485" s="106" t="s">
        <v>1911</v>
      </c>
      <c r="M485" s="103"/>
      <c r="N485" s="157">
        <f>MouserListTable1218[[#This Row],['# Initial]]*MouserListTable1218[[#This Row],[Price (USD)]]</f>
        <v>19.5</v>
      </c>
      <c r="O485" s="106" t="s">
        <v>1767</v>
      </c>
      <c r="P485" s="103">
        <f t="shared" si="11"/>
        <v>466</v>
      </c>
      <c r="Q485" s="103" t="s">
        <v>8</v>
      </c>
      <c r="R48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474-PRT-09922</v>
      </c>
      <c r="S485" s="121">
        <v>2</v>
      </c>
      <c r="T485" s="121">
        <v>0</v>
      </c>
      <c r="U485" s="121">
        <v>0</v>
      </c>
      <c r="V485" s="121">
        <f>MouserListTable1218[[#This Row],['#/Unit]]*FilterSpecs!$C$3+MouserListTable1218[[#This Row],[Extra]]</f>
        <v>10</v>
      </c>
      <c r="W485" s="121">
        <f>IF(MouserListTable1218[[#This Row],[Tag]]=FilterSpecs!$F$7,MouserListTable1218[[#This Row],[Price (USD)]],0)</f>
        <v>1.95</v>
      </c>
      <c r="X485" s="121">
        <f>MouserListTable1218[[#This Row],[Tot '#]]*MouserListTable1218[[#This Row],[Price (USD)]]</f>
        <v>19.5</v>
      </c>
    </row>
    <row r="486" spans="1:24" s="144" customFormat="1" x14ac:dyDescent="0.3">
      <c r="A486" s="146" t="s">
        <v>897</v>
      </c>
      <c r="B486" s="146" t="s">
        <v>1608</v>
      </c>
      <c r="C486" s="146" t="s">
        <v>8</v>
      </c>
      <c r="D486" s="106" t="str">
        <f>IF(MouserListTable1218[[#This Row],[Vendor]]=FilterSpecs!$A$8,MouserListTable1218[[#This Row],[Mouser SKU]], MouserListTable1218[[#This Row],[Supplier SKU]])</f>
        <v>PRT-08614</v>
      </c>
      <c r="E486" s="121">
        <f>MouserListTable1218[[#This Row],[Tot '#]]-MouserListTable1218[[#This Row],['# Initial]]</f>
        <v>0</v>
      </c>
      <c r="F486" s="121">
        <f>MouserListTable1218[[#This Row],['#/Unit]]*FilterSpecs!$B$3+MouserListTable1218[[#This Row],[Extra Initial]]</f>
        <v>0</v>
      </c>
      <c r="G486" s="103" t="s">
        <v>470</v>
      </c>
      <c r="H486" s="103" t="s">
        <v>471</v>
      </c>
      <c r="I486" s="106" t="s">
        <v>472</v>
      </c>
      <c r="J486" s="103">
        <v>1</v>
      </c>
      <c r="K486" s="157">
        <v>1.5</v>
      </c>
      <c r="L486" s="106" t="s">
        <v>1910</v>
      </c>
      <c r="M486" s="103"/>
      <c r="N486" s="157">
        <f>MouserListTable1218[[#This Row],['# Initial]]*MouserListTable1218[[#This Row],[Price (USD)]]</f>
        <v>0</v>
      </c>
      <c r="O486" s="106" t="s">
        <v>469</v>
      </c>
      <c r="P486" s="103">
        <f t="shared" si="11"/>
        <v>467</v>
      </c>
      <c r="Q486" s="103" t="s">
        <v>8</v>
      </c>
      <c r="R48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474-PRT-08614</v>
      </c>
      <c r="S486" s="121">
        <v>0</v>
      </c>
      <c r="T486" s="121">
        <v>0</v>
      </c>
      <c r="U486" s="121">
        <v>0</v>
      </c>
      <c r="V486" s="121">
        <f>MouserListTable1218[[#This Row],['#/Unit]]*FilterSpecs!$C$3+MouserListTable1218[[#This Row],[Extra]]</f>
        <v>0</v>
      </c>
      <c r="W486" s="121">
        <f>IF(MouserListTable1218[[#This Row],[Tag]]=FilterSpecs!$F$7,MouserListTable1218[[#This Row],[Price (USD)]],0)</f>
        <v>0</v>
      </c>
      <c r="X486" s="121">
        <f>MouserListTable1218[[#This Row],[Tot '#]]*MouserListTable1218[[#This Row],[Price (USD)]]</f>
        <v>0</v>
      </c>
    </row>
    <row r="487" spans="1:24" s="144" customFormat="1" x14ac:dyDescent="0.3">
      <c r="A487" s="146" t="s">
        <v>897</v>
      </c>
      <c r="B487" s="146" t="s">
        <v>1608</v>
      </c>
      <c r="C487" s="146" t="s">
        <v>8</v>
      </c>
      <c r="D487" s="106" t="str">
        <f>IF(MouserListTable1218[[#This Row],[Vendor]]=FilterSpecs!$A$8,MouserListTable1218[[#This Row],[Mouser SKU]], MouserListTable1218[[#This Row],[Supplier SKU]])</f>
        <v>PRT-08672</v>
      </c>
      <c r="E487" s="121">
        <f>MouserListTable1218[[#This Row],[Tot '#]]-MouserListTable1218[[#This Row],['# Initial]]</f>
        <v>0</v>
      </c>
      <c r="F487" s="121">
        <f>MouserListTable1218[[#This Row],['#/Unit]]*FilterSpecs!$B$3+MouserListTable1218[[#This Row],[Extra Initial]]</f>
        <v>0</v>
      </c>
      <c r="G487" s="103" t="s">
        <v>466</v>
      </c>
      <c r="H487" s="103" t="s">
        <v>467</v>
      </c>
      <c r="I487" s="106" t="s">
        <v>468</v>
      </c>
      <c r="J487" s="103">
        <v>1</v>
      </c>
      <c r="K487" s="157">
        <v>0.95</v>
      </c>
      <c r="L487" s="106" t="s">
        <v>1910</v>
      </c>
      <c r="M487" s="103"/>
      <c r="N487" s="157">
        <f>MouserListTable1218[[#This Row],['# Initial]]*MouserListTable1218[[#This Row],[Price (USD)]]</f>
        <v>0</v>
      </c>
      <c r="O487" s="106" t="s">
        <v>465</v>
      </c>
      <c r="P487" s="103">
        <f t="shared" si="11"/>
        <v>468</v>
      </c>
      <c r="Q487" s="103" t="s">
        <v>8</v>
      </c>
      <c r="R48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474-PRT-08672</v>
      </c>
      <c r="S487" s="121">
        <v>0</v>
      </c>
      <c r="T487" s="121">
        <v>0</v>
      </c>
      <c r="U487" s="121">
        <v>0</v>
      </c>
      <c r="V487" s="121">
        <f>MouserListTable1218[[#This Row],['#/Unit]]*FilterSpecs!$C$3+MouserListTable1218[[#This Row],[Extra]]</f>
        <v>0</v>
      </c>
      <c r="W487" s="121">
        <f>IF(MouserListTable1218[[#This Row],[Tag]]=FilterSpecs!$F$7,MouserListTable1218[[#This Row],[Price (USD)]],0)</f>
        <v>0</v>
      </c>
      <c r="X487" s="121">
        <f>MouserListTable1218[[#This Row],[Tot '#]]*MouserListTable1218[[#This Row],[Price (USD)]]</f>
        <v>0</v>
      </c>
    </row>
    <row r="488" spans="1:24" s="144" customFormat="1" x14ac:dyDescent="0.3">
      <c r="A488" s="146" t="s">
        <v>897</v>
      </c>
      <c r="B488" s="146" t="s">
        <v>1608</v>
      </c>
      <c r="C488" s="146" t="s">
        <v>8</v>
      </c>
      <c r="D488" s="106" t="str">
        <f>IF(MouserListTable1218[[#This Row],[Vendor]]=FilterSpecs!$A$8,MouserListTable1218[[#This Row],[Mouser SKU]], MouserListTable1218[[#This Row],[Supplier SKU]])</f>
        <v>PRT-10367</v>
      </c>
      <c r="E488" s="121">
        <f>MouserListTable1218[[#This Row],[Tot '#]]-MouserListTable1218[[#This Row],['# Initial]]</f>
        <v>0</v>
      </c>
      <c r="F488" s="121">
        <f>MouserListTable1218[[#This Row],['#/Unit]]*FilterSpecs!$B$3+MouserListTable1218[[#This Row],[Extra Initial]]</f>
        <v>0</v>
      </c>
      <c r="G488" s="103" t="s">
        <v>588</v>
      </c>
      <c r="H488" s="103" t="s">
        <v>589</v>
      </c>
      <c r="I488" s="106" t="s">
        <v>590</v>
      </c>
      <c r="J488" s="103"/>
      <c r="K488" s="157">
        <v>1.5</v>
      </c>
      <c r="L488" s="106" t="s">
        <v>1910</v>
      </c>
      <c r="M488" s="103"/>
      <c r="N488" s="157">
        <f>MouserListTable1218[[#This Row],['# Initial]]*MouserListTable1218[[#This Row],[Price (USD)]]</f>
        <v>0</v>
      </c>
      <c r="O488" s="106" t="s">
        <v>587</v>
      </c>
      <c r="P488" s="103">
        <f t="shared" si="11"/>
        <v>469</v>
      </c>
      <c r="Q488" s="103" t="s">
        <v>8</v>
      </c>
      <c r="R48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474-PRT-10367</v>
      </c>
      <c r="S488" s="121">
        <v>0</v>
      </c>
      <c r="T488" s="121">
        <v>0</v>
      </c>
      <c r="U488" s="121">
        <v>0</v>
      </c>
      <c r="V488" s="121">
        <f>MouserListTable1218[[#This Row],['#/Unit]]*FilterSpecs!$C$3+MouserListTable1218[[#This Row],[Extra]]</f>
        <v>0</v>
      </c>
      <c r="W488" s="121">
        <f>IF(MouserListTable1218[[#This Row],[Tag]]=FilterSpecs!$F$7,MouserListTable1218[[#This Row],[Price (USD)]],0)</f>
        <v>0</v>
      </c>
      <c r="X488" s="121">
        <f>MouserListTable1218[[#This Row],[Tot '#]]*MouserListTable1218[[#This Row],[Price (USD)]]</f>
        <v>0</v>
      </c>
    </row>
    <row r="489" spans="1:24" s="144" customFormat="1" x14ac:dyDescent="0.3">
      <c r="A489" s="146" t="s">
        <v>897</v>
      </c>
      <c r="B489" s="146" t="s">
        <v>1608</v>
      </c>
      <c r="C489" s="146" t="s">
        <v>8</v>
      </c>
      <c r="D489" s="106" t="str">
        <f>IF(MouserListTable1218[[#This Row],[Vendor]]=FilterSpecs!$A$8,MouserListTable1218[[#This Row],[Mouser SKU]], MouserListTable1218[[#This Row],[Supplier SKU]])</f>
        <v>PRT-10373</v>
      </c>
      <c r="E489" s="121">
        <f>MouserListTable1218[[#This Row],[Tot '#]]-MouserListTable1218[[#This Row],['# Initial]]</f>
        <v>0</v>
      </c>
      <c r="F489" s="121">
        <f>MouserListTable1218[[#This Row],['#/Unit]]*FilterSpecs!$B$3+MouserListTable1218[[#This Row],[Extra Initial]]</f>
        <v>0</v>
      </c>
      <c r="G489" s="103" t="s">
        <v>576</v>
      </c>
      <c r="H489" s="103" t="s">
        <v>577</v>
      </c>
      <c r="I489" s="106" t="s">
        <v>578</v>
      </c>
      <c r="J489" s="103"/>
      <c r="K489" s="157">
        <v>1.95</v>
      </c>
      <c r="L489" s="106" t="s">
        <v>1910</v>
      </c>
      <c r="M489" s="103"/>
      <c r="N489" s="157">
        <f>MouserListTable1218[[#This Row],['# Initial]]*MouserListTable1218[[#This Row],[Price (USD)]]</f>
        <v>0</v>
      </c>
      <c r="O489" s="106" t="s">
        <v>575</v>
      </c>
      <c r="P489" s="103">
        <f t="shared" si="11"/>
        <v>470</v>
      </c>
      <c r="Q489" s="103" t="s">
        <v>8</v>
      </c>
      <c r="R48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474-PRT-10373</v>
      </c>
      <c r="S489" s="121">
        <v>0</v>
      </c>
      <c r="T489" s="121">
        <v>0</v>
      </c>
      <c r="U489" s="121">
        <v>0</v>
      </c>
      <c r="V489" s="121">
        <f>MouserListTable1218[[#This Row],['#/Unit]]*FilterSpecs!$C$3+MouserListTable1218[[#This Row],[Extra]]</f>
        <v>0</v>
      </c>
      <c r="W489" s="121">
        <f>IF(MouserListTable1218[[#This Row],[Tag]]=FilterSpecs!$F$7,MouserListTable1218[[#This Row],[Price (USD)]],0)</f>
        <v>0</v>
      </c>
      <c r="X489" s="121">
        <f>MouserListTable1218[[#This Row],[Tot '#]]*MouserListTable1218[[#This Row],[Price (USD)]]</f>
        <v>0</v>
      </c>
    </row>
    <row r="490" spans="1:24" s="144" customFormat="1" x14ac:dyDescent="0.3">
      <c r="A490" s="146" t="s">
        <v>897</v>
      </c>
      <c r="B490" s="146" t="s">
        <v>1608</v>
      </c>
      <c r="C490" s="146" t="s">
        <v>8</v>
      </c>
      <c r="D490" s="106" t="str">
        <f>IF(MouserListTable1218[[#This Row],[Vendor]]=FilterSpecs!$A$8,MouserListTable1218[[#This Row],[Mouser SKU]], MouserListTable1218[[#This Row],[Supplier SKU]])</f>
        <v>PRT-13164</v>
      </c>
      <c r="E490" s="121">
        <f>MouserListTable1218[[#This Row],[Tot '#]]-MouserListTable1218[[#This Row],['# Initial]]</f>
        <v>0</v>
      </c>
      <c r="F490" s="121">
        <f>MouserListTable1218[[#This Row],['#/Unit]]*FilterSpecs!$B$3+MouserListTable1218[[#This Row],[Extra Initial]]</f>
        <v>0</v>
      </c>
      <c r="G490" s="103" t="s">
        <v>540</v>
      </c>
      <c r="H490" s="103" t="s">
        <v>541</v>
      </c>
      <c r="I490" s="106" t="s">
        <v>542</v>
      </c>
      <c r="J490" s="103">
        <v>1</v>
      </c>
      <c r="K490" s="157">
        <v>1.5</v>
      </c>
      <c r="L490" s="106" t="s">
        <v>1910</v>
      </c>
      <c r="M490" s="103"/>
      <c r="N490" s="157">
        <f>MouserListTable1218[[#This Row],['# Initial]]*MouserListTable1218[[#This Row],[Price (USD)]]</f>
        <v>0</v>
      </c>
      <c r="O490" s="106" t="s">
        <v>539</v>
      </c>
      <c r="P490" s="103">
        <f t="shared" si="11"/>
        <v>471</v>
      </c>
      <c r="Q490" s="103" t="s">
        <v>8</v>
      </c>
      <c r="R49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474-PRT-13164</v>
      </c>
      <c r="S490" s="121">
        <v>0</v>
      </c>
      <c r="T490" s="121">
        <v>0</v>
      </c>
      <c r="U490" s="121">
        <v>0</v>
      </c>
      <c r="V490" s="121">
        <f>MouserListTable1218[[#This Row],['#/Unit]]*FilterSpecs!$C$3+MouserListTable1218[[#This Row],[Extra]]</f>
        <v>0</v>
      </c>
      <c r="W490" s="121">
        <f>IF(MouserListTable1218[[#This Row],[Tag]]=FilterSpecs!$F$7,MouserListTable1218[[#This Row],[Price (USD)]],0)</f>
        <v>0</v>
      </c>
      <c r="X490" s="121">
        <f>MouserListTable1218[[#This Row],[Tot '#]]*MouserListTable1218[[#This Row],[Price (USD)]]</f>
        <v>0</v>
      </c>
    </row>
    <row r="491" spans="1:24" s="144" customFormat="1" x14ac:dyDescent="0.3">
      <c r="A491" s="146" t="s">
        <v>897</v>
      </c>
      <c r="B491" s="146" t="s">
        <v>1608</v>
      </c>
      <c r="C491" s="146" t="s">
        <v>8</v>
      </c>
      <c r="D491" s="106" t="str">
        <f>IF(MouserListTable1218[[#This Row],[Vendor]]=FilterSpecs!$A$8,MouserListTable1218[[#This Row],[Mouser SKU]], MouserListTable1218[[#This Row],[Supplier SKU]])</f>
        <v>PRT-10369</v>
      </c>
      <c r="E491" s="121">
        <f>MouserListTable1218[[#This Row],[Tot '#]]-MouserListTable1218[[#This Row],['# Initial]]</f>
        <v>0</v>
      </c>
      <c r="F491" s="121">
        <f>MouserListTable1218[[#This Row],['#/Unit]]*FilterSpecs!$B$3+MouserListTable1218[[#This Row],[Extra Initial]]</f>
        <v>0</v>
      </c>
      <c r="G491" s="103" t="s">
        <v>500</v>
      </c>
      <c r="H491" s="103" t="s">
        <v>501</v>
      </c>
      <c r="I491" s="106" t="s">
        <v>502</v>
      </c>
      <c r="J491" s="103"/>
      <c r="K491" s="157">
        <v>1.5</v>
      </c>
      <c r="L491" s="106" t="s">
        <v>1910</v>
      </c>
      <c r="M491" s="103"/>
      <c r="N491" s="157">
        <f>MouserListTable1218[[#This Row],['# Initial]]*MouserListTable1218[[#This Row],[Price (USD)]]</f>
        <v>0</v>
      </c>
      <c r="O491" s="106" t="s">
        <v>499</v>
      </c>
      <c r="P491" s="103">
        <f t="shared" si="11"/>
        <v>472</v>
      </c>
      <c r="Q491" s="103" t="s">
        <v>8</v>
      </c>
      <c r="R49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474-PRT-10369</v>
      </c>
      <c r="S491" s="121">
        <v>0</v>
      </c>
      <c r="T491" s="121">
        <v>0</v>
      </c>
      <c r="U491" s="121">
        <v>0</v>
      </c>
      <c r="V491" s="121">
        <f>MouserListTable1218[[#This Row],['#/Unit]]*FilterSpecs!$C$3+MouserListTable1218[[#This Row],[Extra]]</f>
        <v>0</v>
      </c>
      <c r="W491" s="121">
        <f>IF(MouserListTable1218[[#This Row],[Tag]]=FilterSpecs!$F$7,MouserListTable1218[[#This Row],[Price (USD)]],0)</f>
        <v>0</v>
      </c>
      <c r="X491" s="121">
        <f>MouserListTable1218[[#This Row],[Tot '#]]*MouserListTable1218[[#This Row],[Price (USD)]]</f>
        <v>0</v>
      </c>
    </row>
    <row r="492" spans="1:24" s="144" customFormat="1" x14ac:dyDescent="0.3">
      <c r="A492" s="146" t="s">
        <v>897</v>
      </c>
      <c r="B492" s="146" t="s">
        <v>1608</v>
      </c>
      <c r="C492" s="146" t="s">
        <v>8</v>
      </c>
      <c r="D492" s="106" t="str">
        <f>IF(MouserListTable1218[[#This Row],[Vendor]]=FilterSpecs!$A$8,MouserListTable1218[[#This Row],[Mouser SKU]], MouserListTable1218[[#This Row],[Supplier SKU]])</f>
        <v>PRT-10370</v>
      </c>
      <c r="E492" s="121">
        <f>MouserListTable1218[[#This Row],[Tot '#]]-MouserListTable1218[[#This Row],['# Initial]]</f>
        <v>0</v>
      </c>
      <c r="F492" s="121">
        <f>MouserListTable1218[[#This Row],['#/Unit]]*FilterSpecs!$B$3+MouserListTable1218[[#This Row],[Extra Initial]]</f>
        <v>0</v>
      </c>
      <c r="G492" s="103" t="s">
        <v>536</v>
      </c>
      <c r="H492" s="103" t="s">
        <v>537</v>
      </c>
      <c r="I492" s="106" t="s">
        <v>538</v>
      </c>
      <c r="J492" s="103"/>
      <c r="K492" s="157">
        <v>1.5</v>
      </c>
      <c r="L492" s="106" t="s">
        <v>1910</v>
      </c>
      <c r="M492" s="103"/>
      <c r="N492" s="157">
        <f>MouserListTable1218[[#This Row],['# Initial]]*MouserListTable1218[[#This Row],[Price (USD)]]</f>
        <v>0</v>
      </c>
      <c r="O492" s="106" t="s">
        <v>535</v>
      </c>
      <c r="P492" s="103">
        <f t="shared" si="11"/>
        <v>473</v>
      </c>
      <c r="Q492" s="103" t="s">
        <v>8</v>
      </c>
      <c r="R49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474-PRT-10370</v>
      </c>
      <c r="S492" s="121">
        <v>0</v>
      </c>
      <c r="T492" s="121">
        <v>0</v>
      </c>
      <c r="U492" s="121">
        <v>0</v>
      </c>
      <c r="V492" s="121">
        <f>MouserListTable1218[[#This Row],['#/Unit]]*FilterSpecs!$C$3+MouserListTable1218[[#This Row],[Extra]]</f>
        <v>0</v>
      </c>
      <c r="W492" s="121">
        <f>IF(MouserListTable1218[[#This Row],[Tag]]=FilterSpecs!$F$7,MouserListTable1218[[#This Row],[Price (USD)]],0)</f>
        <v>0</v>
      </c>
      <c r="X492" s="121">
        <f>MouserListTable1218[[#This Row],[Tot '#]]*MouserListTable1218[[#This Row],[Price (USD)]]</f>
        <v>0</v>
      </c>
    </row>
    <row r="493" spans="1:24" s="144" customFormat="1" x14ac:dyDescent="0.3">
      <c r="A493" s="146" t="s">
        <v>897</v>
      </c>
      <c r="B493" s="146" t="s">
        <v>1608</v>
      </c>
      <c r="C493" s="146" t="s">
        <v>8</v>
      </c>
      <c r="D493" s="106" t="str">
        <f>IF(MouserListTable1218[[#This Row],[Vendor]]=FilterSpecs!$A$8,MouserListTable1218[[#This Row],[Mouser SKU]], MouserListTable1218[[#This Row],[Supplier SKU]])</f>
        <v>PRT-10376</v>
      </c>
      <c r="E493" s="121">
        <f>MouserListTable1218[[#This Row],[Tot '#]]-MouserListTable1218[[#This Row],['# Initial]]</f>
        <v>0</v>
      </c>
      <c r="F493" s="121">
        <f>MouserListTable1218[[#This Row],['#/Unit]]*FilterSpecs!$B$3+MouserListTable1218[[#This Row],[Extra Initial]]</f>
        <v>0</v>
      </c>
      <c r="G493" s="103" t="s">
        <v>504</v>
      </c>
      <c r="H493" s="103" t="s">
        <v>505</v>
      </c>
      <c r="I493" s="106" t="s">
        <v>506</v>
      </c>
      <c r="J493" s="103"/>
      <c r="K493" s="157">
        <v>1.95</v>
      </c>
      <c r="L493" s="106" t="s">
        <v>1910</v>
      </c>
      <c r="M493" s="103"/>
      <c r="N493" s="157">
        <f>MouserListTable1218[[#This Row],['# Initial]]*MouserListTable1218[[#This Row],[Price (USD)]]</f>
        <v>0</v>
      </c>
      <c r="O493" s="106" t="s">
        <v>503</v>
      </c>
      <c r="P493" s="103">
        <f t="shared" si="11"/>
        <v>474</v>
      </c>
      <c r="Q493" s="103" t="s">
        <v>8</v>
      </c>
      <c r="R49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474-PRT-10376</v>
      </c>
      <c r="S493" s="121">
        <v>0</v>
      </c>
      <c r="T493" s="121">
        <v>0</v>
      </c>
      <c r="U493" s="121">
        <v>0</v>
      </c>
      <c r="V493" s="121">
        <f>MouserListTable1218[[#This Row],['#/Unit]]*FilterSpecs!$C$3+MouserListTable1218[[#This Row],[Extra]]</f>
        <v>0</v>
      </c>
      <c r="W493" s="121">
        <f>IF(MouserListTable1218[[#This Row],[Tag]]=FilterSpecs!$F$7,MouserListTable1218[[#This Row],[Price (USD)]],0)</f>
        <v>0</v>
      </c>
      <c r="X493" s="121">
        <f>MouserListTable1218[[#This Row],[Tot '#]]*MouserListTable1218[[#This Row],[Price (USD)]]</f>
        <v>0</v>
      </c>
    </row>
    <row r="494" spans="1:24" s="144" customFormat="1" x14ac:dyDescent="0.3">
      <c r="A494" s="146" t="s">
        <v>897</v>
      </c>
      <c r="B494" s="146" t="s">
        <v>1608</v>
      </c>
      <c r="C494" s="146" t="s">
        <v>8</v>
      </c>
      <c r="D494" s="106" t="str">
        <f>IF(MouserListTable1218[[#This Row],[Vendor]]=FilterSpecs!$A$8,MouserListTable1218[[#This Row],[Mouser SKU]], MouserListTable1218[[#This Row],[Supplier SKU]])</f>
        <v>PRT-10371</v>
      </c>
      <c r="E494" s="121">
        <f>MouserListTable1218[[#This Row],[Tot '#]]-MouserListTable1218[[#This Row],['# Initial]]</f>
        <v>0</v>
      </c>
      <c r="F494" s="121">
        <f>MouserListTable1218[[#This Row],['#/Unit]]*FilterSpecs!$B$3+MouserListTable1218[[#This Row],[Extra Initial]]</f>
        <v>0</v>
      </c>
      <c r="G494" s="103" t="s">
        <v>508</v>
      </c>
      <c r="H494" s="103" t="s">
        <v>509</v>
      </c>
      <c r="I494" s="106" t="s">
        <v>510</v>
      </c>
      <c r="J494" s="103"/>
      <c r="K494" s="157">
        <v>1.5</v>
      </c>
      <c r="L494" s="106" t="s">
        <v>1910</v>
      </c>
      <c r="M494" s="103"/>
      <c r="N494" s="157">
        <f>MouserListTable1218[[#This Row],['# Initial]]*MouserListTable1218[[#This Row],[Price (USD)]]</f>
        <v>0</v>
      </c>
      <c r="O494" s="106" t="s">
        <v>507</v>
      </c>
      <c r="P494" s="103">
        <f t="shared" si="11"/>
        <v>475</v>
      </c>
      <c r="Q494" s="103" t="s">
        <v>8</v>
      </c>
      <c r="R49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474-PRT-10371</v>
      </c>
      <c r="S494" s="121">
        <v>0</v>
      </c>
      <c r="T494" s="121">
        <v>0</v>
      </c>
      <c r="U494" s="121">
        <v>0</v>
      </c>
      <c r="V494" s="121">
        <f>MouserListTable1218[[#This Row],['#/Unit]]*FilterSpecs!$C$3+MouserListTable1218[[#This Row],[Extra]]</f>
        <v>0</v>
      </c>
      <c r="W494" s="121">
        <f>IF(MouserListTable1218[[#This Row],[Tag]]=FilterSpecs!$F$7,MouserListTable1218[[#This Row],[Price (USD)]],0)</f>
        <v>0</v>
      </c>
      <c r="X494" s="121">
        <f>MouserListTable1218[[#This Row],[Tot '#]]*MouserListTable1218[[#This Row],[Price (USD)]]</f>
        <v>0</v>
      </c>
    </row>
    <row r="495" spans="1:24" s="144" customFormat="1" x14ac:dyDescent="0.3">
      <c r="A495" s="146" t="s">
        <v>897</v>
      </c>
      <c r="B495" s="146" t="s">
        <v>1608</v>
      </c>
      <c r="C495" s="146" t="s">
        <v>8</v>
      </c>
      <c r="D495" s="106" t="str">
        <f>IF(MouserListTable1218[[#This Row],[Vendor]]=FilterSpecs!$A$8,MouserListTable1218[[#This Row],[Mouser SKU]], MouserListTable1218[[#This Row],[Supplier SKU]])</f>
        <v>PRT-12796</v>
      </c>
      <c r="E495" s="121">
        <f>MouserListTable1218[[#This Row],[Tot '#]]-MouserListTable1218[[#This Row],['# Initial]]</f>
        <v>0</v>
      </c>
      <c r="F495" s="121">
        <f>MouserListTable1218[[#This Row],['#/Unit]]*FilterSpecs!$B$3+MouserListTable1218[[#This Row],[Extra Initial]]</f>
        <v>0</v>
      </c>
      <c r="G495" s="103" t="s">
        <v>548</v>
      </c>
      <c r="H495" s="103" t="s">
        <v>549</v>
      </c>
      <c r="I495" s="106" t="s">
        <v>550</v>
      </c>
      <c r="J495" s="103">
        <v>1</v>
      </c>
      <c r="K495" s="157">
        <v>1.95</v>
      </c>
      <c r="L495" s="106" t="s">
        <v>1910</v>
      </c>
      <c r="M495" s="103"/>
      <c r="N495" s="157">
        <f>MouserListTable1218[[#This Row],['# Initial]]*MouserListTable1218[[#This Row],[Price (USD)]]</f>
        <v>0</v>
      </c>
      <c r="O495" s="106" t="s">
        <v>547</v>
      </c>
      <c r="P495" s="103">
        <f t="shared" si="11"/>
        <v>476</v>
      </c>
      <c r="Q495" s="103" t="s">
        <v>8</v>
      </c>
      <c r="R49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474-PRT-12796</v>
      </c>
      <c r="S495" s="121">
        <v>0</v>
      </c>
      <c r="T495" s="121">
        <v>0</v>
      </c>
      <c r="U495" s="121">
        <v>0</v>
      </c>
      <c r="V495" s="121">
        <f>MouserListTable1218[[#This Row],['#/Unit]]*FilterSpecs!$C$3+MouserListTable1218[[#This Row],[Extra]]</f>
        <v>0</v>
      </c>
      <c r="W495" s="121">
        <f>IF(MouserListTable1218[[#This Row],[Tag]]=FilterSpecs!$F$7,MouserListTable1218[[#This Row],[Price (USD)]],0)</f>
        <v>0</v>
      </c>
      <c r="X495" s="121">
        <f>MouserListTable1218[[#This Row],[Tot '#]]*MouserListTable1218[[#This Row],[Price (USD)]]</f>
        <v>0</v>
      </c>
    </row>
    <row r="496" spans="1:24" s="144" customFormat="1" x14ac:dyDescent="0.3">
      <c r="A496" s="146" t="s">
        <v>897</v>
      </c>
      <c r="B496" s="146" t="s">
        <v>1608</v>
      </c>
      <c r="C496" s="146" t="s">
        <v>8</v>
      </c>
      <c r="D496" s="106" t="str">
        <f>IF(MouserListTable1218[[#This Row],[Vendor]]=FilterSpecs!$A$8,MouserListTable1218[[#This Row],[Mouser SKU]], MouserListTable1218[[#This Row],[Supplier SKU]])</f>
        <v>PRT-11710</v>
      </c>
      <c r="E496" s="121">
        <f>MouserListTable1218[[#This Row],[Tot '#]]-MouserListTable1218[[#This Row],['# Initial]]</f>
        <v>0</v>
      </c>
      <c r="F496" s="121">
        <f>MouserListTable1218[[#This Row],['#/Unit]]*FilterSpecs!$B$3+MouserListTable1218[[#This Row],[Extra Initial]]</f>
        <v>0</v>
      </c>
      <c r="G496" s="103" t="s">
        <v>552</v>
      </c>
      <c r="H496" s="103" t="s">
        <v>553</v>
      </c>
      <c r="I496" s="106" t="s">
        <v>554</v>
      </c>
      <c r="J496" s="103">
        <v>1</v>
      </c>
      <c r="K496" s="157">
        <v>4.95</v>
      </c>
      <c r="L496" s="106" t="s">
        <v>1910</v>
      </c>
      <c r="M496" s="103"/>
      <c r="N496" s="157">
        <f>MouserListTable1218[[#This Row],['# Initial]]*MouserListTable1218[[#This Row],[Price (USD)]]</f>
        <v>0</v>
      </c>
      <c r="O496" s="106" t="s">
        <v>551</v>
      </c>
      <c r="P496" s="103">
        <f t="shared" si="11"/>
        <v>477</v>
      </c>
      <c r="Q496" s="103" t="s">
        <v>8</v>
      </c>
      <c r="R49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474-PRT-11710</v>
      </c>
      <c r="S496" s="121">
        <v>0</v>
      </c>
      <c r="T496" s="121">
        <v>0</v>
      </c>
      <c r="U496" s="121">
        <v>0</v>
      </c>
      <c r="V496" s="121">
        <f>MouserListTable1218[[#This Row],['#/Unit]]*FilterSpecs!$C$3+MouserListTable1218[[#This Row],[Extra]]</f>
        <v>0</v>
      </c>
      <c r="W496" s="121">
        <f>IF(MouserListTable1218[[#This Row],[Tag]]=FilterSpecs!$F$7,MouserListTable1218[[#This Row],[Price (USD)]],0)</f>
        <v>0</v>
      </c>
      <c r="X496" s="121">
        <f>MouserListTable1218[[#This Row],[Tot '#]]*MouserListTable1218[[#This Row],[Price (USD)]]</f>
        <v>0</v>
      </c>
    </row>
    <row r="497" spans="1:24" s="144" customFormat="1" x14ac:dyDescent="0.3">
      <c r="A497" s="146" t="s">
        <v>897</v>
      </c>
      <c r="B497" s="146" t="s">
        <v>1608</v>
      </c>
      <c r="C497" s="146" t="s">
        <v>8</v>
      </c>
      <c r="D497" s="106" t="str">
        <f>IF(MouserListTable1218[[#This Row],[Vendor]]=FilterSpecs!$A$8,MouserListTable1218[[#This Row],[Mouser SKU]], MouserListTable1218[[#This Row],[Supplier SKU]])</f>
        <v>PRT-09389</v>
      </c>
      <c r="E497" s="121">
        <f>MouserListTable1218[[#This Row],[Tot '#]]-MouserListTable1218[[#This Row],['# Initial]]</f>
        <v>0</v>
      </c>
      <c r="F497" s="121">
        <f>MouserListTable1218[[#This Row],['#/Unit]]*FilterSpecs!$B$3+MouserListTable1218[[#This Row],[Extra Initial]]</f>
        <v>0</v>
      </c>
      <c r="G497" s="103" t="s">
        <v>600</v>
      </c>
      <c r="H497" s="103" t="s">
        <v>601</v>
      </c>
      <c r="I497" s="106" t="s">
        <v>602</v>
      </c>
      <c r="J497" s="103">
        <v>1</v>
      </c>
      <c r="K497" s="157">
        <v>4.5</v>
      </c>
      <c r="L497" s="106" t="s">
        <v>1910</v>
      </c>
      <c r="M497" s="103"/>
      <c r="N497" s="157">
        <f>MouserListTable1218[[#This Row],['# Initial]]*MouserListTable1218[[#This Row],[Price (USD)]]</f>
        <v>0</v>
      </c>
      <c r="O497" s="106" t="s">
        <v>599</v>
      </c>
      <c r="P497" s="103">
        <f t="shared" si="11"/>
        <v>478</v>
      </c>
      <c r="Q497" s="103" t="s">
        <v>8</v>
      </c>
      <c r="R49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474-PRT-09389</v>
      </c>
      <c r="S497" s="121">
        <v>0</v>
      </c>
      <c r="T497" s="121">
        <v>0</v>
      </c>
      <c r="U497" s="121">
        <v>0</v>
      </c>
      <c r="V497" s="121">
        <f>MouserListTable1218[[#This Row],['#/Unit]]*FilterSpecs!$C$3+MouserListTable1218[[#This Row],[Extra]]</f>
        <v>0</v>
      </c>
      <c r="W497" s="121">
        <f>IF(MouserListTable1218[[#This Row],[Tag]]=FilterSpecs!$F$7,MouserListTable1218[[#This Row],[Price (USD)]],0)</f>
        <v>0</v>
      </c>
      <c r="X497" s="121">
        <f>MouserListTable1218[[#This Row],[Tot '#]]*MouserListTable1218[[#This Row],[Price (USD)]]</f>
        <v>0</v>
      </c>
    </row>
    <row r="498" spans="1:24" s="144" customFormat="1" x14ac:dyDescent="0.3">
      <c r="A498" s="146" t="s">
        <v>897</v>
      </c>
      <c r="B498" s="146" t="s">
        <v>1608</v>
      </c>
      <c r="C498" s="146" t="s">
        <v>8</v>
      </c>
      <c r="D498" s="106" t="str">
        <f>IF(MouserListTable1218[[#This Row],[Vendor]]=FilterSpecs!$A$8,MouserListTable1218[[#This Row],[Mouser SKU]], MouserListTable1218[[#This Row],[Supplier SKU]])</f>
        <v>PRT-09140</v>
      </c>
      <c r="E498" s="121">
        <f>MouserListTable1218[[#This Row],[Tot '#]]-MouserListTable1218[[#This Row],['# Initial]]</f>
        <v>0</v>
      </c>
      <c r="F498" s="121">
        <f>MouserListTable1218[[#This Row],['#/Unit]]*FilterSpecs!$B$3+MouserListTable1218[[#This Row],[Extra Initial]]</f>
        <v>0</v>
      </c>
      <c r="G498" s="103" t="s">
        <v>560</v>
      </c>
      <c r="H498" s="103" t="s">
        <v>561</v>
      </c>
      <c r="I498" s="106" t="s">
        <v>562</v>
      </c>
      <c r="J498" s="103">
        <v>1</v>
      </c>
      <c r="K498" s="157">
        <v>3.95</v>
      </c>
      <c r="L498" s="106" t="s">
        <v>1910</v>
      </c>
      <c r="M498" s="103"/>
      <c r="N498" s="157">
        <f>MouserListTable1218[[#This Row],['# Initial]]*MouserListTable1218[[#This Row],[Price (USD)]]</f>
        <v>0</v>
      </c>
      <c r="O498" s="106" t="s">
        <v>559</v>
      </c>
      <c r="P498" s="103">
        <f t="shared" si="11"/>
        <v>479</v>
      </c>
      <c r="Q498" s="103" t="s">
        <v>8</v>
      </c>
      <c r="R49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474-PRT-09140</v>
      </c>
      <c r="S498" s="121">
        <v>0</v>
      </c>
      <c r="T498" s="121">
        <v>0</v>
      </c>
      <c r="U498" s="121">
        <v>0</v>
      </c>
      <c r="V498" s="121">
        <f>MouserListTable1218[[#This Row],['#/Unit]]*FilterSpecs!$C$3+MouserListTable1218[[#This Row],[Extra]]</f>
        <v>0</v>
      </c>
      <c r="W498" s="121">
        <f>IF(MouserListTable1218[[#This Row],[Tag]]=FilterSpecs!$F$7,MouserListTable1218[[#This Row],[Price (USD)]],0)</f>
        <v>0</v>
      </c>
      <c r="X498" s="121">
        <f>MouserListTable1218[[#This Row],[Tot '#]]*MouserListTable1218[[#This Row],[Price (USD)]]</f>
        <v>0</v>
      </c>
    </row>
    <row r="499" spans="1:24" s="144" customFormat="1" x14ac:dyDescent="0.3">
      <c r="A499" s="146" t="s">
        <v>897</v>
      </c>
      <c r="B499" s="146" t="s">
        <v>1608</v>
      </c>
      <c r="C499" s="146" t="s">
        <v>8</v>
      </c>
      <c r="D499" s="106" t="str">
        <f>IF(MouserListTable1218[[#This Row],[Vendor]]=FilterSpecs!$A$8,MouserListTable1218[[#This Row],[Mouser SKU]], MouserListTable1218[[#This Row],[Supplier SKU]])</f>
        <v>PRT-09385</v>
      </c>
      <c r="E499" s="121">
        <f>MouserListTable1218[[#This Row],[Tot '#]]-MouserListTable1218[[#This Row],['# Initial]]</f>
        <v>0</v>
      </c>
      <c r="F499" s="121">
        <f>MouserListTable1218[[#This Row],['#/Unit]]*FilterSpecs!$B$3+MouserListTable1218[[#This Row],[Extra Initial]]</f>
        <v>0</v>
      </c>
      <c r="G499" s="103" t="s">
        <v>568</v>
      </c>
      <c r="H499" s="103" t="s">
        <v>569</v>
      </c>
      <c r="I499" s="106" t="s">
        <v>570</v>
      </c>
      <c r="J499" s="103">
        <v>1</v>
      </c>
      <c r="K499" s="157">
        <v>4.5</v>
      </c>
      <c r="L499" s="106" t="s">
        <v>1910</v>
      </c>
      <c r="M499" s="103"/>
      <c r="N499" s="157">
        <f>MouserListTable1218[[#This Row],['# Initial]]*MouserListTable1218[[#This Row],[Price (USD)]]</f>
        <v>0</v>
      </c>
      <c r="O499" s="106" t="s">
        <v>567</v>
      </c>
      <c r="P499" s="103">
        <f t="shared" si="11"/>
        <v>480</v>
      </c>
      <c r="Q499" s="103" t="s">
        <v>8</v>
      </c>
      <c r="R49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474-PRT-09385</v>
      </c>
      <c r="S499" s="121">
        <v>0</v>
      </c>
      <c r="T499" s="121">
        <v>0</v>
      </c>
      <c r="U499" s="121">
        <v>0</v>
      </c>
      <c r="V499" s="121">
        <f>MouserListTable1218[[#This Row],['#/Unit]]*FilterSpecs!$C$3+MouserListTable1218[[#This Row],[Extra]]</f>
        <v>0</v>
      </c>
      <c r="W499" s="121">
        <f>IF(MouserListTable1218[[#This Row],[Tag]]=FilterSpecs!$F$7,MouserListTable1218[[#This Row],[Price (USD)]],0)</f>
        <v>0</v>
      </c>
      <c r="X499" s="121">
        <f>MouserListTable1218[[#This Row],[Tot '#]]*MouserListTable1218[[#This Row],[Price (USD)]]</f>
        <v>0</v>
      </c>
    </row>
    <row r="500" spans="1:24" s="144" customFormat="1" x14ac:dyDescent="0.3">
      <c r="A500" s="146" t="s">
        <v>897</v>
      </c>
      <c r="B500" s="146" t="s">
        <v>1608</v>
      </c>
      <c r="C500" s="146" t="s">
        <v>8</v>
      </c>
      <c r="D500" s="106" t="str">
        <f>IF(MouserListTable1218[[#This Row],[Vendor]]=FilterSpecs!$A$8,MouserListTable1218[[#This Row],[Mouser SKU]], MouserListTable1218[[#This Row],[Supplier SKU]])</f>
        <v>PRT-14284</v>
      </c>
      <c r="E500" s="121">
        <f>MouserListTable1218[[#This Row],[Tot '#]]-MouserListTable1218[[#This Row],['# Initial]]</f>
        <v>0</v>
      </c>
      <c r="F500" s="121">
        <f>MouserListTable1218[[#This Row],['#/Unit]]*FilterSpecs!$B$3+MouserListTable1218[[#This Row],[Extra Initial]]</f>
        <v>0</v>
      </c>
      <c r="G500" s="103" t="s">
        <v>544</v>
      </c>
      <c r="H500" s="103" t="s">
        <v>545</v>
      </c>
      <c r="I500" s="106" t="s">
        <v>546</v>
      </c>
      <c r="J500" s="103">
        <v>1</v>
      </c>
      <c r="K500" s="157">
        <v>1.95</v>
      </c>
      <c r="L500" s="106" t="s">
        <v>1910</v>
      </c>
      <c r="M500" s="103"/>
      <c r="N500" s="157">
        <f>MouserListTable1218[[#This Row],['# Initial]]*MouserListTable1218[[#This Row],[Price (USD)]]</f>
        <v>0</v>
      </c>
      <c r="O500" s="106" t="s">
        <v>543</v>
      </c>
      <c r="P500" s="103">
        <f t="shared" si="11"/>
        <v>481</v>
      </c>
      <c r="Q500" s="103" t="s">
        <v>8</v>
      </c>
      <c r="R50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474-PRT-14284</v>
      </c>
      <c r="S500" s="121">
        <v>0</v>
      </c>
      <c r="T500" s="121">
        <v>0</v>
      </c>
      <c r="U500" s="121">
        <v>0</v>
      </c>
      <c r="V500" s="121">
        <f>MouserListTable1218[[#This Row],['#/Unit]]*FilterSpecs!$C$3+MouserListTable1218[[#This Row],[Extra]]</f>
        <v>0</v>
      </c>
      <c r="W500" s="121">
        <f>IF(MouserListTable1218[[#This Row],[Tag]]=FilterSpecs!$F$7,MouserListTable1218[[#This Row],[Price (USD)]],0)</f>
        <v>0</v>
      </c>
      <c r="X500" s="121">
        <f>MouserListTable1218[[#This Row],[Tot '#]]*MouserListTable1218[[#This Row],[Price (USD)]]</f>
        <v>0</v>
      </c>
    </row>
    <row r="501" spans="1:24" s="144" customFormat="1" x14ac:dyDescent="0.3">
      <c r="A501" s="146" t="s">
        <v>897</v>
      </c>
      <c r="B501" s="146" t="s">
        <v>1608</v>
      </c>
      <c r="C501" s="146" t="s">
        <v>8</v>
      </c>
      <c r="D501" s="106" t="str">
        <f>IF(MouserListTable1218[[#This Row],[Vendor]]=FilterSpecs!$A$8,MouserListTable1218[[#This Row],[Mouser SKU]], MouserListTable1218[[#This Row],[Supplier SKU]])</f>
        <v>PRT-11709</v>
      </c>
      <c r="E501" s="121">
        <f>MouserListTable1218[[#This Row],[Tot '#]]-MouserListTable1218[[#This Row],['# Initial]]</f>
        <v>0</v>
      </c>
      <c r="F501" s="121">
        <f>MouserListTable1218[[#This Row],['#/Unit]]*FilterSpecs!$B$3+MouserListTable1218[[#This Row],[Extra Initial]]</f>
        <v>0</v>
      </c>
      <c r="G501" s="103" t="s">
        <v>552</v>
      </c>
      <c r="H501" s="103" t="s">
        <v>553</v>
      </c>
      <c r="I501" s="106" t="s">
        <v>1351</v>
      </c>
      <c r="J501" s="103">
        <v>1</v>
      </c>
      <c r="K501" s="157">
        <v>4.95</v>
      </c>
      <c r="L501" s="106" t="s">
        <v>1910</v>
      </c>
      <c r="M501" s="103"/>
      <c r="N501" s="157">
        <f>MouserListTable1218[[#This Row],['# Initial]]*MouserListTable1218[[#This Row],[Price (USD)]]</f>
        <v>0</v>
      </c>
      <c r="O501" s="106" t="s">
        <v>1352</v>
      </c>
      <c r="P501" s="103">
        <f t="shared" si="11"/>
        <v>482</v>
      </c>
      <c r="Q501" s="103" t="s">
        <v>8</v>
      </c>
      <c r="R50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474-PRT-11709</v>
      </c>
      <c r="S501" s="121">
        <v>0</v>
      </c>
      <c r="T501" s="121">
        <v>0</v>
      </c>
      <c r="U501" s="121">
        <v>0</v>
      </c>
      <c r="V501" s="121">
        <f>MouserListTable1218[[#This Row],['#/Unit]]*FilterSpecs!$C$3+MouserListTable1218[[#This Row],[Extra]]</f>
        <v>0</v>
      </c>
      <c r="W501" s="121">
        <f>IF(MouserListTable1218[[#This Row],[Tag]]=FilterSpecs!$F$7,MouserListTable1218[[#This Row],[Price (USD)]],0)</f>
        <v>0</v>
      </c>
      <c r="X501" s="121">
        <f>MouserListTable1218[[#This Row],[Tot '#]]*MouserListTable1218[[#This Row],[Price (USD)]]</f>
        <v>0</v>
      </c>
    </row>
    <row r="502" spans="1:24" s="144" customFormat="1" x14ac:dyDescent="0.3">
      <c r="A502" s="146" t="s">
        <v>897</v>
      </c>
      <c r="B502" s="146" t="s">
        <v>1608</v>
      </c>
      <c r="C502" s="146" t="s">
        <v>8</v>
      </c>
      <c r="D502" s="106" t="str">
        <f>IF(MouserListTable1218[[#This Row],[Vendor]]=FilterSpecs!$A$8,MouserListTable1218[[#This Row],[Mouser SKU]], MouserListTable1218[[#This Row],[Supplier SKU]])</f>
        <v>PRT-08431</v>
      </c>
      <c r="E502" s="121">
        <f>MouserListTable1218[[#This Row],[Tot '#]]-MouserListTable1218[[#This Row],['# Initial]]</f>
        <v>0</v>
      </c>
      <c r="F502" s="121">
        <f>MouserListTable1218[[#This Row],['#/Unit]]*FilterSpecs!$B$3+MouserListTable1218[[#This Row],[Extra Initial]]</f>
        <v>0</v>
      </c>
      <c r="G502" s="103" t="s">
        <v>564</v>
      </c>
      <c r="H502" s="103" t="s">
        <v>565</v>
      </c>
      <c r="I502" s="106" t="s">
        <v>566</v>
      </c>
      <c r="J502" s="103">
        <v>1</v>
      </c>
      <c r="K502" s="157">
        <v>3.95</v>
      </c>
      <c r="L502" s="106" t="s">
        <v>1910</v>
      </c>
      <c r="M502" s="103"/>
      <c r="N502" s="157">
        <f>MouserListTable1218[[#This Row],['# Initial]]*MouserListTable1218[[#This Row],[Price (USD)]]</f>
        <v>0</v>
      </c>
      <c r="O502" s="106" t="s">
        <v>563</v>
      </c>
      <c r="P502" s="103">
        <f t="shared" si="11"/>
        <v>483</v>
      </c>
      <c r="Q502" s="103" t="s">
        <v>8</v>
      </c>
      <c r="R50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474-PRT-08431</v>
      </c>
      <c r="S502" s="121">
        <v>0</v>
      </c>
      <c r="T502" s="121">
        <v>0</v>
      </c>
      <c r="U502" s="121">
        <v>0</v>
      </c>
      <c r="V502" s="121">
        <f>MouserListTable1218[[#This Row],['#/Unit]]*FilterSpecs!$C$3+MouserListTable1218[[#This Row],[Extra]]</f>
        <v>0</v>
      </c>
      <c r="W502" s="121">
        <f>IF(MouserListTable1218[[#This Row],[Tag]]=FilterSpecs!$F$7,MouserListTable1218[[#This Row],[Price (USD)]],0)</f>
        <v>0</v>
      </c>
      <c r="X502" s="121">
        <f>MouserListTable1218[[#This Row],[Tot '#]]*MouserListTable1218[[#This Row],[Price (USD)]]</f>
        <v>0</v>
      </c>
    </row>
    <row r="503" spans="1:24" s="144" customFormat="1" x14ac:dyDescent="0.3">
      <c r="A503" s="146" t="s">
        <v>897</v>
      </c>
      <c r="B503" s="146" t="s">
        <v>1608</v>
      </c>
      <c r="C503" s="146" t="s">
        <v>8</v>
      </c>
      <c r="D503" s="106" t="str">
        <f>IF(MouserListTable1218[[#This Row],[Vendor]]=FilterSpecs!$A$8,MouserListTable1218[[#This Row],[Mouser SKU]], MouserListTable1218[[#This Row],[Supplier SKU]])</f>
        <v>PRT-11026</v>
      </c>
      <c r="E503" s="121">
        <f>MouserListTable1218[[#This Row],[Tot '#]]-MouserListTable1218[[#This Row],['# Initial]]</f>
        <v>0</v>
      </c>
      <c r="F503" s="121">
        <f>MouserListTable1218[[#This Row],['#/Unit]]*FilterSpecs!$B$3+MouserListTable1218[[#This Row],[Extra Initial]]</f>
        <v>0</v>
      </c>
      <c r="G503" s="103" t="s">
        <v>556</v>
      </c>
      <c r="H503" s="103" t="s">
        <v>557</v>
      </c>
      <c r="I503" s="106" t="s">
        <v>558</v>
      </c>
      <c r="J503" s="103">
        <v>1</v>
      </c>
      <c r="K503" s="157">
        <v>1.95</v>
      </c>
      <c r="L503" s="106" t="s">
        <v>1910</v>
      </c>
      <c r="M503" s="103"/>
      <c r="N503" s="157">
        <f>MouserListTable1218[[#This Row],['# Initial]]*MouserListTable1218[[#This Row],[Price (USD)]]</f>
        <v>0</v>
      </c>
      <c r="O503" s="106" t="s">
        <v>555</v>
      </c>
      <c r="P503" s="103">
        <f t="shared" si="11"/>
        <v>484</v>
      </c>
      <c r="Q503" s="103" t="s">
        <v>8</v>
      </c>
      <c r="R50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474-PRT-11026</v>
      </c>
      <c r="S503" s="121">
        <v>0</v>
      </c>
      <c r="T503" s="121">
        <v>0</v>
      </c>
      <c r="U503" s="121">
        <v>0</v>
      </c>
      <c r="V503" s="121">
        <f>MouserListTable1218[[#This Row],['#/Unit]]*FilterSpecs!$C$3+MouserListTable1218[[#This Row],[Extra]]</f>
        <v>0</v>
      </c>
      <c r="W503" s="121">
        <f>IF(MouserListTable1218[[#This Row],[Tag]]=FilterSpecs!$F$7,MouserListTable1218[[#This Row],[Price (USD)]],0)</f>
        <v>0</v>
      </c>
      <c r="X503" s="121">
        <f>MouserListTable1218[[#This Row],[Tot '#]]*MouserListTable1218[[#This Row],[Price (USD)]]</f>
        <v>0</v>
      </c>
    </row>
    <row r="504" spans="1:24" s="146" customFormat="1" x14ac:dyDescent="0.3">
      <c r="A504" s="103" t="s">
        <v>897</v>
      </c>
      <c r="B504" s="103" t="s">
        <v>1012</v>
      </c>
      <c r="C504" s="103" t="s">
        <v>8</v>
      </c>
      <c r="D504" s="106" t="str">
        <f>IF(MouserListTable1218[[#This Row],[Vendor]]=FilterSpecs!$A$8,MouserListTable1218[[#This Row],[Mouser SKU]], MouserListTable1218[[#This Row],[Supplier SKU]])</f>
        <v>COM-10969</v>
      </c>
      <c r="E504" s="121">
        <f>MouserListTable1218[[#This Row],[Tot '#]]-MouserListTable1218[[#This Row],['# Initial]]</f>
        <v>0</v>
      </c>
      <c r="F504" s="121">
        <f>MouserListTable1218[[#This Row],['#/Unit]]*FilterSpecs!$B$3+MouserListTable1218[[#This Row],[Extra Initial]]</f>
        <v>1</v>
      </c>
      <c r="G504" s="103" t="s">
        <v>372</v>
      </c>
      <c r="H504" s="103" t="s">
        <v>373</v>
      </c>
      <c r="I504" s="103" t="s">
        <v>374</v>
      </c>
      <c r="J504" s="103">
        <v>1</v>
      </c>
      <c r="K504" s="157">
        <v>7.95</v>
      </c>
      <c r="L504" s="103" t="s">
        <v>1910</v>
      </c>
      <c r="M504" s="103"/>
      <c r="N504" s="157">
        <f>MouserListTable1218[[#This Row],['# Initial]]*MouserListTable1218[[#This Row],[Price (USD)]]</f>
        <v>7.95</v>
      </c>
      <c r="O504" s="106" t="s">
        <v>371</v>
      </c>
      <c r="P504" s="103">
        <f t="shared" si="11"/>
        <v>485</v>
      </c>
      <c r="Q504" s="103" t="s">
        <v>8</v>
      </c>
      <c r="R50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474-COM-10969</v>
      </c>
      <c r="S504" s="121">
        <v>0</v>
      </c>
      <c r="T504" s="121">
        <v>1</v>
      </c>
      <c r="U504" s="121">
        <v>1</v>
      </c>
      <c r="V504" s="121">
        <f>MouserListTable1218[[#This Row],['#/Unit]]*FilterSpecs!$C$3+MouserListTable1218[[#This Row],[Extra]]</f>
        <v>1</v>
      </c>
      <c r="W504" s="121">
        <f>IF(MouserListTable1218[[#This Row],[Tag]]=FilterSpecs!$F$7,MouserListTable1218[[#This Row],[Price (USD)]],0)</f>
        <v>0</v>
      </c>
      <c r="X504" s="121">
        <f>MouserListTable1218[[#This Row],[Tot '#]]*MouserListTable1218[[#This Row],[Price (USD)]]</f>
        <v>7.95</v>
      </c>
    </row>
    <row r="505" spans="1:24" s="146" customFormat="1" x14ac:dyDescent="0.3">
      <c r="A505" s="103" t="s">
        <v>897</v>
      </c>
      <c r="B505" s="103" t="s">
        <v>1012</v>
      </c>
      <c r="C505" s="103" t="s">
        <v>8</v>
      </c>
      <c r="D505" s="106" t="str">
        <f>IF(MouserListTable1218[[#This Row],[Vendor]]=FilterSpecs!$A$8,MouserListTable1218[[#This Row],[Mouser SKU]], MouserListTable1218[[#This Row],[Supplier SKU]])</f>
        <v>COM-10856</v>
      </c>
      <c r="E505" s="121">
        <f>MouserListTable1218[[#This Row],[Tot '#]]-MouserListTable1218[[#This Row],['# Initial]]</f>
        <v>0</v>
      </c>
      <c r="F505" s="121">
        <f>MouserListTable1218[[#This Row],['#/Unit]]*FilterSpecs!$B$3+MouserListTable1218[[#This Row],[Extra Initial]]</f>
        <v>5</v>
      </c>
      <c r="G505" s="103" t="s">
        <v>438</v>
      </c>
      <c r="H505" s="103" t="s">
        <v>439</v>
      </c>
      <c r="I505" s="103" t="s">
        <v>440</v>
      </c>
      <c r="J505" s="103">
        <v>1</v>
      </c>
      <c r="K505" s="157">
        <v>0.5</v>
      </c>
      <c r="L505" s="103" t="s">
        <v>1911</v>
      </c>
      <c r="M505" s="103"/>
      <c r="N505" s="157">
        <f>MouserListTable1218[[#This Row],['# Initial]]*MouserListTable1218[[#This Row],[Price (USD)]]</f>
        <v>2.5</v>
      </c>
      <c r="O505" s="106" t="s">
        <v>437</v>
      </c>
      <c r="P505" s="103">
        <f t="shared" si="11"/>
        <v>486</v>
      </c>
      <c r="Q505" s="103" t="s">
        <v>8</v>
      </c>
      <c r="R50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474-COM-10856</v>
      </c>
      <c r="S505" s="121">
        <v>1</v>
      </c>
      <c r="T505" s="121">
        <v>0</v>
      </c>
      <c r="U505" s="121">
        <v>0</v>
      </c>
      <c r="V505" s="121">
        <f>MouserListTable1218[[#This Row],['#/Unit]]*FilterSpecs!$C$3+MouserListTable1218[[#This Row],[Extra]]</f>
        <v>5</v>
      </c>
      <c r="W505" s="121">
        <f>IF(MouserListTable1218[[#This Row],[Tag]]=FilterSpecs!$F$7,MouserListTable1218[[#This Row],[Price (USD)]],0)</f>
        <v>0.5</v>
      </c>
      <c r="X505" s="121">
        <f>MouserListTable1218[[#This Row],[Tot '#]]*MouserListTable1218[[#This Row],[Price (USD)]]</f>
        <v>2.5</v>
      </c>
    </row>
    <row r="506" spans="1:24" s="146" customFormat="1" x14ac:dyDescent="0.3">
      <c r="A506" s="103" t="s">
        <v>897</v>
      </c>
      <c r="B506" s="103" t="s">
        <v>1012</v>
      </c>
      <c r="C506" s="103" t="s">
        <v>8</v>
      </c>
      <c r="D506" s="106" t="str">
        <f>IF(MouserListTable1218[[#This Row],[Vendor]]=FilterSpecs!$A$8,MouserListTable1218[[#This Row],[Mouser SKU]], MouserListTable1218[[#This Row],[Supplier SKU]])</f>
        <v>COM-10855</v>
      </c>
      <c r="E506" s="121">
        <f>MouserListTable1218[[#This Row],[Tot '#]]-MouserListTable1218[[#This Row],['# Initial]]</f>
        <v>0</v>
      </c>
      <c r="F506" s="121">
        <f>MouserListTable1218[[#This Row],['#/Unit]]*FilterSpecs!$B$3+MouserListTable1218[[#This Row],[Extra Initial]]</f>
        <v>5</v>
      </c>
      <c r="G506" s="103" t="s">
        <v>442</v>
      </c>
      <c r="H506" s="103" t="s">
        <v>443</v>
      </c>
      <c r="I506" s="103" t="s">
        <v>444</v>
      </c>
      <c r="J506" s="103">
        <v>1</v>
      </c>
      <c r="K506" s="157">
        <v>0.5</v>
      </c>
      <c r="L506" s="103" t="s">
        <v>1911</v>
      </c>
      <c r="M506" s="103"/>
      <c r="N506" s="157">
        <f>MouserListTable1218[[#This Row],['# Initial]]*MouserListTable1218[[#This Row],[Price (USD)]]</f>
        <v>2.5</v>
      </c>
      <c r="O506" s="106" t="s">
        <v>441</v>
      </c>
      <c r="P506" s="103">
        <f t="shared" si="11"/>
        <v>487</v>
      </c>
      <c r="Q506" s="103" t="s">
        <v>8</v>
      </c>
      <c r="R50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474-COM-10855</v>
      </c>
      <c r="S506" s="121">
        <v>1</v>
      </c>
      <c r="T506" s="121">
        <v>0</v>
      </c>
      <c r="U506" s="121">
        <v>0</v>
      </c>
      <c r="V506" s="121">
        <f>MouserListTable1218[[#This Row],['#/Unit]]*FilterSpecs!$C$3+MouserListTable1218[[#This Row],[Extra]]</f>
        <v>5</v>
      </c>
      <c r="W506" s="121">
        <f>IF(MouserListTable1218[[#This Row],[Tag]]=FilterSpecs!$F$7,MouserListTable1218[[#This Row],[Price (USD)]],0)</f>
        <v>0.5</v>
      </c>
      <c r="X506" s="121">
        <f>MouserListTable1218[[#This Row],[Tot '#]]*MouserListTable1218[[#This Row],[Price (USD)]]</f>
        <v>2.5</v>
      </c>
    </row>
    <row r="507" spans="1:24" s="146" customFormat="1" x14ac:dyDescent="0.3">
      <c r="A507" s="103" t="s">
        <v>897</v>
      </c>
      <c r="B507" s="103" t="s">
        <v>1012</v>
      </c>
      <c r="C507" s="103" t="s">
        <v>8</v>
      </c>
      <c r="D507" s="106" t="str">
        <f>IF(MouserListTable1218[[#This Row],[Vendor]]=FilterSpecs!$A$8,MouserListTable1218[[#This Row],[Mouser SKU]], MouserListTable1218[[#This Row],[Supplier SKU]])</f>
        <v>COM-09120</v>
      </c>
      <c r="E507" s="121">
        <f>MouserListTable1218[[#This Row],[Tot '#]]-MouserListTable1218[[#This Row],['# Initial]]</f>
        <v>1</v>
      </c>
      <c r="F507" s="121">
        <f>MouserListTable1218[[#This Row],['#/Unit]]*FilterSpecs!$B$3+MouserListTable1218[[#This Row],[Extra Initial]]</f>
        <v>0</v>
      </c>
      <c r="G507" s="103" t="s">
        <v>1698</v>
      </c>
      <c r="H507" s="103" t="s">
        <v>1699</v>
      </c>
      <c r="I507" s="103" t="s">
        <v>1700</v>
      </c>
      <c r="J507" s="103">
        <v>1</v>
      </c>
      <c r="K507" s="157">
        <v>0.95</v>
      </c>
      <c r="L507" s="106" t="s">
        <v>1911</v>
      </c>
      <c r="M507" s="103"/>
      <c r="N507" s="157">
        <f>MouserListTable1218[[#This Row],['# Initial]]*MouserListTable1218[[#This Row],[Price (USD)]]</f>
        <v>0</v>
      </c>
      <c r="O507" s="106" t="s">
        <v>1697</v>
      </c>
      <c r="P507" s="103">
        <f t="shared" si="11"/>
        <v>488</v>
      </c>
      <c r="Q507" s="103" t="s">
        <v>8</v>
      </c>
      <c r="R50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474-COM-09120</v>
      </c>
      <c r="S507" s="121">
        <v>0</v>
      </c>
      <c r="T507" s="121">
        <v>1</v>
      </c>
      <c r="U507" s="121">
        <v>0</v>
      </c>
      <c r="V507" s="121">
        <f>MouserListTable1218[[#This Row],['#/Unit]]*FilterSpecs!$C$3+MouserListTable1218[[#This Row],[Extra]]</f>
        <v>1</v>
      </c>
      <c r="W507" s="121">
        <f>IF(MouserListTable1218[[#This Row],[Tag]]=FilterSpecs!$F$7,MouserListTable1218[[#This Row],[Price (USD)]],0)</f>
        <v>0.95</v>
      </c>
      <c r="X507" s="121">
        <f>MouserListTable1218[[#This Row],[Tot '#]]*MouserListTable1218[[#This Row],[Price (USD)]]</f>
        <v>0.95</v>
      </c>
    </row>
    <row r="508" spans="1:24" s="146" customFormat="1" x14ac:dyDescent="0.3">
      <c r="A508" s="103" t="s">
        <v>897</v>
      </c>
      <c r="B508" s="103" t="s">
        <v>1012</v>
      </c>
      <c r="C508" s="103" t="s">
        <v>8</v>
      </c>
      <c r="D508" s="106" t="str">
        <f>IF(MouserListTable1218[[#This Row],[Vendor]]=FilterSpecs!$A$8,MouserListTable1218[[#This Row],[Mouser SKU]], MouserListTable1218[[#This Row],[Supplier SKU]])</f>
        <v>COM-11620</v>
      </c>
      <c r="E508" s="121">
        <f>MouserListTable1218[[#This Row],[Tot '#]]-MouserListTable1218[[#This Row],['# Initial]]</f>
        <v>1</v>
      </c>
      <c r="F508" s="121">
        <f>MouserListTable1218[[#This Row],['#/Unit]]*FilterSpecs!$B$3+MouserListTable1218[[#This Row],[Extra Initial]]</f>
        <v>0</v>
      </c>
      <c r="G508" s="103" t="s">
        <v>1702</v>
      </c>
      <c r="H508" s="103" t="s">
        <v>1703</v>
      </c>
      <c r="I508" s="103" t="s">
        <v>1704</v>
      </c>
      <c r="J508" s="103">
        <v>1</v>
      </c>
      <c r="K508" s="157">
        <v>1.95</v>
      </c>
      <c r="L508" s="103" t="s">
        <v>1910</v>
      </c>
      <c r="M508" s="103"/>
      <c r="N508" s="157">
        <f>MouserListTable1218[[#This Row],['# Initial]]*MouserListTable1218[[#This Row],[Price (USD)]]</f>
        <v>0</v>
      </c>
      <c r="O508" s="106" t="s">
        <v>1701</v>
      </c>
      <c r="P508" s="103">
        <f t="shared" si="11"/>
        <v>489</v>
      </c>
      <c r="Q508" s="103" t="s">
        <v>8</v>
      </c>
      <c r="R50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474-COM-11620</v>
      </c>
      <c r="S508" s="121">
        <v>0</v>
      </c>
      <c r="T508" s="121">
        <v>1</v>
      </c>
      <c r="U508" s="121">
        <v>0</v>
      </c>
      <c r="V508" s="121">
        <f>MouserListTable1218[[#This Row],['#/Unit]]*FilterSpecs!$C$3+MouserListTable1218[[#This Row],[Extra]]</f>
        <v>1</v>
      </c>
      <c r="W508" s="121">
        <f>IF(MouserListTable1218[[#This Row],[Tag]]=FilterSpecs!$F$7,MouserListTable1218[[#This Row],[Price (USD)]],0)</f>
        <v>0</v>
      </c>
      <c r="X508" s="121">
        <f>MouserListTable1218[[#This Row],[Tot '#]]*MouserListTable1218[[#This Row],[Price (USD)]]</f>
        <v>1.95</v>
      </c>
    </row>
    <row r="509" spans="1:24" s="146" customFormat="1" x14ac:dyDescent="0.3">
      <c r="A509" s="103" t="s">
        <v>897</v>
      </c>
      <c r="B509" s="103" t="s">
        <v>1012</v>
      </c>
      <c r="C509" s="103" t="s">
        <v>8</v>
      </c>
      <c r="D509" s="106" t="str">
        <f>IF(MouserListTable1218[[#This Row],[Vendor]]=FilterSpecs!$A$8,MouserListTable1218[[#This Row],[Mouser SKU]], MouserListTable1218[[#This Row],[Supplier SKU]])</f>
        <v>COM-11621</v>
      </c>
      <c r="E509" s="121">
        <f>MouserListTable1218[[#This Row],[Tot '#]]-MouserListTable1218[[#This Row],['# Initial]]</f>
        <v>1</v>
      </c>
      <c r="F509" s="121">
        <f>MouserListTable1218[[#This Row],['#/Unit]]*FilterSpecs!$B$3+MouserListTable1218[[#This Row],[Extra Initial]]</f>
        <v>0</v>
      </c>
      <c r="G509" s="103" t="s">
        <v>1682</v>
      </c>
      <c r="H509" s="103" t="s">
        <v>1683</v>
      </c>
      <c r="I509" s="103" t="s">
        <v>1684</v>
      </c>
      <c r="J509" s="103">
        <v>1</v>
      </c>
      <c r="K509" s="157">
        <v>2.5</v>
      </c>
      <c r="L509" s="103" t="s">
        <v>1910</v>
      </c>
      <c r="M509" s="103"/>
      <c r="N509" s="157">
        <f>MouserListTable1218[[#This Row],['# Initial]]*MouserListTable1218[[#This Row],[Price (USD)]]</f>
        <v>0</v>
      </c>
      <c r="O509" s="106" t="s">
        <v>1681</v>
      </c>
      <c r="P509" s="103">
        <f t="shared" si="11"/>
        <v>490</v>
      </c>
      <c r="Q509" s="103" t="s">
        <v>8</v>
      </c>
      <c r="R50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474-COM-11621</v>
      </c>
      <c r="S509" s="121">
        <v>0</v>
      </c>
      <c r="T509" s="121">
        <v>1</v>
      </c>
      <c r="U509" s="121">
        <v>0</v>
      </c>
      <c r="V509" s="121">
        <f>MouserListTable1218[[#This Row],['#/Unit]]*FilterSpecs!$C$3+MouserListTable1218[[#This Row],[Extra]]</f>
        <v>1</v>
      </c>
      <c r="W509" s="121">
        <f>IF(MouserListTable1218[[#This Row],[Tag]]=FilterSpecs!$F$7,MouserListTable1218[[#This Row],[Price (USD)]],0)</f>
        <v>0</v>
      </c>
      <c r="X509" s="121">
        <f>MouserListTable1218[[#This Row],[Tot '#]]*MouserListTable1218[[#This Row],[Price (USD)]]</f>
        <v>2.5</v>
      </c>
    </row>
    <row r="510" spans="1:24" s="146" customFormat="1" x14ac:dyDescent="0.3">
      <c r="A510" s="103" t="s">
        <v>897</v>
      </c>
      <c r="B510" s="103" t="s">
        <v>1012</v>
      </c>
      <c r="C510" s="103" t="s">
        <v>8</v>
      </c>
      <c r="D510" s="106" t="str">
        <f>IF(MouserListTable1218[[#This Row],[Vendor]]=FilterSpecs!$A$8,MouserListTable1218[[#This Row],[Mouser SKU]], MouserListTable1218[[#This Row],[Supplier SKU]])</f>
        <v>COM-09119</v>
      </c>
      <c r="E510" s="121">
        <f>MouserListTable1218[[#This Row],[Tot '#]]-MouserListTable1218[[#This Row],['# Initial]]</f>
        <v>1</v>
      </c>
      <c r="F510" s="121">
        <f>MouserListTable1218[[#This Row],['#/Unit]]*FilterSpecs!$B$3+MouserListTable1218[[#This Row],[Extra Initial]]</f>
        <v>0</v>
      </c>
      <c r="G510" s="103" t="s">
        <v>1836</v>
      </c>
      <c r="H510" s="103" t="s">
        <v>1837</v>
      </c>
      <c r="I510" s="103" t="s">
        <v>1838</v>
      </c>
      <c r="J510" s="103">
        <v>1</v>
      </c>
      <c r="K510" s="157">
        <v>2.95</v>
      </c>
      <c r="L510" s="103" t="s">
        <v>1910</v>
      </c>
      <c r="M510" s="103"/>
      <c r="N510" s="157">
        <f>MouserListTable1218[[#This Row],['# Initial]]*MouserListTable1218[[#This Row],[Price (USD)]]</f>
        <v>0</v>
      </c>
      <c r="O510" s="106" t="s">
        <v>1835</v>
      </c>
      <c r="P510" s="103">
        <f t="shared" si="11"/>
        <v>491</v>
      </c>
      <c r="Q510" s="103" t="s">
        <v>8</v>
      </c>
      <c r="R51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474-COM-09119</v>
      </c>
      <c r="S510" s="121">
        <v>0</v>
      </c>
      <c r="T510" s="121">
        <v>1</v>
      </c>
      <c r="U510" s="121">
        <v>0</v>
      </c>
      <c r="V510" s="121">
        <f>MouserListTable1218[[#This Row],['#/Unit]]*FilterSpecs!$C$3+MouserListTable1218[[#This Row],[Extra]]</f>
        <v>1</v>
      </c>
      <c r="W510" s="121">
        <f>IF(MouserListTable1218[[#This Row],[Tag]]=FilterSpecs!$F$7,MouserListTable1218[[#This Row],[Price (USD)]],0)</f>
        <v>0</v>
      </c>
      <c r="X510" s="121">
        <f>MouserListTable1218[[#This Row],[Tot '#]]*MouserListTable1218[[#This Row],[Price (USD)]]</f>
        <v>2.95</v>
      </c>
    </row>
    <row r="511" spans="1:24" s="146" customFormat="1" x14ac:dyDescent="0.3">
      <c r="A511" s="103" t="s">
        <v>897</v>
      </c>
      <c r="B511" s="103" t="s">
        <v>1012</v>
      </c>
      <c r="C511" s="103" t="s">
        <v>8</v>
      </c>
      <c r="D511" s="106" t="str">
        <f>IF(MouserListTable1218[[#This Row],[Vendor]]=FilterSpecs!$A$8,MouserListTable1218[[#This Row],[Mouser SKU]], MouserListTable1218[[#This Row],[Supplier SKU]])</f>
        <v>COM-09806</v>
      </c>
      <c r="E511" s="121">
        <f>MouserListTable1218[[#This Row],[Tot '#]]-MouserListTable1218[[#This Row],['# Initial]]</f>
        <v>0</v>
      </c>
      <c r="F511" s="121">
        <f>MouserListTable1218[[#This Row],['#/Unit]]*FilterSpecs!$B$3+MouserListTable1218[[#This Row],[Extra Initial]]</f>
        <v>5</v>
      </c>
      <c r="G511" s="103" t="s">
        <v>612</v>
      </c>
      <c r="H511" s="103" t="s">
        <v>613</v>
      </c>
      <c r="I511" s="103" t="s">
        <v>614</v>
      </c>
      <c r="J511" s="103">
        <v>1</v>
      </c>
      <c r="K511" s="157">
        <v>0.95</v>
      </c>
      <c r="L511" s="103" t="s">
        <v>1911</v>
      </c>
      <c r="M511" s="103"/>
      <c r="N511" s="157">
        <f>MouserListTable1218[[#This Row],['# Initial]]*MouserListTable1218[[#This Row],[Price (USD)]]</f>
        <v>4.75</v>
      </c>
      <c r="O511" s="106" t="s">
        <v>611</v>
      </c>
      <c r="P511" s="103">
        <f t="shared" si="11"/>
        <v>492</v>
      </c>
      <c r="Q511" s="103" t="s">
        <v>8</v>
      </c>
      <c r="R51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474-COM-09806</v>
      </c>
      <c r="S511" s="121">
        <v>1</v>
      </c>
      <c r="T511" s="121">
        <v>0</v>
      </c>
      <c r="U511" s="121">
        <v>0</v>
      </c>
      <c r="V511" s="121">
        <f>MouserListTable1218[[#This Row],['#/Unit]]*FilterSpecs!$C$3+MouserListTable1218[[#This Row],[Extra]]</f>
        <v>5</v>
      </c>
      <c r="W511" s="121">
        <f>IF(MouserListTable1218[[#This Row],[Tag]]=FilterSpecs!$F$7,MouserListTable1218[[#This Row],[Price (USD)]],0)</f>
        <v>0.95</v>
      </c>
      <c r="X511" s="121">
        <f>MouserListTable1218[[#This Row],[Tot '#]]*MouserListTable1218[[#This Row],[Price (USD)]]</f>
        <v>4.75</v>
      </c>
    </row>
    <row r="512" spans="1:24" s="146" customFormat="1" x14ac:dyDescent="0.3">
      <c r="A512" s="103" t="s">
        <v>897</v>
      </c>
      <c r="B512" s="103" t="s">
        <v>1012</v>
      </c>
      <c r="C512" s="103" t="s">
        <v>8</v>
      </c>
      <c r="D512" s="106" t="str">
        <f>IF(MouserListTable1218[[#This Row],[Vendor]]=FilterSpecs!$A$8,MouserListTable1218[[#This Row],[Mouser SKU]], MouserListTable1218[[#This Row],[Supplier SKU]])</f>
        <v>KIT-13698</v>
      </c>
      <c r="E512" s="121">
        <f>MouserListTable1218[[#This Row],[Tot '#]]-MouserListTable1218[[#This Row],['# Initial]]</f>
        <v>0</v>
      </c>
      <c r="F512" s="121">
        <f>MouserListTable1218[[#This Row],['#/Unit]]*FilterSpecs!$B$3+MouserListTable1218[[#This Row],[Extra Initial]]</f>
        <v>1</v>
      </c>
      <c r="G512" s="103" t="s">
        <v>376</v>
      </c>
      <c r="H512" s="103" t="s">
        <v>377</v>
      </c>
      <c r="I512" s="103" t="s">
        <v>378</v>
      </c>
      <c r="J512" s="103"/>
      <c r="K512" s="157">
        <v>6.95</v>
      </c>
      <c r="L512" s="103" t="s">
        <v>1910</v>
      </c>
      <c r="M512" s="103"/>
      <c r="N512" s="157">
        <f>MouserListTable1218[[#This Row],['# Initial]]*MouserListTable1218[[#This Row],[Price (USD)]]</f>
        <v>6.95</v>
      </c>
      <c r="O512" s="106" t="s">
        <v>375</v>
      </c>
      <c r="P512" s="103">
        <f t="shared" si="11"/>
        <v>493</v>
      </c>
      <c r="Q512" s="103" t="s">
        <v>8</v>
      </c>
      <c r="R51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474-KIT-13698</v>
      </c>
      <c r="S512" s="121">
        <v>0</v>
      </c>
      <c r="T512" s="121">
        <v>1</v>
      </c>
      <c r="U512" s="121">
        <v>1</v>
      </c>
      <c r="V512" s="121">
        <f>MouserListTable1218[[#This Row],['#/Unit]]*FilterSpecs!$C$3+MouserListTable1218[[#This Row],[Extra]]</f>
        <v>1</v>
      </c>
      <c r="W512" s="121">
        <f>IF(MouserListTable1218[[#This Row],[Tag]]=FilterSpecs!$F$7,MouserListTable1218[[#This Row],[Price (USD)]],0)</f>
        <v>0</v>
      </c>
      <c r="X512" s="121">
        <f>MouserListTable1218[[#This Row],[Tot '#]]*MouserListTable1218[[#This Row],[Price (USD)]]</f>
        <v>6.95</v>
      </c>
    </row>
    <row r="513" spans="1:24" s="146" customFormat="1" x14ac:dyDescent="0.3">
      <c r="A513" s="103" t="s">
        <v>897</v>
      </c>
      <c r="B513" s="103" t="s">
        <v>1012</v>
      </c>
      <c r="C513" s="103" t="s">
        <v>8</v>
      </c>
      <c r="D513" s="106" t="str">
        <f>IF(MouserListTable1218[[#This Row],[Vendor]]=FilterSpecs!$A$8,MouserListTable1218[[#This Row],[Mouser SKU]], MouserListTable1218[[#This Row],[Supplier SKU]])</f>
        <v>COM-00096</v>
      </c>
      <c r="E513" s="121">
        <f>MouserListTable1218[[#This Row],[Tot '#]]-MouserListTable1218[[#This Row],['# Initial]]</f>
        <v>0</v>
      </c>
      <c r="F513" s="121">
        <f>MouserListTable1218[[#This Row],['#/Unit]]*FilterSpecs!$B$3+MouserListTable1218[[#This Row],[Extra Initial]]</f>
        <v>5</v>
      </c>
      <c r="G513" s="103" t="s">
        <v>728</v>
      </c>
      <c r="H513" s="103" t="s">
        <v>729</v>
      </c>
      <c r="I513" s="103" t="s">
        <v>730</v>
      </c>
      <c r="J513" s="103">
        <v>1</v>
      </c>
      <c r="K513" s="157">
        <v>0.35</v>
      </c>
      <c r="L513" s="103" t="s">
        <v>1911</v>
      </c>
      <c r="M513" s="103"/>
      <c r="N513" s="157">
        <f>MouserListTable1218[[#This Row],['# Initial]]*MouserListTable1218[[#This Row],[Price (USD)]]</f>
        <v>1.75</v>
      </c>
      <c r="O513" s="106" t="s">
        <v>727</v>
      </c>
      <c r="P513" s="103">
        <f t="shared" si="11"/>
        <v>494</v>
      </c>
      <c r="Q513" s="103" t="s">
        <v>8</v>
      </c>
      <c r="R51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474-COM-00096</v>
      </c>
      <c r="S513" s="121">
        <v>1</v>
      </c>
      <c r="T513" s="121">
        <v>0</v>
      </c>
      <c r="U513" s="121">
        <v>0</v>
      </c>
      <c r="V513" s="121">
        <f>MouserListTable1218[[#This Row],['#/Unit]]*FilterSpecs!$C$3+MouserListTable1218[[#This Row],[Extra]]</f>
        <v>5</v>
      </c>
      <c r="W513" s="121">
        <f>IF(MouserListTable1218[[#This Row],[Tag]]=FilterSpecs!$F$7,MouserListTable1218[[#This Row],[Price (USD)]],0)</f>
        <v>0.35</v>
      </c>
      <c r="X513" s="121">
        <f>MouserListTable1218[[#This Row],[Tot '#]]*MouserListTable1218[[#This Row],[Price (USD)]]</f>
        <v>1.75</v>
      </c>
    </row>
    <row r="514" spans="1:24" s="146" customFormat="1" x14ac:dyDescent="0.3">
      <c r="A514" s="103" t="s">
        <v>897</v>
      </c>
      <c r="B514" s="103" t="s">
        <v>1012</v>
      </c>
      <c r="C514" s="103" t="s">
        <v>8</v>
      </c>
      <c r="D514" s="106" t="str">
        <f>IF(MouserListTable1218[[#This Row],[Vendor]]=FilterSpecs!$A$8,MouserListTable1218[[#This Row],[Mouser SKU]], MouserListTable1218[[#This Row],[Supplier SKU]])</f>
        <v>COM-00523</v>
      </c>
      <c r="E514" s="121">
        <f>MouserListTable1218[[#This Row],[Tot '#]]-MouserListTable1218[[#This Row],['# Initial]]</f>
        <v>0</v>
      </c>
      <c r="F514" s="121">
        <f>MouserListTable1218[[#This Row],['#/Unit]]*FilterSpecs!$B$3+MouserListTable1218[[#This Row],[Extra Initial]]</f>
        <v>5</v>
      </c>
      <c r="G514" s="103" t="s">
        <v>724</v>
      </c>
      <c r="H514" s="103" t="s">
        <v>725</v>
      </c>
      <c r="I514" s="103" t="s">
        <v>726</v>
      </c>
      <c r="J514" s="103">
        <v>1</v>
      </c>
      <c r="K514" s="157">
        <v>0.45</v>
      </c>
      <c r="L514" s="103" t="s">
        <v>1911</v>
      </c>
      <c r="M514" s="103"/>
      <c r="N514" s="157">
        <f>MouserListTable1218[[#This Row],['# Initial]]*MouserListTable1218[[#This Row],[Price (USD)]]</f>
        <v>2.25</v>
      </c>
      <c r="O514" s="106" t="s">
        <v>723</v>
      </c>
      <c r="P514" s="103">
        <f t="shared" si="11"/>
        <v>495</v>
      </c>
      <c r="Q514" s="103" t="s">
        <v>8</v>
      </c>
      <c r="R51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474-COM-00523</v>
      </c>
      <c r="S514" s="121">
        <v>1</v>
      </c>
      <c r="T514" s="121">
        <v>0</v>
      </c>
      <c r="U514" s="121">
        <v>0</v>
      </c>
      <c r="V514" s="121">
        <f>MouserListTable1218[[#This Row],['#/Unit]]*FilterSpecs!$C$3+MouserListTable1218[[#This Row],[Extra]]</f>
        <v>5</v>
      </c>
      <c r="W514" s="121">
        <f>IF(MouserListTable1218[[#This Row],[Tag]]=FilterSpecs!$F$7,MouserListTable1218[[#This Row],[Price (USD)]],0)</f>
        <v>0.45</v>
      </c>
      <c r="X514" s="121">
        <f>MouserListTable1218[[#This Row],[Tot '#]]*MouserListTable1218[[#This Row],[Price (USD)]]</f>
        <v>2.25</v>
      </c>
    </row>
    <row r="515" spans="1:24" s="146" customFormat="1" x14ac:dyDescent="0.3">
      <c r="A515" s="103" t="s">
        <v>897</v>
      </c>
      <c r="B515" s="103" t="s">
        <v>1012</v>
      </c>
      <c r="C515" s="103" t="s">
        <v>8</v>
      </c>
      <c r="D515" s="106" t="str">
        <f>IF(MouserListTable1218[[#This Row],[Vendor]]=FilterSpecs!$A$8,MouserListTable1218[[#This Row],[Mouser SKU]], MouserListTable1218[[#This Row],[Supplier SKU]])</f>
        <v>COM-00746</v>
      </c>
      <c r="E515" s="121">
        <f>MouserListTable1218[[#This Row],[Tot '#]]-MouserListTable1218[[#This Row],['# Initial]]</f>
        <v>3</v>
      </c>
      <c r="F515" s="121">
        <f>MouserListTable1218[[#This Row],['#/Unit]]*FilterSpecs!$B$3+MouserListTable1218[[#This Row],[Extra Initial]]</f>
        <v>0</v>
      </c>
      <c r="G515" s="103" t="s">
        <v>716</v>
      </c>
      <c r="H515" s="103" t="s">
        <v>717</v>
      </c>
      <c r="I515" s="103" t="s">
        <v>718</v>
      </c>
      <c r="J515" s="103">
        <v>1</v>
      </c>
      <c r="K515" s="157">
        <v>4.95</v>
      </c>
      <c r="L515" s="103" t="s">
        <v>1910</v>
      </c>
      <c r="M515" s="103"/>
      <c r="N515" s="157">
        <f>MouserListTable1218[[#This Row],['# Initial]]*MouserListTable1218[[#This Row],[Price (USD)]]</f>
        <v>0</v>
      </c>
      <c r="O515" s="106" t="s">
        <v>715</v>
      </c>
      <c r="P515" s="103">
        <f t="shared" si="11"/>
        <v>496</v>
      </c>
      <c r="Q515" s="103" t="s">
        <v>8</v>
      </c>
      <c r="R51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474-COM-00746</v>
      </c>
      <c r="S515" s="121">
        <v>0</v>
      </c>
      <c r="T515" s="121">
        <v>3</v>
      </c>
      <c r="U515" s="121">
        <v>0</v>
      </c>
      <c r="V515" s="121">
        <f>MouserListTable1218[[#This Row],['#/Unit]]*FilterSpecs!$C$3+MouserListTable1218[[#This Row],[Extra]]</f>
        <v>3</v>
      </c>
      <c r="W515" s="121">
        <f>IF(MouserListTable1218[[#This Row],[Tag]]=FilterSpecs!$F$7,MouserListTable1218[[#This Row],[Price (USD)]],0)</f>
        <v>0</v>
      </c>
      <c r="X515" s="121">
        <f>MouserListTable1218[[#This Row],[Tot '#]]*MouserListTable1218[[#This Row],[Price (USD)]]</f>
        <v>14.850000000000001</v>
      </c>
    </row>
    <row r="516" spans="1:24" s="146" customFormat="1" x14ac:dyDescent="0.3">
      <c r="A516" s="103" t="s">
        <v>897</v>
      </c>
      <c r="B516" s="103" t="s">
        <v>1012</v>
      </c>
      <c r="C516" s="103" t="s">
        <v>8</v>
      </c>
      <c r="D516" s="106" t="str">
        <f>IF(MouserListTable1218[[#This Row],[Vendor]]=FilterSpecs!$A$8,MouserListTable1218[[#This Row],[Mouser SKU]], MouserListTable1218[[#This Row],[Supplier SKU]])</f>
        <v>SEN-00250</v>
      </c>
      <c r="E516" s="121">
        <f>MouserListTable1218[[#This Row],[Tot '#]]-MouserListTable1218[[#This Row],['# Initial]]</f>
        <v>0</v>
      </c>
      <c r="F516" s="121">
        <f>MouserListTable1218[[#This Row],['#/Unit]]*FilterSpecs!$B$3+MouserListTable1218[[#This Row],[Extra Initial]]</f>
        <v>10</v>
      </c>
      <c r="G516" s="103" t="s">
        <v>712</v>
      </c>
      <c r="H516" s="103" t="s">
        <v>713</v>
      </c>
      <c r="I516" s="103" t="s">
        <v>714</v>
      </c>
      <c r="J516" s="103">
        <v>1</v>
      </c>
      <c r="K516" s="157">
        <v>0.75</v>
      </c>
      <c r="L516" s="103" t="s">
        <v>1911</v>
      </c>
      <c r="M516" s="103"/>
      <c r="N516" s="157">
        <f>MouserListTable1218[[#This Row],['# Initial]]*MouserListTable1218[[#This Row],[Price (USD)]]</f>
        <v>7.5</v>
      </c>
      <c r="O516" s="106" t="s">
        <v>711</v>
      </c>
      <c r="P516" s="103">
        <f t="shared" si="11"/>
        <v>497</v>
      </c>
      <c r="Q516" s="103" t="s">
        <v>8</v>
      </c>
      <c r="R51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474-SEN-00250</v>
      </c>
      <c r="S516" s="121">
        <v>2</v>
      </c>
      <c r="T516" s="121">
        <v>0</v>
      </c>
      <c r="U516" s="121">
        <v>0</v>
      </c>
      <c r="V516" s="121">
        <f>MouserListTable1218[[#This Row],['#/Unit]]*FilterSpecs!$C$3+MouserListTable1218[[#This Row],[Extra]]</f>
        <v>10</v>
      </c>
      <c r="W516" s="121">
        <f>IF(MouserListTable1218[[#This Row],[Tag]]=FilterSpecs!$F$7,MouserListTable1218[[#This Row],[Price (USD)]],0)</f>
        <v>0.75</v>
      </c>
      <c r="X516" s="121">
        <f>MouserListTable1218[[#This Row],[Tot '#]]*MouserListTable1218[[#This Row],[Price (USD)]]</f>
        <v>7.5</v>
      </c>
    </row>
    <row r="517" spans="1:24" s="146" customFormat="1" x14ac:dyDescent="0.3">
      <c r="A517" s="103" t="s">
        <v>897</v>
      </c>
      <c r="B517" s="103" t="s">
        <v>1012</v>
      </c>
      <c r="C517" s="103" t="s">
        <v>8</v>
      </c>
      <c r="D517" s="106" t="str">
        <f>IF(MouserListTable1218[[#This Row],[Vendor]]=FilterSpecs!$A$8,MouserListTable1218[[#This Row],[Mouser SKU]], MouserListTable1218[[#This Row],[Supplier SKU]])</f>
        <v>COM-08589</v>
      </c>
      <c r="E517" s="121">
        <f>MouserListTable1218[[#This Row],[Tot '#]]-MouserListTable1218[[#This Row],['# Initial]]</f>
        <v>0</v>
      </c>
      <c r="F517" s="121">
        <f>MouserListTable1218[[#This Row],['#/Unit]]*FilterSpecs!$B$3+MouserListTable1218[[#This Row],[Extra Initial]]</f>
        <v>10</v>
      </c>
      <c r="G517" s="103" t="s">
        <v>426</v>
      </c>
      <c r="H517" s="103" t="s">
        <v>427</v>
      </c>
      <c r="I517" s="103" t="s">
        <v>428</v>
      </c>
      <c r="J517" s="103">
        <v>1</v>
      </c>
      <c r="K517" s="157">
        <v>0.15</v>
      </c>
      <c r="L517" s="103" t="s">
        <v>1911</v>
      </c>
      <c r="M517" s="103"/>
      <c r="N517" s="157">
        <f>MouserListTable1218[[#This Row],['# Initial]]*MouserListTable1218[[#This Row],[Price (USD)]]</f>
        <v>1.5</v>
      </c>
      <c r="O517" s="106" t="s">
        <v>425</v>
      </c>
      <c r="P517" s="103">
        <f t="shared" si="11"/>
        <v>498</v>
      </c>
      <c r="Q517" s="103" t="s">
        <v>8</v>
      </c>
      <c r="R51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474-COM-08589</v>
      </c>
      <c r="S517" s="121">
        <v>2</v>
      </c>
      <c r="T517" s="121">
        <v>0</v>
      </c>
      <c r="U517" s="121">
        <v>0</v>
      </c>
      <c r="V517" s="121">
        <f>MouserListTable1218[[#This Row],['#/Unit]]*FilterSpecs!$C$3+MouserListTable1218[[#This Row],[Extra]]</f>
        <v>10</v>
      </c>
      <c r="W517" s="121">
        <f>IF(MouserListTable1218[[#This Row],[Tag]]=FilterSpecs!$F$7,MouserListTable1218[[#This Row],[Price (USD)]],0)</f>
        <v>0.15</v>
      </c>
      <c r="X517" s="121">
        <f>MouserListTable1218[[#This Row],[Tot '#]]*MouserListTable1218[[#This Row],[Price (USD)]]</f>
        <v>1.5</v>
      </c>
    </row>
    <row r="518" spans="1:24" s="146" customFormat="1" x14ac:dyDescent="0.3">
      <c r="A518" s="103" t="s">
        <v>897</v>
      </c>
      <c r="B518" s="103" t="s">
        <v>1012</v>
      </c>
      <c r="C518" s="103" t="s">
        <v>8</v>
      </c>
      <c r="D518" s="106" t="str">
        <f>IF(MouserListTable1218[[#This Row],[Vendor]]=FilterSpecs!$A$8,MouserListTable1218[[#This Row],[Mouser SKU]], MouserListTable1218[[#This Row],[Supplier SKU]])</f>
        <v>COM-08588</v>
      </c>
      <c r="E518" s="121">
        <f>MouserListTable1218[[#This Row],[Tot '#]]-MouserListTable1218[[#This Row],['# Initial]]</f>
        <v>0</v>
      </c>
      <c r="F518" s="121">
        <f>MouserListTable1218[[#This Row],['#/Unit]]*FilterSpecs!$B$3+MouserListTable1218[[#This Row],[Extra Initial]]</f>
        <v>10</v>
      </c>
      <c r="G518" s="103" t="s">
        <v>430</v>
      </c>
      <c r="H518" s="103" t="s">
        <v>431</v>
      </c>
      <c r="I518" s="103" t="s">
        <v>432</v>
      </c>
      <c r="J518" s="103">
        <v>1</v>
      </c>
      <c r="K518" s="157">
        <v>0.15</v>
      </c>
      <c r="L518" s="103" t="s">
        <v>1911</v>
      </c>
      <c r="M518" s="103"/>
      <c r="N518" s="157">
        <f>MouserListTable1218[[#This Row],['# Initial]]*MouserListTable1218[[#This Row],[Price (USD)]]</f>
        <v>1.5</v>
      </c>
      <c r="O518" s="106" t="s">
        <v>429</v>
      </c>
      <c r="P518" s="103">
        <f t="shared" si="11"/>
        <v>499</v>
      </c>
      <c r="Q518" s="103" t="s">
        <v>8</v>
      </c>
      <c r="R51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474-COM-08588</v>
      </c>
      <c r="S518" s="121">
        <v>2</v>
      </c>
      <c r="T518" s="121">
        <v>0</v>
      </c>
      <c r="U518" s="121">
        <v>0</v>
      </c>
      <c r="V518" s="121">
        <f>MouserListTable1218[[#This Row],['#/Unit]]*FilterSpecs!$C$3+MouserListTable1218[[#This Row],[Extra]]</f>
        <v>10</v>
      </c>
      <c r="W518" s="121">
        <f>IF(MouserListTable1218[[#This Row],[Tag]]=FilterSpecs!$F$7,MouserListTable1218[[#This Row],[Price (USD)]],0)</f>
        <v>0.15</v>
      </c>
      <c r="X518" s="121">
        <f>MouserListTable1218[[#This Row],[Tot '#]]*MouserListTable1218[[#This Row],[Price (USD)]]</f>
        <v>1.5</v>
      </c>
    </row>
    <row r="519" spans="1:24" s="146" customFormat="1" x14ac:dyDescent="0.3">
      <c r="A519" s="103" t="s">
        <v>897</v>
      </c>
      <c r="B519" s="103" t="s">
        <v>1012</v>
      </c>
      <c r="C519" s="103" t="s">
        <v>8</v>
      </c>
      <c r="D519" s="106" t="str">
        <f>IF(MouserListTable1218[[#This Row],[Vendor]]=FilterSpecs!$A$8,MouserListTable1218[[#This Row],[Mouser SKU]], MouserListTable1218[[#This Row],[Supplier SKU]])</f>
        <v>COM-10926</v>
      </c>
      <c r="E519" s="121">
        <f>MouserListTable1218[[#This Row],[Tot '#]]-MouserListTable1218[[#This Row],['# Initial]]</f>
        <v>0</v>
      </c>
      <c r="F519" s="121">
        <f>MouserListTable1218[[#This Row],['#/Unit]]*FilterSpecs!$B$3+MouserListTable1218[[#This Row],[Extra Initial]]</f>
        <v>10</v>
      </c>
      <c r="G519" s="103" t="s">
        <v>672</v>
      </c>
      <c r="H519" s="103" t="s">
        <v>673</v>
      </c>
      <c r="I519" s="103" t="s">
        <v>674</v>
      </c>
      <c r="J519" s="103">
        <v>1</v>
      </c>
      <c r="K519" s="157">
        <v>0.15</v>
      </c>
      <c r="L519" s="103" t="s">
        <v>1911</v>
      </c>
      <c r="M519" s="103"/>
      <c r="N519" s="157">
        <f>MouserListTable1218[[#This Row],['# Initial]]*MouserListTable1218[[#This Row],[Price (USD)]]</f>
        <v>1.5</v>
      </c>
      <c r="O519" s="106" t="s">
        <v>671</v>
      </c>
      <c r="P519" s="103">
        <f t="shared" si="11"/>
        <v>500</v>
      </c>
      <c r="Q519" s="103" t="s">
        <v>8</v>
      </c>
      <c r="R51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474-COM-10926</v>
      </c>
      <c r="S519" s="121">
        <v>2</v>
      </c>
      <c r="T519" s="121">
        <v>0</v>
      </c>
      <c r="U519" s="121">
        <v>0</v>
      </c>
      <c r="V519" s="121">
        <f>MouserListTable1218[[#This Row],['#/Unit]]*FilterSpecs!$C$3+MouserListTable1218[[#This Row],[Extra]]</f>
        <v>10</v>
      </c>
      <c r="W519" s="121">
        <f>IF(MouserListTable1218[[#This Row],[Tag]]=FilterSpecs!$F$7,MouserListTable1218[[#This Row],[Price (USD)]],0)</f>
        <v>0.15</v>
      </c>
      <c r="X519" s="121">
        <f>MouserListTable1218[[#This Row],[Tot '#]]*MouserListTable1218[[#This Row],[Price (USD)]]</f>
        <v>1.5</v>
      </c>
    </row>
    <row r="520" spans="1:24" s="146" customFormat="1" x14ac:dyDescent="0.3">
      <c r="A520" s="103" t="s">
        <v>897</v>
      </c>
      <c r="B520" s="103" t="s">
        <v>1012</v>
      </c>
      <c r="C520" s="103" t="s">
        <v>8</v>
      </c>
      <c r="D520" s="106" t="str">
        <f>IF(MouserListTable1218[[#This Row],[Vendor]]=FilterSpecs!$A$8,MouserListTable1218[[#This Row],[Mouser SKU]], MouserListTable1218[[#This Row],[Supplier SKU]])</f>
        <v>COM-10301</v>
      </c>
      <c r="E520" s="121">
        <f>MouserListTable1218[[#This Row],[Tot '#]]-MouserListTable1218[[#This Row],['# Initial]]</f>
        <v>0</v>
      </c>
      <c r="F520" s="121">
        <f>MouserListTable1218[[#This Row],['#/Unit]]*FilterSpecs!$B$3+MouserListTable1218[[#This Row],[Extra Initial]]</f>
        <v>10</v>
      </c>
      <c r="G520" s="103" t="s">
        <v>422</v>
      </c>
      <c r="H520" s="103" t="s">
        <v>423</v>
      </c>
      <c r="I520" s="103" t="s">
        <v>424</v>
      </c>
      <c r="J520" s="103">
        <v>1</v>
      </c>
      <c r="K520" s="157">
        <v>0.25</v>
      </c>
      <c r="L520" s="103" t="s">
        <v>1911</v>
      </c>
      <c r="M520" s="103"/>
      <c r="N520" s="157">
        <f>MouserListTable1218[[#This Row],['# Initial]]*MouserListTable1218[[#This Row],[Price (USD)]]</f>
        <v>2.5</v>
      </c>
      <c r="O520" s="106" t="s">
        <v>421</v>
      </c>
      <c r="P520" s="103">
        <f t="shared" si="11"/>
        <v>501</v>
      </c>
      <c r="Q520" s="103" t="s">
        <v>8</v>
      </c>
      <c r="R52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474-COM-10301</v>
      </c>
      <c r="S520" s="121">
        <v>2</v>
      </c>
      <c r="T520" s="121">
        <v>0</v>
      </c>
      <c r="U520" s="121">
        <v>0</v>
      </c>
      <c r="V520" s="121">
        <f>MouserListTable1218[[#This Row],['#/Unit]]*FilterSpecs!$C$3+MouserListTable1218[[#This Row],[Extra]]</f>
        <v>10</v>
      </c>
      <c r="W520" s="121">
        <f>IF(MouserListTable1218[[#This Row],[Tag]]=FilterSpecs!$F$7,MouserListTable1218[[#This Row],[Price (USD)]],0)</f>
        <v>0.25</v>
      </c>
      <c r="X520" s="121">
        <f>MouserListTable1218[[#This Row],[Tot '#]]*MouserListTable1218[[#This Row],[Price (USD)]]</f>
        <v>2.5</v>
      </c>
    </row>
    <row r="521" spans="1:24" s="146" customFormat="1" x14ac:dyDescent="0.3">
      <c r="A521" s="103" t="s">
        <v>897</v>
      </c>
      <c r="B521" s="103" t="s">
        <v>1894</v>
      </c>
      <c r="C521" s="103" t="s">
        <v>8</v>
      </c>
      <c r="D521" s="106" t="str">
        <f>IF(MouserListTable1218[[#This Row],[Vendor]]=FilterSpecs!$A$8,MouserListTable1218[[#This Row],[Mouser SKU]], MouserListTable1218[[#This Row],[Supplier SKU]])</f>
        <v>COM-11154</v>
      </c>
      <c r="E521" s="121">
        <f>MouserListTable1218[[#This Row],[Tot '#]]-MouserListTable1218[[#This Row],['# Initial]]</f>
        <v>2</v>
      </c>
      <c r="F521" s="121">
        <f>MouserListTable1218[[#This Row],['#/Unit]]*FilterSpecs!$B$3+MouserListTable1218[[#This Row],[Extra Initial]]</f>
        <v>0</v>
      </c>
      <c r="G521" s="103" t="s">
        <v>748</v>
      </c>
      <c r="H521" s="103" t="s">
        <v>749</v>
      </c>
      <c r="I521" s="103" t="s">
        <v>750</v>
      </c>
      <c r="J521" s="103"/>
      <c r="K521" s="157">
        <v>0.5</v>
      </c>
      <c r="L521" s="103" t="s">
        <v>1910</v>
      </c>
      <c r="M521" s="103"/>
      <c r="N521" s="157">
        <f>MouserListTable1218[[#This Row],['# Initial]]*MouserListTable1218[[#This Row],[Price (USD)]]</f>
        <v>0</v>
      </c>
      <c r="O521" s="106" t="s">
        <v>747</v>
      </c>
      <c r="P521" s="103">
        <f t="shared" si="11"/>
        <v>502</v>
      </c>
      <c r="Q521" s="103" t="s">
        <v>8</v>
      </c>
      <c r="R52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474-COM-11154</v>
      </c>
      <c r="S521" s="121">
        <v>0</v>
      </c>
      <c r="T521" s="121">
        <v>2</v>
      </c>
      <c r="U521" s="121">
        <v>0</v>
      </c>
      <c r="V521" s="121">
        <f>MouserListTable1218[[#This Row],['#/Unit]]*FilterSpecs!$C$3+MouserListTable1218[[#This Row],[Extra]]</f>
        <v>2</v>
      </c>
      <c r="W521" s="121">
        <f>IF(MouserListTable1218[[#This Row],[Tag]]=FilterSpecs!$F$7,MouserListTable1218[[#This Row],[Price (USD)]],0)</f>
        <v>0</v>
      </c>
      <c r="X521" s="121">
        <f>MouserListTable1218[[#This Row],[Tot '#]]*MouserListTable1218[[#This Row],[Price (USD)]]</f>
        <v>1</v>
      </c>
    </row>
    <row r="522" spans="1:24" s="146" customFormat="1" x14ac:dyDescent="0.3">
      <c r="A522" s="103" t="s">
        <v>897</v>
      </c>
      <c r="B522" s="103" t="s">
        <v>1894</v>
      </c>
      <c r="C522" s="103" t="s">
        <v>8</v>
      </c>
      <c r="D522" s="106" t="str">
        <f>IF(MouserListTable1218[[#This Row],[Vendor]]=FilterSpecs!$A$8,MouserListTable1218[[#This Row],[Mouser SKU]], MouserListTable1218[[#This Row],[Supplier SKU]])</f>
        <v>PRT-08032</v>
      </c>
      <c r="E522" s="121">
        <f>MouserListTable1218[[#This Row],[Tot '#]]-MouserListTable1218[[#This Row],['# Initial]]</f>
        <v>4</v>
      </c>
      <c r="F522" s="121">
        <f>MouserListTable1218[[#This Row],['#/Unit]]*FilterSpecs!$B$3+MouserListTable1218[[#This Row],[Extra Initial]]</f>
        <v>0</v>
      </c>
      <c r="G522" s="103" t="s">
        <v>744</v>
      </c>
      <c r="H522" s="103" t="s">
        <v>745</v>
      </c>
      <c r="I522" s="103" t="s">
        <v>746</v>
      </c>
      <c r="J522" s="103">
        <v>1</v>
      </c>
      <c r="K522" s="157">
        <v>1.5</v>
      </c>
      <c r="L522" s="103" t="s">
        <v>1910</v>
      </c>
      <c r="M522" s="103"/>
      <c r="N522" s="157">
        <f>MouserListTable1218[[#This Row],['# Initial]]*MouserListTable1218[[#This Row],[Price (USD)]]</f>
        <v>0</v>
      </c>
      <c r="O522" s="106" t="s">
        <v>743</v>
      </c>
      <c r="P522" s="103">
        <f t="shared" si="11"/>
        <v>503</v>
      </c>
      <c r="Q522" s="103" t="s">
        <v>8</v>
      </c>
      <c r="R52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474-PRT-08032</v>
      </c>
      <c r="S522" s="121">
        <v>0</v>
      </c>
      <c r="T522" s="121">
        <v>4</v>
      </c>
      <c r="U522" s="121">
        <v>0</v>
      </c>
      <c r="V522" s="121">
        <f>MouserListTable1218[[#This Row],['#/Unit]]*FilterSpecs!$C$3+MouserListTable1218[[#This Row],[Extra]]</f>
        <v>4</v>
      </c>
      <c r="W522" s="121">
        <f>IF(MouserListTable1218[[#This Row],[Tag]]=FilterSpecs!$F$7,MouserListTable1218[[#This Row],[Price (USD)]],0)</f>
        <v>0</v>
      </c>
      <c r="X522" s="121">
        <f>MouserListTable1218[[#This Row],[Tot '#]]*MouserListTable1218[[#This Row],[Price (USD)]]</f>
        <v>6</v>
      </c>
    </row>
    <row r="523" spans="1:24" s="146" customFormat="1" x14ac:dyDescent="0.3">
      <c r="A523" s="103" t="s">
        <v>897</v>
      </c>
      <c r="B523" s="103" t="s">
        <v>1894</v>
      </c>
      <c r="C523" s="103" t="s">
        <v>8</v>
      </c>
      <c r="D523" s="106" t="str">
        <f>IF(MouserListTable1218[[#This Row],[Vendor]]=FilterSpecs!$A$8,MouserListTable1218[[#This Row],[Mouser SKU]], MouserListTable1218[[#This Row],[Supplier SKU]])</f>
        <v>COM-11143</v>
      </c>
      <c r="E523" s="121">
        <f>MouserListTable1218[[#This Row],[Tot '#]]-MouserListTable1218[[#This Row],['# Initial]]</f>
        <v>8</v>
      </c>
      <c r="F523" s="121">
        <f>MouserListTable1218[[#This Row],['#/Unit]]*FilterSpecs!$B$3+MouserListTable1218[[#This Row],[Extra Initial]]</f>
        <v>0</v>
      </c>
      <c r="G523" s="103" t="s">
        <v>740</v>
      </c>
      <c r="H523" s="103" t="s">
        <v>741</v>
      </c>
      <c r="I523" s="103" t="s">
        <v>742</v>
      </c>
      <c r="J523" s="103"/>
      <c r="K523" s="157">
        <v>0.5</v>
      </c>
      <c r="L523" s="103" t="s">
        <v>1910</v>
      </c>
      <c r="M523" s="103"/>
      <c r="N523" s="157">
        <f>MouserListTable1218[[#This Row],['# Initial]]*MouserListTable1218[[#This Row],[Price (USD)]]</f>
        <v>0</v>
      </c>
      <c r="O523" s="106" t="s">
        <v>739</v>
      </c>
      <c r="P523" s="103">
        <f t="shared" si="11"/>
        <v>504</v>
      </c>
      <c r="Q523" s="103" t="s">
        <v>8</v>
      </c>
      <c r="R52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474-COM-11143</v>
      </c>
      <c r="S523" s="121">
        <v>0</v>
      </c>
      <c r="T523" s="121">
        <v>8</v>
      </c>
      <c r="U523" s="121">
        <v>0</v>
      </c>
      <c r="V523" s="121">
        <f>MouserListTable1218[[#This Row],['#/Unit]]*FilterSpecs!$C$3+MouserListTable1218[[#This Row],[Extra]]</f>
        <v>8</v>
      </c>
      <c r="W523" s="121">
        <f>IF(MouserListTable1218[[#This Row],[Tag]]=FilterSpecs!$F$7,MouserListTable1218[[#This Row],[Price (USD)]],0)</f>
        <v>0</v>
      </c>
      <c r="X523" s="121">
        <f>MouserListTable1218[[#This Row],[Tot '#]]*MouserListTable1218[[#This Row],[Price (USD)]]</f>
        <v>4</v>
      </c>
    </row>
    <row r="524" spans="1:24" s="146" customFormat="1" x14ac:dyDescent="0.3">
      <c r="A524" s="103" t="s">
        <v>897</v>
      </c>
      <c r="B524" s="103" t="s">
        <v>1894</v>
      </c>
      <c r="C524" s="103" t="s">
        <v>8</v>
      </c>
      <c r="D524" s="106" t="str">
        <f>IF(MouserListTable1218[[#This Row],[Vendor]]=FilterSpecs!$A$8,MouserListTable1218[[#This Row],[Mouser SKU]], MouserListTable1218[[#This Row],[Supplier SKU]])</f>
        <v>PRT-10588</v>
      </c>
      <c r="E524" s="121">
        <f>MouserListTable1218[[#This Row],[Tot '#]]-MouserListTable1218[[#This Row],['# Initial]]</f>
        <v>2</v>
      </c>
      <c r="F524" s="121">
        <f>MouserListTable1218[[#This Row],['#/Unit]]*FilterSpecs!$B$3+MouserListTable1218[[#This Row],[Extra Initial]]</f>
        <v>0</v>
      </c>
      <c r="G524" s="103" t="s">
        <v>906</v>
      </c>
      <c r="H524" s="103" t="s">
        <v>907</v>
      </c>
      <c r="I524" s="103" t="s">
        <v>908</v>
      </c>
      <c r="J524" s="103">
        <v>1</v>
      </c>
      <c r="K524" s="157">
        <v>0.95</v>
      </c>
      <c r="L524" s="106" t="s">
        <v>1910</v>
      </c>
      <c r="M524" s="103"/>
      <c r="N524" s="157">
        <f>MouserListTable1218[[#This Row],['# Initial]]*MouserListTable1218[[#This Row],[Price (USD)]]</f>
        <v>0</v>
      </c>
      <c r="O524" s="106" t="s">
        <v>905</v>
      </c>
      <c r="P524" s="103">
        <f t="shared" si="11"/>
        <v>505</v>
      </c>
      <c r="Q524" s="103" t="s">
        <v>8</v>
      </c>
      <c r="R52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474-PRT-10588</v>
      </c>
      <c r="S524" s="121">
        <v>0</v>
      </c>
      <c r="T524" s="121">
        <v>2</v>
      </c>
      <c r="U524" s="121">
        <v>0</v>
      </c>
      <c r="V524" s="121">
        <f>MouserListTable1218[[#This Row],['#/Unit]]*FilterSpecs!$C$3+MouserListTable1218[[#This Row],[Extra]]</f>
        <v>2</v>
      </c>
      <c r="W524" s="121">
        <f>IF(MouserListTable1218[[#This Row],[Tag]]=FilterSpecs!$F$7,MouserListTable1218[[#This Row],[Price (USD)]],0)</f>
        <v>0</v>
      </c>
      <c r="X524" s="121">
        <f>MouserListTable1218[[#This Row],[Tot '#]]*MouserListTable1218[[#This Row],[Price (USD)]]</f>
        <v>1.9</v>
      </c>
    </row>
    <row r="525" spans="1:24" s="146" customFormat="1" x14ac:dyDescent="0.3">
      <c r="A525" s="103" t="s">
        <v>897</v>
      </c>
      <c r="B525" s="103" t="s">
        <v>1894</v>
      </c>
      <c r="C525" s="103" t="s">
        <v>1898</v>
      </c>
      <c r="D525" s="106" t="str">
        <f>IF(MouserListTable1218[[#This Row],[Vendor]]=FilterSpecs!$A$8,MouserListTable1218[[#This Row],[Mouser SKU]], MouserListTable1218[[#This Row],[Supplier SKU]])</f>
        <v>2911</v>
      </c>
      <c r="E525" s="121">
        <f>MouserListTable1218[[#This Row],[Tot '#]]-MouserListTable1218[[#This Row],['# Initial]]</f>
        <v>0</v>
      </c>
      <c r="F525" s="121">
        <f>MouserListTable1218[[#This Row],['#/Unit]]*FilterSpecs!$B$3+MouserListTable1218[[#This Row],[Extra Initial]]</f>
        <v>0</v>
      </c>
      <c r="G525" s="103"/>
      <c r="H525" s="103"/>
      <c r="I525" s="126" t="s">
        <v>2214</v>
      </c>
      <c r="K525" s="158">
        <v>1.95</v>
      </c>
      <c r="L525" s="126" t="s">
        <v>1910</v>
      </c>
      <c r="N525" s="157">
        <f>MouserListTable1218[[#This Row],['# Initial]]*MouserListTable1218[[#This Row],[Price (USD)]]</f>
        <v>0</v>
      </c>
      <c r="O525" s="106" t="s">
        <v>2213</v>
      </c>
      <c r="P525" s="103">
        <f t="shared" si="11"/>
        <v>506</v>
      </c>
      <c r="Q525" s="103" t="s">
        <v>1898</v>
      </c>
      <c r="R52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485-2911</v>
      </c>
      <c r="S525" s="121">
        <v>0</v>
      </c>
      <c r="T525" s="121">
        <v>0</v>
      </c>
      <c r="U525" s="121">
        <v>0</v>
      </c>
      <c r="V525" s="121">
        <f>MouserListTable1218[[#This Row],['#/Unit]]*FilterSpecs!$C$3+MouserListTable1218[[#This Row],[Extra]]</f>
        <v>0</v>
      </c>
      <c r="W525" s="121">
        <f>IF(MouserListTable1218[[#This Row],[Tag]]=FilterSpecs!$F$7,MouserListTable1218[[#This Row],[Price (USD)]],0)</f>
        <v>0</v>
      </c>
      <c r="X525" s="121">
        <f>MouserListTable1218[[#This Row],[Tot '#]]*MouserListTable1218[[#This Row],[Price (USD)]]</f>
        <v>0</v>
      </c>
    </row>
    <row r="526" spans="1:24" s="146" customFormat="1" x14ac:dyDescent="0.3">
      <c r="A526" s="103" t="s">
        <v>897</v>
      </c>
      <c r="B526" s="103" t="s">
        <v>1894</v>
      </c>
      <c r="C526" s="103" t="s">
        <v>1898</v>
      </c>
      <c r="D526" s="106" t="str">
        <f>IF(MouserListTable1218[[#This Row],[Vendor]]=FilterSpecs!$A$8,MouserListTable1218[[#This Row],[Mouser SKU]], MouserListTable1218[[#This Row],[Supplier SKU]])</f>
        <v>2791</v>
      </c>
      <c r="E526" s="121">
        <f>MouserListTable1218[[#This Row],[Tot '#]]-MouserListTable1218[[#This Row],['# Initial]]</f>
        <v>0</v>
      </c>
      <c r="F526" s="121">
        <f>MouserListTable1218[[#This Row],['#/Unit]]*FilterSpecs!$B$3+MouserListTable1218[[#This Row],[Extra Initial]]</f>
        <v>0</v>
      </c>
      <c r="G526" s="103"/>
      <c r="H526" s="103"/>
      <c r="I526" s="126" t="s">
        <v>2216</v>
      </c>
      <c r="K526" s="158">
        <v>2.5</v>
      </c>
      <c r="L526" s="126" t="s">
        <v>1910</v>
      </c>
      <c r="N526" s="157">
        <f>MouserListTable1218[[#This Row],['# Initial]]*MouserListTable1218[[#This Row],[Price (USD)]]</f>
        <v>0</v>
      </c>
      <c r="O526" s="106" t="s">
        <v>2215</v>
      </c>
      <c r="P526" s="103">
        <f t="shared" ref="P526:P589" si="12">IF($P525="List #",1,$P525+1)</f>
        <v>507</v>
      </c>
      <c r="Q526" s="103" t="s">
        <v>1898</v>
      </c>
      <c r="R52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485-2791</v>
      </c>
      <c r="S526" s="121">
        <v>0</v>
      </c>
      <c r="T526" s="121">
        <v>0</v>
      </c>
      <c r="U526" s="121">
        <v>0</v>
      </c>
      <c r="V526" s="121">
        <f>MouserListTable1218[[#This Row],['#/Unit]]*FilterSpecs!$C$3+MouserListTable1218[[#This Row],[Extra]]</f>
        <v>0</v>
      </c>
      <c r="W526" s="121">
        <f>IF(MouserListTable1218[[#This Row],[Tag]]=FilterSpecs!$F$7,MouserListTable1218[[#This Row],[Price (USD)]],0)</f>
        <v>0</v>
      </c>
      <c r="X526" s="121">
        <f>MouserListTable1218[[#This Row],[Tot '#]]*MouserListTable1218[[#This Row],[Price (USD)]]</f>
        <v>0</v>
      </c>
    </row>
    <row r="527" spans="1:24" s="146" customFormat="1" x14ac:dyDescent="0.3">
      <c r="A527" s="103" t="s">
        <v>897</v>
      </c>
      <c r="B527" s="103" t="s">
        <v>1894</v>
      </c>
      <c r="C527" s="103" t="s">
        <v>1898</v>
      </c>
      <c r="D527" s="106" t="str">
        <f>IF(MouserListTable1218[[#This Row],[Vendor]]=FilterSpecs!$A$8,MouserListTable1218[[#This Row],[Mouser SKU]], MouserListTable1218[[#This Row],[Supplier SKU]])</f>
        <v>2790</v>
      </c>
      <c r="E527" s="121">
        <f>MouserListTable1218[[#This Row],[Tot '#]]-MouserListTable1218[[#This Row],['# Initial]]</f>
        <v>0</v>
      </c>
      <c r="F527" s="121">
        <f>MouserListTable1218[[#This Row],['#/Unit]]*FilterSpecs!$B$3+MouserListTable1218[[#This Row],[Extra Initial]]</f>
        <v>0</v>
      </c>
      <c r="G527" s="103"/>
      <c r="H527" s="103"/>
      <c r="I527" s="126" t="s">
        <v>2218</v>
      </c>
      <c r="K527" s="158">
        <v>2.5</v>
      </c>
      <c r="L527" s="126" t="s">
        <v>1910</v>
      </c>
      <c r="N527" s="157">
        <f>MouserListTable1218[[#This Row],['# Initial]]*MouserListTable1218[[#This Row],[Price (USD)]]</f>
        <v>0</v>
      </c>
      <c r="O527" s="106" t="s">
        <v>2217</v>
      </c>
      <c r="P527" s="103">
        <f t="shared" si="12"/>
        <v>508</v>
      </c>
      <c r="Q527" s="103" t="s">
        <v>1898</v>
      </c>
      <c r="R52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485-2790</v>
      </c>
      <c r="S527" s="121">
        <v>0</v>
      </c>
      <c r="T527" s="121">
        <v>0</v>
      </c>
      <c r="U527" s="121">
        <v>0</v>
      </c>
      <c r="V527" s="121">
        <f>MouserListTable1218[[#This Row],['#/Unit]]*FilterSpecs!$C$3+MouserListTable1218[[#This Row],[Extra]]</f>
        <v>0</v>
      </c>
      <c r="W527" s="121">
        <f>IF(MouserListTable1218[[#This Row],[Tag]]=FilterSpecs!$F$7,MouserListTable1218[[#This Row],[Price (USD)]],0)</f>
        <v>0</v>
      </c>
      <c r="X527" s="121">
        <f>MouserListTable1218[[#This Row],[Tot '#]]*MouserListTable1218[[#This Row],[Price (USD)]]</f>
        <v>0</v>
      </c>
    </row>
    <row r="528" spans="1:24" s="146" customFormat="1" x14ac:dyDescent="0.3">
      <c r="A528" s="103" t="s">
        <v>897</v>
      </c>
      <c r="B528" s="103" t="s">
        <v>1894</v>
      </c>
      <c r="C528" s="103" t="s">
        <v>1898</v>
      </c>
      <c r="D528" s="106" t="str">
        <f>IF(MouserListTable1218[[#This Row],[Vendor]]=FilterSpecs!$A$8,MouserListTable1218[[#This Row],[Mouser SKU]], MouserListTable1218[[#This Row],[Supplier SKU]])</f>
        <v>1699</v>
      </c>
      <c r="E528" s="121">
        <f>MouserListTable1218[[#This Row],[Tot '#]]-MouserListTable1218[[#This Row],['# Initial]]</f>
        <v>0</v>
      </c>
      <c r="F528" s="121">
        <f>MouserListTable1218[[#This Row],['#/Unit]]*FilterSpecs!$B$3+MouserListTable1218[[#This Row],[Extra Initial]]</f>
        <v>0</v>
      </c>
      <c r="G528" s="103"/>
      <c r="H528" s="103"/>
      <c r="I528" s="126" t="s">
        <v>2220</v>
      </c>
      <c r="K528" s="158">
        <v>0.95</v>
      </c>
      <c r="L528" s="126" t="s">
        <v>1910</v>
      </c>
      <c r="N528" s="157">
        <f>MouserListTable1218[[#This Row],['# Initial]]*MouserListTable1218[[#This Row],[Price (USD)]]</f>
        <v>0</v>
      </c>
      <c r="O528" s="106" t="s">
        <v>2219</v>
      </c>
      <c r="P528" s="103">
        <f t="shared" si="12"/>
        <v>509</v>
      </c>
      <c r="Q528" s="103" t="s">
        <v>1898</v>
      </c>
      <c r="R52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485-1699</v>
      </c>
      <c r="S528" s="121">
        <v>0</v>
      </c>
      <c r="T528" s="121">
        <v>0</v>
      </c>
      <c r="U528" s="121">
        <v>0</v>
      </c>
      <c r="V528" s="121">
        <f>MouserListTable1218[[#This Row],['#/Unit]]*FilterSpecs!$C$3+MouserListTable1218[[#This Row],[Extra]]</f>
        <v>0</v>
      </c>
      <c r="W528" s="121">
        <f>IF(MouserListTable1218[[#This Row],[Tag]]=FilterSpecs!$F$7,MouserListTable1218[[#This Row],[Price (USD)]],0)</f>
        <v>0</v>
      </c>
      <c r="X528" s="121">
        <f>MouserListTable1218[[#This Row],[Tot '#]]*MouserListTable1218[[#This Row],[Price (USD)]]</f>
        <v>0</v>
      </c>
    </row>
    <row r="529" spans="1:24" s="146" customFormat="1" x14ac:dyDescent="0.3">
      <c r="A529" s="103" t="s">
        <v>897</v>
      </c>
      <c r="B529" s="103" t="s">
        <v>2022</v>
      </c>
      <c r="C529" s="103" t="s">
        <v>1898</v>
      </c>
      <c r="D529" s="106" t="str">
        <f>IF(MouserListTable1218[[#This Row],[Vendor]]=FilterSpecs!$A$8,MouserListTable1218[[#This Row],[Mouser SKU]], MouserListTable1218[[#This Row],[Supplier SKU]])</f>
        <v>2429</v>
      </c>
      <c r="E529" s="121">
        <f>MouserListTable1218[[#This Row],[Tot '#]]-MouserListTable1218[[#This Row],['# Initial]]</f>
        <v>0</v>
      </c>
      <c r="F529" s="121">
        <f>MouserListTable1218[[#This Row],['#/Unit]]*FilterSpecs!$B$3+MouserListTable1218[[#This Row],[Extra Initial]]</f>
        <v>1</v>
      </c>
      <c r="G529" s="103"/>
      <c r="H529" s="103"/>
      <c r="I529" s="103" t="s">
        <v>2228</v>
      </c>
      <c r="K529" s="157">
        <v>4.95</v>
      </c>
      <c r="L529" s="103" t="s">
        <v>1910</v>
      </c>
      <c r="M529" s="106"/>
      <c r="N529" s="157">
        <f>MouserListTable1218[[#This Row],['# Initial]]*MouserListTable1218[[#This Row],[Price (USD)]]</f>
        <v>4.95</v>
      </c>
      <c r="O529" s="106" t="s">
        <v>2227</v>
      </c>
      <c r="P529" s="103">
        <f t="shared" si="12"/>
        <v>510</v>
      </c>
      <c r="Q529" s="103" t="s">
        <v>1898</v>
      </c>
      <c r="R52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485-2429</v>
      </c>
      <c r="S529" s="121">
        <v>0</v>
      </c>
      <c r="T529" s="121">
        <v>1</v>
      </c>
      <c r="U529" s="121">
        <v>1</v>
      </c>
      <c r="V529" s="121">
        <f>MouserListTable1218[[#This Row],['#/Unit]]*FilterSpecs!$C$3+MouserListTable1218[[#This Row],[Extra]]</f>
        <v>1</v>
      </c>
      <c r="W529" s="121">
        <f>IF(MouserListTable1218[[#This Row],[Tag]]=FilterSpecs!$F$7,MouserListTable1218[[#This Row],[Price (USD)]],0)</f>
        <v>0</v>
      </c>
      <c r="X529" s="121">
        <f>MouserListTable1218[[#This Row],[Tot '#]]*MouserListTable1218[[#This Row],[Price (USD)]]</f>
        <v>4.95</v>
      </c>
    </row>
    <row r="530" spans="1:24" s="146" customFormat="1" x14ac:dyDescent="0.3">
      <c r="A530" s="103" t="s">
        <v>897</v>
      </c>
      <c r="B530" s="103" t="s">
        <v>2022</v>
      </c>
      <c r="C530" s="103" t="s">
        <v>1898</v>
      </c>
      <c r="D530" s="106" t="str">
        <f>IF(MouserListTable1218[[#This Row],[Vendor]]=FilterSpecs!$A$8,MouserListTable1218[[#This Row],[Mouser SKU]], MouserListTable1218[[#This Row],[Supplier SKU]])</f>
        <v>2428</v>
      </c>
      <c r="E530" s="121">
        <f>MouserListTable1218[[#This Row],[Tot '#]]-MouserListTable1218[[#This Row],['# Initial]]</f>
        <v>0</v>
      </c>
      <c r="F530" s="121">
        <f>MouserListTable1218[[#This Row],['#/Unit]]*FilterSpecs!$B$3+MouserListTable1218[[#This Row],[Extra Initial]]</f>
        <v>1</v>
      </c>
      <c r="G530" s="103"/>
      <c r="H530" s="103"/>
      <c r="I530" s="103" t="s">
        <v>2230</v>
      </c>
      <c r="K530" s="157">
        <v>4.95</v>
      </c>
      <c r="L530" s="103" t="s">
        <v>1910</v>
      </c>
      <c r="M530" s="106"/>
      <c r="N530" s="157">
        <f>MouserListTable1218[[#This Row],['# Initial]]*MouserListTable1218[[#This Row],[Price (USD)]]</f>
        <v>4.95</v>
      </c>
      <c r="O530" s="106" t="s">
        <v>2229</v>
      </c>
      <c r="P530" s="103">
        <f t="shared" si="12"/>
        <v>511</v>
      </c>
      <c r="Q530" s="103" t="s">
        <v>1898</v>
      </c>
      <c r="R53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485-2428</v>
      </c>
      <c r="S530" s="121">
        <v>0</v>
      </c>
      <c r="T530" s="121">
        <v>1</v>
      </c>
      <c r="U530" s="121">
        <v>1</v>
      </c>
      <c r="V530" s="121">
        <f>MouserListTable1218[[#This Row],['#/Unit]]*FilterSpecs!$C$3+MouserListTable1218[[#This Row],[Extra]]</f>
        <v>1</v>
      </c>
      <c r="W530" s="121">
        <f>IF(MouserListTable1218[[#This Row],[Tag]]=FilterSpecs!$F$7,MouserListTable1218[[#This Row],[Price (USD)]],0)</f>
        <v>0</v>
      </c>
      <c r="X530" s="121">
        <f>MouserListTable1218[[#This Row],[Tot '#]]*MouserListTable1218[[#This Row],[Price (USD)]]</f>
        <v>4.95</v>
      </c>
    </row>
    <row r="531" spans="1:24" s="146" customFormat="1" x14ac:dyDescent="0.3">
      <c r="A531" s="103" t="s">
        <v>897</v>
      </c>
      <c r="B531" s="103" t="s">
        <v>2022</v>
      </c>
      <c r="C531" s="103" t="s">
        <v>1898</v>
      </c>
      <c r="D531" s="106" t="str">
        <f>IF(MouserListTable1218[[#This Row],[Vendor]]=FilterSpecs!$A$8,MouserListTable1218[[#This Row],[Mouser SKU]], MouserListTable1218[[#This Row],[Supplier SKU]])</f>
        <v>2430</v>
      </c>
      <c r="E531" s="121">
        <f>MouserListTable1218[[#This Row],[Tot '#]]-MouserListTable1218[[#This Row],['# Initial]]</f>
        <v>0</v>
      </c>
      <c r="F531" s="121">
        <f>MouserListTable1218[[#This Row],['#/Unit]]*FilterSpecs!$B$3+MouserListTable1218[[#This Row],[Extra Initial]]</f>
        <v>1</v>
      </c>
      <c r="G531" s="103"/>
      <c r="H531" s="103"/>
      <c r="I531" s="103" t="s">
        <v>2232</v>
      </c>
      <c r="K531" s="157">
        <v>4.95</v>
      </c>
      <c r="L531" s="103" t="s">
        <v>1910</v>
      </c>
      <c r="M531" s="106"/>
      <c r="N531" s="157">
        <f>MouserListTable1218[[#This Row],['# Initial]]*MouserListTable1218[[#This Row],[Price (USD)]]</f>
        <v>4.95</v>
      </c>
      <c r="O531" s="106" t="s">
        <v>2231</v>
      </c>
      <c r="P531" s="103">
        <f t="shared" si="12"/>
        <v>512</v>
      </c>
      <c r="Q531" s="103" t="s">
        <v>1898</v>
      </c>
      <c r="R53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485-2430</v>
      </c>
      <c r="S531" s="121">
        <v>0</v>
      </c>
      <c r="T531" s="121">
        <v>1</v>
      </c>
      <c r="U531" s="121">
        <v>1</v>
      </c>
      <c r="V531" s="121">
        <f>MouserListTable1218[[#This Row],['#/Unit]]*FilterSpecs!$C$3+MouserListTable1218[[#This Row],[Extra]]</f>
        <v>1</v>
      </c>
      <c r="W531" s="121">
        <f>IF(MouserListTable1218[[#This Row],[Tag]]=FilterSpecs!$F$7,MouserListTable1218[[#This Row],[Price (USD)]],0)</f>
        <v>0</v>
      </c>
      <c r="X531" s="121">
        <f>MouserListTable1218[[#This Row],[Tot '#]]*MouserListTable1218[[#This Row],[Price (USD)]]</f>
        <v>4.95</v>
      </c>
    </row>
    <row r="532" spans="1:24" s="146" customFormat="1" x14ac:dyDescent="0.3">
      <c r="A532" s="103" t="s">
        <v>897</v>
      </c>
      <c r="B532" s="103" t="s">
        <v>2022</v>
      </c>
      <c r="C532" s="103" t="s">
        <v>1898</v>
      </c>
      <c r="D532" s="106" t="str">
        <f>IF(MouserListTable1218[[#This Row],[Vendor]]=FilterSpecs!$A$8,MouserListTable1218[[#This Row],[Mouser SKU]], MouserListTable1218[[#This Row],[Supplier SKU]])</f>
        <v>394</v>
      </c>
      <c r="E532" s="121">
        <f>MouserListTable1218[[#This Row],[Tot '#]]-MouserListTable1218[[#This Row],['# Initial]]</f>
        <v>0</v>
      </c>
      <c r="F532" s="121">
        <f>MouserListTable1218[[#This Row],['#/Unit]]*FilterSpecs!$B$3+MouserListTable1218[[#This Row],[Extra Initial]]</f>
        <v>1</v>
      </c>
      <c r="G532" s="103"/>
      <c r="H532" s="103"/>
      <c r="I532" s="103" t="s">
        <v>2234</v>
      </c>
      <c r="K532" s="157">
        <v>7.5</v>
      </c>
      <c r="L532" s="103" t="s">
        <v>1910</v>
      </c>
      <c r="M532" s="106"/>
      <c r="N532" s="157">
        <f>MouserListTable1218[[#This Row],['# Initial]]*MouserListTable1218[[#This Row],[Price (USD)]]</f>
        <v>7.5</v>
      </c>
      <c r="O532" s="106" t="s">
        <v>2233</v>
      </c>
      <c r="P532" s="103">
        <f t="shared" si="12"/>
        <v>513</v>
      </c>
      <c r="Q532" s="103" t="s">
        <v>1898</v>
      </c>
      <c r="R53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485-394</v>
      </c>
      <c r="S532" s="121">
        <v>0</v>
      </c>
      <c r="T532" s="121">
        <v>1</v>
      </c>
      <c r="U532" s="121">
        <v>1</v>
      </c>
      <c r="V532" s="121">
        <f>MouserListTable1218[[#This Row],['#/Unit]]*FilterSpecs!$C$3+MouserListTable1218[[#This Row],[Extra]]</f>
        <v>1</v>
      </c>
      <c r="W532" s="121">
        <f>IF(MouserListTable1218[[#This Row],[Tag]]=FilterSpecs!$F$7,MouserListTable1218[[#This Row],[Price (USD)]],0)</f>
        <v>0</v>
      </c>
      <c r="X532" s="121">
        <f>MouserListTable1218[[#This Row],[Tot '#]]*MouserListTable1218[[#This Row],[Price (USD)]]</f>
        <v>7.5</v>
      </c>
    </row>
    <row r="533" spans="1:24" s="146" customFormat="1" x14ac:dyDescent="0.3">
      <c r="A533" s="106" t="s">
        <v>897</v>
      </c>
      <c r="B533" s="106" t="s">
        <v>2024</v>
      </c>
      <c r="C533" s="106" t="s">
        <v>8</v>
      </c>
      <c r="D533" s="106" t="str">
        <f>IF(MouserListTable1218[[#This Row],[Vendor]]=FilterSpecs!$A$8,MouserListTable1218[[#This Row],[Mouser SKU]], MouserListTable1218[[#This Row],[Supplier SKU]])</f>
        <v>CAB-10646</v>
      </c>
      <c r="E533" s="121">
        <f>MouserListTable1218[[#This Row],[Tot '#]]-MouserListTable1218[[#This Row],['# Initial]]</f>
        <v>0</v>
      </c>
      <c r="F533" s="121">
        <f>MouserListTable1218[[#This Row],['#/Unit]]*FilterSpecs!$B$3+MouserListTable1218[[#This Row],[Extra Initial]]</f>
        <v>2</v>
      </c>
      <c r="G533" s="103" t="s">
        <v>1596</v>
      </c>
      <c r="H533" s="103" t="s">
        <v>1597</v>
      </c>
      <c r="I533" s="106" t="s">
        <v>1598</v>
      </c>
      <c r="J533" s="103">
        <v>1</v>
      </c>
      <c r="K533" s="157">
        <v>2.95</v>
      </c>
      <c r="L533" s="106" t="s">
        <v>1910</v>
      </c>
      <c r="M533" s="103"/>
      <c r="N533" s="157">
        <f>MouserListTable1218[[#This Row],['# Initial]]*MouserListTable1218[[#This Row],[Price (USD)]]</f>
        <v>5.9</v>
      </c>
      <c r="O533" s="106" t="s">
        <v>1595</v>
      </c>
      <c r="P533" s="103">
        <f t="shared" si="12"/>
        <v>514</v>
      </c>
      <c r="Q533" s="103" t="s">
        <v>8</v>
      </c>
      <c r="R53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474-CAB-10646</v>
      </c>
      <c r="S533" s="121">
        <v>0</v>
      </c>
      <c r="T533" s="121">
        <v>2</v>
      </c>
      <c r="U533" s="121">
        <v>2</v>
      </c>
      <c r="V533" s="121">
        <f>MouserListTable1218[[#This Row],['#/Unit]]*FilterSpecs!$C$3+MouserListTable1218[[#This Row],[Extra]]</f>
        <v>2</v>
      </c>
      <c r="W533" s="121">
        <f>IF(MouserListTable1218[[#This Row],[Tag]]=FilterSpecs!$F$7,MouserListTable1218[[#This Row],[Price (USD)]],0)</f>
        <v>0</v>
      </c>
      <c r="X533" s="121">
        <f>MouserListTable1218[[#This Row],[Tot '#]]*MouserListTable1218[[#This Row],[Price (USD)]]</f>
        <v>5.9</v>
      </c>
    </row>
    <row r="534" spans="1:24" s="146" customFormat="1" x14ac:dyDescent="0.3">
      <c r="A534" s="128" t="s">
        <v>897</v>
      </c>
      <c r="B534" s="128" t="s">
        <v>2024</v>
      </c>
      <c r="C534" s="128" t="s">
        <v>1898</v>
      </c>
      <c r="D534" s="106" t="str">
        <f>IF(MouserListTable1218[[#This Row],[Vendor]]=FilterSpecs!$A$8,MouserListTable1218[[#This Row],[Mouser SKU]], MouserListTable1218[[#This Row],[Supplier SKU]])</f>
        <v>371</v>
      </c>
      <c r="E534" s="121">
        <f>MouserListTable1218[[#This Row],[Tot '#]]-MouserListTable1218[[#This Row],['# Initial]]</f>
        <v>0</v>
      </c>
      <c r="F534" s="121">
        <f>MouserListTable1218[[#This Row],['#/Unit]]*FilterSpecs!$B$3+MouserListTable1218[[#This Row],[Extra Initial]]</f>
        <v>0</v>
      </c>
      <c r="I534" s="128" t="s">
        <v>2460</v>
      </c>
      <c r="J534" s="153">
        <v>106</v>
      </c>
      <c r="K534" s="159">
        <v>2</v>
      </c>
      <c r="L534" s="126" t="s">
        <v>1910</v>
      </c>
      <c r="N534" s="157">
        <f>MouserListTable1218[[#This Row],['# Initial]]*MouserListTable1218[[#This Row],[Price (USD)]]</f>
        <v>0</v>
      </c>
      <c r="O534" s="153" t="s">
        <v>2461</v>
      </c>
      <c r="P534" s="103">
        <f t="shared" si="12"/>
        <v>515</v>
      </c>
      <c r="Q534" s="103" t="s">
        <v>1898</v>
      </c>
      <c r="R53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485-371</v>
      </c>
      <c r="S534" s="121">
        <v>0</v>
      </c>
      <c r="T534" s="121">
        <v>0</v>
      </c>
      <c r="U534" s="121">
        <v>0</v>
      </c>
      <c r="V534" s="121">
        <f>MouserListTable1218[[#This Row],['#/Unit]]*FilterSpecs!$C$3+MouserListTable1218[[#This Row],[Extra]]</f>
        <v>0</v>
      </c>
      <c r="W534" s="121">
        <f>IF(MouserListTable1218[[#This Row],[Tag]]=FilterSpecs!$F$7,MouserListTable1218[[#This Row],[Price (USD)]],0)</f>
        <v>0</v>
      </c>
      <c r="X534" s="121">
        <f>MouserListTable1218[[#This Row],[Tot '#]]*MouserListTable1218[[#This Row],[Price (USD)]]</f>
        <v>0</v>
      </c>
    </row>
    <row r="535" spans="1:24" s="146" customFormat="1" x14ac:dyDescent="0.3">
      <c r="A535" s="146" t="s">
        <v>897</v>
      </c>
      <c r="B535" s="146" t="s">
        <v>2024</v>
      </c>
      <c r="C535" s="146" t="s">
        <v>8</v>
      </c>
      <c r="D535" s="106" t="str">
        <f>IF(MouserListTable1218[[#This Row],[Vendor]]=FilterSpecs!$A$8,MouserListTable1218[[#This Row],[Mouser SKU]], MouserListTable1218[[#This Row],[Supplier SKU]])</f>
        <v>CAB-10649</v>
      </c>
      <c r="E535" s="121">
        <f>MouserListTable1218[[#This Row],[Tot '#]]-MouserListTable1218[[#This Row],['# Initial]]</f>
        <v>0</v>
      </c>
      <c r="F535" s="121">
        <f>MouserListTable1218[[#This Row],['#/Unit]]*FilterSpecs!$B$3+MouserListTable1218[[#This Row],[Extra Initial]]</f>
        <v>0</v>
      </c>
      <c r="G535" s="103" t="s">
        <v>1592</v>
      </c>
      <c r="H535" s="103" t="s">
        <v>1593</v>
      </c>
      <c r="I535" s="106" t="s">
        <v>1594</v>
      </c>
      <c r="J535" s="103">
        <v>1</v>
      </c>
      <c r="K535" s="157">
        <v>0.95</v>
      </c>
      <c r="L535" s="106" t="s">
        <v>1910</v>
      </c>
      <c r="M535" s="103"/>
      <c r="N535" s="157">
        <f>MouserListTable1218[[#This Row],['# Initial]]*MouserListTable1218[[#This Row],[Price (USD)]]</f>
        <v>0</v>
      </c>
      <c r="O535" s="106" t="s">
        <v>1591</v>
      </c>
      <c r="P535" s="103">
        <f t="shared" si="12"/>
        <v>516</v>
      </c>
      <c r="Q535" s="103" t="s">
        <v>8</v>
      </c>
      <c r="R53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474-CAB-10649</v>
      </c>
      <c r="S535" s="121">
        <v>0</v>
      </c>
      <c r="T535" s="121">
        <v>0</v>
      </c>
      <c r="U535" s="121">
        <v>0</v>
      </c>
      <c r="V535" s="121">
        <f>MouserListTable1218[[#This Row],['#/Unit]]*FilterSpecs!$C$3+MouserListTable1218[[#This Row],[Extra]]</f>
        <v>0</v>
      </c>
      <c r="W535" s="121">
        <f>IF(MouserListTable1218[[#This Row],[Tag]]=FilterSpecs!$F$7,MouserListTable1218[[#This Row],[Price (USD)]],0)</f>
        <v>0</v>
      </c>
      <c r="X535" s="121">
        <f>MouserListTable1218[[#This Row],[Tot '#]]*MouserListTable1218[[#This Row],[Price (USD)]]</f>
        <v>0</v>
      </c>
    </row>
    <row r="536" spans="1:24" s="146" customFormat="1" x14ac:dyDescent="0.3">
      <c r="A536" s="106" t="s">
        <v>897</v>
      </c>
      <c r="B536" s="106" t="s">
        <v>2024</v>
      </c>
      <c r="C536" s="106" t="s">
        <v>8</v>
      </c>
      <c r="D536" s="106" t="str">
        <f>IF(MouserListTable1218[[#This Row],[Vendor]]=FilterSpecs!$A$8,MouserListTable1218[[#This Row],[Mouser SKU]], MouserListTable1218[[#This Row],[Supplier SKU]])</f>
        <v>CAB-10647</v>
      </c>
      <c r="E536" s="121">
        <f>MouserListTable1218[[#This Row],[Tot '#]]-MouserListTable1218[[#This Row],['# Initial]]</f>
        <v>0</v>
      </c>
      <c r="F536" s="121">
        <f>MouserListTable1218[[#This Row],['#/Unit]]*FilterSpecs!$B$3+MouserListTable1218[[#This Row],[Extra Initial]]</f>
        <v>1</v>
      </c>
      <c r="G536" s="103" t="s">
        <v>1600</v>
      </c>
      <c r="H536" s="103" t="s">
        <v>1601</v>
      </c>
      <c r="I536" s="106" t="s">
        <v>1602</v>
      </c>
      <c r="J536" s="103">
        <v>1</v>
      </c>
      <c r="K536" s="157">
        <v>4.95</v>
      </c>
      <c r="L536" s="106" t="s">
        <v>1910</v>
      </c>
      <c r="M536" s="103"/>
      <c r="N536" s="157">
        <f>MouserListTable1218[[#This Row],['# Initial]]*MouserListTable1218[[#This Row],[Price (USD)]]</f>
        <v>4.95</v>
      </c>
      <c r="O536" s="106" t="s">
        <v>1599</v>
      </c>
      <c r="P536" s="103">
        <f t="shared" si="12"/>
        <v>517</v>
      </c>
      <c r="Q536" s="103" t="s">
        <v>8</v>
      </c>
      <c r="R53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474-CAB-10647</v>
      </c>
      <c r="S536" s="121">
        <v>0</v>
      </c>
      <c r="T536" s="121">
        <v>1</v>
      </c>
      <c r="U536" s="121">
        <v>1</v>
      </c>
      <c r="V536" s="121">
        <f>MouserListTable1218[[#This Row],['#/Unit]]*FilterSpecs!$C$3+MouserListTable1218[[#This Row],[Extra]]</f>
        <v>1</v>
      </c>
      <c r="W536" s="121">
        <f>IF(MouserListTable1218[[#This Row],[Tag]]=FilterSpecs!$F$7,MouserListTable1218[[#This Row],[Price (USD)]],0)</f>
        <v>0</v>
      </c>
      <c r="X536" s="121">
        <f>MouserListTable1218[[#This Row],[Tot '#]]*MouserListTable1218[[#This Row],[Price (USD)]]</f>
        <v>4.95</v>
      </c>
    </row>
    <row r="537" spans="1:24" s="146" customFormat="1" x14ac:dyDescent="0.3">
      <c r="A537" s="128" t="s">
        <v>897</v>
      </c>
      <c r="B537" s="128" t="s">
        <v>2024</v>
      </c>
      <c r="C537" s="128" t="s">
        <v>1898</v>
      </c>
      <c r="D537" s="106" t="str">
        <f>IF(MouserListTable1218[[#This Row],[Vendor]]=FilterSpecs!$A$8,MouserListTable1218[[#This Row],[Mouser SKU]], MouserListTable1218[[#This Row],[Supplier SKU]])</f>
        <v>556</v>
      </c>
      <c r="E537" s="121">
        <f>MouserListTable1218[[#This Row],[Tot '#]]-MouserListTable1218[[#This Row],['# Initial]]</f>
        <v>0</v>
      </c>
      <c r="F537" s="121">
        <f>MouserListTable1218[[#This Row],['#/Unit]]*FilterSpecs!$B$3+MouserListTable1218[[#This Row],[Extra Initial]]</f>
        <v>0</v>
      </c>
      <c r="I537" s="128" t="s">
        <v>2458</v>
      </c>
      <c r="J537" s="153">
        <v>105</v>
      </c>
      <c r="K537" s="159">
        <v>1.5</v>
      </c>
      <c r="L537" s="126" t="s">
        <v>1910</v>
      </c>
      <c r="N537" s="157">
        <f>MouserListTable1218[[#This Row],['# Initial]]*MouserListTable1218[[#This Row],[Price (USD)]]</f>
        <v>0</v>
      </c>
      <c r="O537" s="153" t="s">
        <v>2459</v>
      </c>
      <c r="P537" s="103">
        <f t="shared" si="12"/>
        <v>518</v>
      </c>
      <c r="Q537" s="103" t="s">
        <v>1898</v>
      </c>
      <c r="R53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485-556</v>
      </c>
      <c r="S537" s="121">
        <v>0</v>
      </c>
      <c r="T537" s="121">
        <v>0</v>
      </c>
      <c r="U537" s="121">
        <v>0</v>
      </c>
      <c r="V537" s="121">
        <f>MouserListTable1218[[#This Row],['#/Unit]]*FilterSpecs!$C$3+MouserListTable1218[[#This Row],[Extra]]</f>
        <v>0</v>
      </c>
      <c r="W537" s="121">
        <f>IF(MouserListTable1218[[#This Row],[Tag]]=FilterSpecs!$F$7,MouserListTable1218[[#This Row],[Price (USD)]],0)</f>
        <v>0</v>
      </c>
      <c r="X537" s="121">
        <f>MouserListTable1218[[#This Row],[Tot '#]]*MouserListTable1218[[#This Row],[Price (USD)]]</f>
        <v>0</v>
      </c>
    </row>
    <row r="538" spans="1:24" s="146" customFormat="1" x14ac:dyDescent="0.3">
      <c r="A538" s="106" t="s">
        <v>897</v>
      </c>
      <c r="B538" s="106" t="s">
        <v>2024</v>
      </c>
      <c r="C538" s="106" t="s">
        <v>1898</v>
      </c>
      <c r="D538" s="106" t="str">
        <f>IF(MouserListTable1218[[#This Row],[Vendor]]=FilterSpecs!$A$8,MouserListTable1218[[#This Row],[Mouser SKU]], MouserListTable1218[[#This Row],[Supplier SKU]])</f>
        <v>370</v>
      </c>
      <c r="E538" s="121">
        <f>MouserListTable1218[[#This Row],[Tot '#]]-MouserListTable1218[[#This Row],['# Initial]]</f>
        <v>0</v>
      </c>
      <c r="F538" s="121">
        <f>MouserListTable1218[[#This Row],['#/Unit]]*FilterSpecs!$B$3+MouserListTable1218[[#This Row],[Extra Initial]]</f>
        <v>0</v>
      </c>
      <c r="G538" s="103"/>
      <c r="H538" s="103"/>
      <c r="I538" s="146" t="s">
        <v>2236</v>
      </c>
      <c r="K538" s="158">
        <v>2</v>
      </c>
      <c r="L538" s="146" t="s">
        <v>1910</v>
      </c>
      <c r="N538" s="157">
        <f>MouserListTable1218[[#This Row],['# Initial]]*MouserListTable1218[[#This Row],[Price (USD)]]</f>
        <v>0</v>
      </c>
      <c r="O538" s="106" t="s">
        <v>2235</v>
      </c>
      <c r="P538" s="103">
        <f t="shared" si="12"/>
        <v>519</v>
      </c>
      <c r="Q538" s="103" t="s">
        <v>1898</v>
      </c>
      <c r="R53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485-370</v>
      </c>
      <c r="S538" s="121">
        <v>0</v>
      </c>
      <c r="T538" s="121">
        <v>0</v>
      </c>
      <c r="U538" s="121">
        <v>0</v>
      </c>
      <c r="V538" s="121">
        <f>MouserListTable1218[[#This Row],['#/Unit]]*FilterSpecs!$C$3+MouserListTable1218[[#This Row],[Extra]]</f>
        <v>0</v>
      </c>
      <c r="W538" s="121">
        <f>IF(MouserListTable1218[[#This Row],[Tag]]=FilterSpecs!$F$7,MouserListTable1218[[#This Row],[Price (USD)]],0)</f>
        <v>0</v>
      </c>
      <c r="X538" s="121">
        <f>MouserListTable1218[[#This Row],[Tot '#]]*MouserListTable1218[[#This Row],[Price (USD)]]</f>
        <v>0</v>
      </c>
    </row>
    <row r="539" spans="1:24" s="146" customFormat="1" x14ac:dyDescent="0.3">
      <c r="A539" s="128" t="s">
        <v>897</v>
      </c>
      <c r="B539" s="146" t="s">
        <v>2024</v>
      </c>
      <c r="C539" s="128" t="s">
        <v>1898</v>
      </c>
      <c r="D539" s="106" t="str">
        <f>IF(MouserListTable1218[[#This Row],[Vendor]]=FilterSpecs!$A$8,MouserListTable1218[[#This Row],[Mouser SKU]], MouserListTable1218[[#This Row],[Supplier SKU]])</f>
        <v>1199</v>
      </c>
      <c r="E539" s="121">
        <f>MouserListTable1218[[#This Row],[Tot '#]]-MouserListTable1218[[#This Row],['# Initial]]</f>
        <v>0</v>
      </c>
      <c r="F539" s="121">
        <f>MouserListTable1218[[#This Row],['#/Unit]]*FilterSpecs!$B$3+MouserListTable1218[[#This Row],[Extra Initial]]</f>
        <v>0</v>
      </c>
      <c r="I539" s="128" t="s">
        <v>2456</v>
      </c>
      <c r="J539" s="153">
        <v>104</v>
      </c>
      <c r="K539" s="159">
        <v>3.95</v>
      </c>
      <c r="L539" s="126" t="s">
        <v>1910</v>
      </c>
      <c r="N539" s="157">
        <f>MouserListTable1218[[#This Row],['# Initial]]*MouserListTable1218[[#This Row],[Price (USD)]]</f>
        <v>0</v>
      </c>
      <c r="O539" s="153" t="s">
        <v>2457</v>
      </c>
      <c r="P539" s="103">
        <f t="shared" si="12"/>
        <v>520</v>
      </c>
      <c r="Q539" s="103" t="s">
        <v>1898</v>
      </c>
      <c r="R53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485-1199</v>
      </c>
      <c r="S539" s="121">
        <v>0</v>
      </c>
      <c r="T539" s="121">
        <v>0</v>
      </c>
      <c r="U539" s="121">
        <v>0</v>
      </c>
      <c r="V539" s="121">
        <f>MouserListTable1218[[#This Row],['#/Unit]]*FilterSpecs!$C$3+MouserListTable1218[[#This Row],[Extra]]</f>
        <v>0</v>
      </c>
      <c r="W539" s="121">
        <f>IF(MouserListTable1218[[#This Row],[Tag]]=FilterSpecs!$F$7,MouserListTable1218[[#This Row],[Price (USD)]],0)</f>
        <v>0</v>
      </c>
      <c r="X539" s="121">
        <f>MouserListTable1218[[#This Row],[Tot '#]]*MouserListTable1218[[#This Row],[Price (USD)]]</f>
        <v>0</v>
      </c>
    </row>
    <row r="540" spans="1:24" s="146" customFormat="1" x14ac:dyDescent="0.3">
      <c r="A540" s="146" t="s">
        <v>897</v>
      </c>
      <c r="B540" s="146" t="s">
        <v>2024</v>
      </c>
      <c r="C540" s="146" t="s">
        <v>8</v>
      </c>
      <c r="D540" s="106" t="str">
        <f>IF(MouserListTable1218[[#This Row],[Vendor]]=FilterSpecs!$A$8,MouserListTable1218[[#This Row],[Mouser SKU]], MouserListTable1218[[#This Row],[Supplier SKU]])</f>
        <v>PRT-08535</v>
      </c>
      <c r="E540" s="121">
        <f>MouserListTable1218[[#This Row],[Tot '#]]-MouserListTable1218[[#This Row],['# Initial]]</f>
        <v>0</v>
      </c>
      <c r="F540" s="121">
        <f>MouserListTable1218[[#This Row],['#/Unit]]*FilterSpecs!$B$3+MouserListTable1218[[#This Row],[Extra Initial]]</f>
        <v>0</v>
      </c>
      <c r="G540" s="103" t="s">
        <v>1532</v>
      </c>
      <c r="H540" s="103" t="s">
        <v>1533</v>
      </c>
      <c r="I540" s="106" t="s">
        <v>1534</v>
      </c>
      <c r="J540" s="103">
        <v>1</v>
      </c>
      <c r="K540" s="157">
        <v>1.5</v>
      </c>
      <c r="L540" s="106" t="s">
        <v>1910</v>
      </c>
      <c r="M540" s="103"/>
      <c r="N540" s="157">
        <f>MouserListTable1218[[#This Row],['# Initial]]*MouserListTable1218[[#This Row],[Price (USD)]]</f>
        <v>0</v>
      </c>
      <c r="O540" s="106" t="s">
        <v>1531</v>
      </c>
      <c r="P540" s="103">
        <f t="shared" si="12"/>
        <v>521</v>
      </c>
      <c r="Q540" s="103" t="s">
        <v>8</v>
      </c>
      <c r="R54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474-PRT-08535</v>
      </c>
      <c r="S540" s="121">
        <v>0</v>
      </c>
      <c r="T540" s="121">
        <v>0</v>
      </c>
      <c r="U540" s="121">
        <v>0</v>
      </c>
      <c r="V540" s="121">
        <f>MouserListTable1218[[#This Row],['#/Unit]]*FilterSpecs!$C$3+MouserListTable1218[[#This Row],[Extra]]</f>
        <v>0</v>
      </c>
      <c r="W540" s="121">
        <f>IF(MouserListTable1218[[#This Row],[Tag]]=FilterSpecs!$F$7,MouserListTable1218[[#This Row],[Price (USD)]],0)</f>
        <v>0</v>
      </c>
      <c r="X540" s="121">
        <f>MouserListTable1218[[#This Row],[Tot '#]]*MouserListTable1218[[#This Row],[Price (USD)]]</f>
        <v>0</v>
      </c>
    </row>
    <row r="541" spans="1:24" s="146" customFormat="1" x14ac:dyDescent="0.3">
      <c r="A541" s="128" t="s">
        <v>897</v>
      </c>
      <c r="B541" s="128" t="s">
        <v>2024</v>
      </c>
      <c r="C541" s="128" t="s">
        <v>1898</v>
      </c>
      <c r="D541" s="106" t="str">
        <f>IF(MouserListTable1218[[#This Row],[Vendor]]=FilterSpecs!$A$8,MouserListTable1218[[#This Row],[Mouser SKU]], MouserListTable1218[[#This Row],[Supplier SKU]])</f>
        <v>1675</v>
      </c>
      <c r="E541" s="121">
        <f>MouserListTable1218[[#This Row],[Tot '#]]-MouserListTable1218[[#This Row],['# Initial]]</f>
        <v>0</v>
      </c>
      <c r="F541" s="121">
        <f>MouserListTable1218[[#This Row],['#/Unit]]*FilterSpecs!$B$3+MouserListTable1218[[#This Row],[Extra Initial]]</f>
        <v>0</v>
      </c>
      <c r="I541" s="128" t="s">
        <v>2454</v>
      </c>
      <c r="J541" s="153">
        <v>103</v>
      </c>
      <c r="K541" s="159">
        <v>2.95</v>
      </c>
      <c r="L541" s="126" t="s">
        <v>1910</v>
      </c>
      <c r="N541" s="157">
        <f>MouserListTable1218[[#This Row],['# Initial]]*MouserListTable1218[[#This Row],[Price (USD)]]</f>
        <v>0</v>
      </c>
      <c r="O541" s="153" t="s">
        <v>2455</v>
      </c>
      <c r="P541" s="103">
        <f t="shared" si="12"/>
        <v>522</v>
      </c>
      <c r="Q541" s="103" t="s">
        <v>1898</v>
      </c>
      <c r="R54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485-1675</v>
      </c>
      <c r="S541" s="121">
        <v>0</v>
      </c>
      <c r="T541" s="121">
        <v>0</v>
      </c>
      <c r="U541" s="121">
        <v>0</v>
      </c>
      <c r="V541" s="121">
        <f>MouserListTable1218[[#This Row],['#/Unit]]*FilterSpecs!$C$3+MouserListTable1218[[#This Row],[Extra]]</f>
        <v>0</v>
      </c>
      <c r="W541" s="121">
        <f>IF(MouserListTable1218[[#This Row],[Tag]]=FilterSpecs!$F$7,MouserListTable1218[[#This Row],[Price (USD)]],0)</f>
        <v>0</v>
      </c>
      <c r="X541" s="121">
        <f>MouserListTable1218[[#This Row],[Tot '#]]*MouserListTable1218[[#This Row],[Price (USD)]]</f>
        <v>0</v>
      </c>
    </row>
    <row r="542" spans="1:24" s="146" customFormat="1" x14ac:dyDescent="0.3">
      <c r="A542" s="126" t="s">
        <v>897</v>
      </c>
      <c r="B542" s="126" t="s">
        <v>2033</v>
      </c>
      <c r="C542" s="126" t="s">
        <v>8</v>
      </c>
      <c r="D542" s="106" t="str">
        <f>IF(MouserListTable1218[[#This Row],[Vendor]]=FilterSpecs!$A$8,MouserListTable1218[[#This Row],[Mouser SKU]], MouserListTable1218[[#This Row],[Supplier SKU]])</f>
        <v>COM-09939</v>
      </c>
      <c r="E542" s="121">
        <f>MouserListTable1218[[#This Row],[Tot '#]]-MouserListTable1218[[#This Row],['# Initial]]</f>
        <v>0</v>
      </c>
      <c r="F542" s="121">
        <f>MouserListTable1218[[#This Row],['#/Unit]]*FilterSpecs!$B$3+MouserListTable1218[[#This Row],[Extra Initial]]</f>
        <v>0</v>
      </c>
      <c r="G542" s="103" t="s">
        <v>1001</v>
      </c>
      <c r="H542" s="103" t="s">
        <v>1002</v>
      </c>
      <c r="I542" s="103" t="s">
        <v>1003</v>
      </c>
      <c r="J542" s="103"/>
      <c r="K542" s="157">
        <v>0.95</v>
      </c>
      <c r="L542" s="103" t="s">
        <v>1910</v>
      </c>
      <c r="M542" s="103"/>
      <c r="N542" s="157">
        <f>MouserListTable1218[[#This Row],['# Initial]]*MouserListTable1218[[#This Row],[Price (USD)]]</f>
        <v>0</v>
      </c>
      <c r="O542" s="106" t="s">
        <v>1000</v>
      </c>
      <c r="P542" s="103">
        <f t="shared" si="12"/>
        <v>523</v>
      </c>
      <c r="Q542" s="103" t="s">
        <v>8</v>
      </c>
      <c r="R54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474-COM-09939</v>
      </c>
      <c r="S542" s="121">
        <v>0</v>
      </c>
      <c r="T542" s="121">
        <v>0</v>
      </c>
      <c r="U542" s="121">
        <v>0</v>
      </c>
      <c r="V542" s="121">
        <f>MouserListTable1218[[#This Row],['#/Unit]]*FilterSpecs!$C$3+MouserListTable1218[[#This Row],[Extra]]</f>
        <v>0</v>
      </c>
      <c r="W542" s="121">
        <f>IF(MouserListTable1218[[#This Row],[Tag]]=FilterSpecs!$F$7,MouserListTable1218[[#This Row],[Price (USD)]],0)</f>
        <v>0</v>
      </c>
      <c r="X542" s="121">
        <f>MouserListTable1218[[#This Row],[Tot '#]]*MouserListTable1218[[#This Row],[Price (USD)]]</f>
        <v>0</v>
      </c>
    </row>
    <row r="543" spans="1:24" s="146" customFormat="1" x14ac:dyDescent="0.3">
      <c r="A543" s="126" t="s">
        <v>897</v>
      </c>
      <c r="B543" s="126" t="s">
        <v>2033</v>
      </c>
      <c r="C543" s="126" t="s">
        <v>8</v>
      </c>
      <c r="D543" s="106" t="str">
        <f>IF(MouserListTable1218[[#This Row],[Vendor]]=FilterSpecs!$A$8,MouserListTable1218[[#This Row],[Mouser SKU]], MouserListTable1218[[#This Row],[Supplier SKU]])</f>
        <v>COM-09940</v>
      </c>
      <c r="E543" s="121">
        <f>MouserListTable1218[[#This Row],[Tot '#]]-MouserListTable1218[[#This Row],['# Initial]]</f>
        <v>0</v>
      </c>
      <c r="F543" s="121">
        <f>MouserListTable1218[[#This Row],['#/Unit]]*FilterSpecs!$B$3+MouserListTable1218[[#This Row],[Extra Initial]]</f>
        <v>0</v>
      </c>
      <c r="G543" s="103" t="s">
        <v>997</v>
      </c>
      <c r="H543" s="103" t="s">
        <v>998</v>
      </c>
      <c r="I543" s="103" t="s">
        <v>999</v>
      </c>
      <c r="J543" s="103">
        <v>1</v>
      </c>
      <c r="K543" s="157">
        <v>0.95</v>
      </c>
      <c r="L543" s="103" t="s">
        <v>1910</v>
      </c>
      <c r="M543" s="103"/>
      <c r="N543" s="157">
        <f>MouserListTable1218[[#This Row],['# Initial]]*MouserListTable1218[[#This Row],[Price (USD)]]</f>
        <v>0</v>
      </c>
      <c r="O543" s="106" t="s">
        <v>996</v>
      </c>
      <c r="P543" s="103">
        <f t="shared" si="12"/>
        <v>524</v>
      </c>
      <c r="Q543" s="103" t="s">
        <v>8</v>
      </c>
      <c r="R54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474-COM-09940</v>
      </c>
      <c r="S543" s="121">
        <v>0</v>
      </c>
      <c r="T543" s="121">
        <v>0</v>
      </c>
      <c r="U543" s="121">
        <v>0</v>
      </c>
      <c r="V543" s="121">
        <f>MouserListTable1218[[#This Row],['#/Unit]]*FilterSpecs!$C$3+MouserListTable1218[[#This Row],[Extra]]</f>
        <v>0</v>
      </c>
      <c r="W543" s="121">
        <f>IF(MouserListTable1218[[#This Row],[Tag]]=FilterSpecs!$F$7,MouserListTable1218[[#This Row],[Price (USD)]],0)</f>
        <v>0</v>
      </c>
      <c r="X543" s="121">
        <f>MouserListTable1218[[#This Row],[Tot '#]]*MouserListTable1218[[#This Row],[Price (USD)]]</f>
        <v>0</v>
      </c>
    </row>
    <row r="544" spans="1:24" s="146" customFormat="1" x14ac:dyDescent="0.3">
      <c r="A544" s="103" t="s">
        <v>897</v>
      </c>
      <c r="B544" s="103" t="s">
        <v>2033</v>
      </c>
      <c r="C544" s="103" t="s">
        <v>8</v>
      </c>
      <c r="D544" s="106" t="str">
        <f>IF(MouserListTable1218[[#This Row],[Vendor]]=FilterSpecs!$A$8,MouserListTable1218[[#This Row],[Mouser SKU]], MouserListTable1218[[#This Row],[Supplier SKU]])</f>
        <v>COM-09288</v>
      </c>
      <c r="E544" s="121">
        <f>MouserListTable1218[[#This Row],[Tot '#]]-MouserListTable1218[[#This Row],['# Initial]]</f>
        <v>0</v>
      </c>
      <c r="F544" s="121">
        <f>MouserListTable1218[[#This Row],['#/Unit]]*FilterSpecs!$B$3+MouserListTable1218[[#This Row],[Extra Initial]]</f>
        <v>5</v>
      </c>
      <c r="G544" s="103" t="s">
        <v>1005</v>
      </c>
      <c r="H544" s="103" t="s">
        <v>1006</v>
      </c>
      <c r="I544" s="103" t="s">
        <v>1007</v>
      </c>
      <c r="J544" s="103">
        <v>1</v>
      </c>
      <c r="K544" s="157">
        <v>0.95</v>
      </c>
      <c r="L544" s="106" t="s">
        <v>1911</v>
      </c>
      <c r="M544" s="103"/>
      <c r="N544" s="157">
        <f>MouserListTable1218[[#This Row],['# Initial]]*MouserListTable1218[[#This Row],[Price (USD)]]</f>
        <v>4.75</v>
      </c>
      <c r="O544" s="106" t="s">
        <v>1004</v>
      </c>
      <c r="P544" s="103">
        <f t="shared" si="12"/>
        <v>525</v>
      </c>
      <c r="Q544" s="103" t="s">
        <v>8</v>
      </c>
      <c r="R54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474-COM-09288</v>
      </c>
      <c r="S544" s="121">
        <v>1</v>
      </c>
      <c r="T544" s="121">
        <v>0</v>
      </c>
      <c r="U544" s="121">
        <v>0</v>
      </c>
      <c r="V544" s="121">
        <f>MouserListTable1218[[#This Row],['#/Unit]]*FilterSpecs!$C$3+MouserListTable1218[[#This Row],[Extra]]</f>
        <v>5</v>
      </c>
      <c r="W544" s="121">
        <f>IF(MouserListTable1218[[#This Row],[Tag]]=FilterSpecs!$F$7,MouserListTable1218[[#This Row],[Price (USD)]],0)</f>
        <v>0.95</v>
      </c>
      <c r="X544" s="121">
        <f>MouserListTable1218[[#This Row],[Tot '#]]*MouserListTable1218[[#This Row],[Price (USD)]]</f>
        <v>4.75</v>
      </c>
    </row>
    <row r="545" spans="1:24" s="146" customFormat="1" x14ac:dyDescent="0.3">
      <c r="A545" s="103" t="s">
        <v>897</v>
      </c>
      <c r="B545" s="103" t="s">
        <v>2033</v>
      </c>
      <c r="C545" s="103" t="s">
        <v>1898</v>
      </c>
      <c r="D545" s="106" t="str">
        <f>IF(MouserListTable1218[[#This Row],[Vendor]]=FilterSpecs!$A$8,MouserListTable1218[[#This Row],[Mouser SKU]], MouserListTable1218[[#This Row],[Supplier SKU]])</f>
        <v>3392</v>
      </c>
      <c r="E545" s="121">
        <f>MouserListTable1218[[#This Row],[Tot '#]]-MouserListTable1218[[#This Row],['# Initial]]</f>
        <v>0</v>
      </c>
      <c r="F545" s="121">
        <f>MouserListTable1218[[#This Row],['#/Unit]]*FilterSpecs!$B$3+MouserListTable1218[[#This Row],[Extra Initial]]</f>
        <v>0</v>
      </c>
      <c r="G545" s="103"/>
      <c r="H545" s="103"/>
      <c r="I545" s="126" t="s">
        <v>2240</v>
      </c>
      <c r="K545" s="158">
        <v>1.5</v>
      </c>
      <c r="L545" s="126" t="s">
        <v>1910</v>
      </c>
      <c r="N545" s="157">
        <f>MouserListTable1218[[#This Row],['# Initial]]*MouserListTable1218[[#This Row],[Price (USD)]]</f>
        <v>0</v>
      </c>
      <c r="O545" s="106" t="s">
        <v>2239</v>
      </c>
      <c r="P545" s="103">
        <f t="shared" si="12"/>
        <v>526</v>
      </c>
      <c r="Q545" s="103" t="s">
        <v>1898</v>
      </c>
      <c r="R54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485-3392</v>
      </c>
      <c r="S545" s="121">
        <v>0</v>
      </c>
      <c r="T545" s="121">
        <v>0</v>
      </c>
      <c r="U545" s="121">
        <v>0</v>
      </c>
      <c r="V545" s="121">
        <f>MouserListTable1218[[#This Row],['#/Unit]]*FilterSpecs!$C$3+MouserListTable1218[[#This Row],[Extra]]</f>
        <v>0</v>
      </c>
      <c r="W545" s="121">
        <f>IF(MouserListTable1218[[#This Row],[Tag]]=FilterSpecs!$F$7,MouserListTable1218[[#This Row],[Price (USD)]],0)</f>
        <v>0</v>
      </c>
      <c r="X545" s="121">
        <f>MouserListTable1218[[#This Row],[Tot '#]]*MouserListTable1218[[#This Row],[Price (USD)]]</f>
        <v>0</v>
      </c>
    </row>
    <row r="546" spans="1:24" s="146" customFormat="1" x14ac:dyDescent="0.3">
      <c r="A546" s="103" t="s">
        <v>897</v>
      </c>
      <c r="B546" s="103" t="s">
        <v>2033</v>
      </c>
      <c r="C546" s="103" t="s">
        <v>1898</v>
      </c>
      <c r="D546" s="106" t="str">
        <f>IF(MouserListTable1218[[#This Row],[Vendor]]=FilterSpecs!$A$8,MouserListTable1218[[#This Row],[Mouser SKU]], MouserListTable1218[[#This Row],[Supplier SKU]])</f>
        <v>3393</v>
      </c>
      <c r="E546" s="121">
        <f>MouserListTable1218[[#This Row],[Tot '#]]-MouserListTable1218[[#This Row],['# Initial]]</f>
        <v>0</v>
      </c>
      <c r="F546" s="121">
        <f>MouserListTable1218[[#This Row],['#/Unit]]*FilterSpecs!$B$3+MouserListTable1218[[#This Row],[Extra Initial]]</f>
        <v>0</v>
      </c>
      <c r="G546" s="103"/>
      <c r="H546" s="103"/>
      <c r="I546" s="126" t="s">
        <v>2242</v>
      </c>
      <c r="K546" s="158">
        <v>1.75</v>
      </c>
      <c r="L546" s="126" t="s">
        <v>1910</v>
      </c>
      <c r="N546" s="157">
        <f>MouserListTable1218[[#This Row],['# Initial]]*MouserListTable1218[[#This Row],[Price (USD)]]</f>
        <v>0</v>
      </c>
      <c r="O546" s="106" t="s">
        <v>2241</v>
      </c>
      <c r="P546" s="103">
        <f t="shared" si="12"/>
        <v>527</v>
      </c>
      <c r="Q546" s="103" t="s">
        <v>1898</v>
      </c>
      <c r="R54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485-3393</v>
      </c>
      <c r="S546" s="121">
        <v>0</v>
      </c>
      <c r="T546" s="121">
        <v>0</v>
      </c>
      <c r="U546" s="121">
        <v>0</v>
      </c>
      <c r="V546" s="121">
        <f>MouserListTable1218[[#This Row],['#/Unit]]*FilterSpecs!$C$3+MouserListTable1218[[#This Row],[Extra]]</f>
        <v>0</v>
      </c>
      <c r="W546" s="121">
        <f>IF(MouserListTable1218[[#This Row],[Tag]]=FilterSpecs!$F$7,MouserListTable1218[[#This Row],[Price (USD)]],0)</f>
        <v>0</v>
      </c>
      <c r="X546" s="121">
        <f>MouserListTable1218[[#This Row],[Tot '#]]*MouserListTable1218[[#This Row],[Price (USD)]]</f>
        <v>0</v>
      </c>
    </row>
    <row r="547" spans="1:24" s="146" customFormat="1" x14ac:dyDescent="0.3">
      <c r="A547" s="103" t="s">
        <v>897</v>
      </c>
      <c r="B547" s="103" t="s">
        <v>2033</v>
      </c>
      <c r="C547" s="103" t="s">
        <v>1898</v>
      </c>
      <c r="D547" s="106" t="str">
        <f>IF(MouserListTable1218[[#This Row],[Vendor]]=FilterSpecs!$A$8,MouserListTable1218[[#This Row],[Mouser SKU]], MouserListTable1218[[#This Row],[Supplier SKU]])</f>
        <v>562</v>
      </c>
      <c r="E547" s="121">
        <f>MouserListTable1218[[#This Row],[Tot '#]]-MouserListTable1218[[#This Row],['# Initial]]</f>
        <v>0</v>
      </c>
      <c r="F547" s="121">
        <f>MouserListTable1218[[#This Row],['#/Unit]]*FilterSpecs!$B$3+MouserListTable1218[[#This Row],[Extra Initial]]</f>
        <v>0</v>
      </c>
      <c r="G547" s="103"/>
      <c r="H547" s="103"/>
      <c r="I547" s="126" t="s">
        <v>2244</v>
      </c>
      <c r="K547" s="158">
        <v>0.95</v>
      </c>
      <c r="L547" s="126" t="s">
        <v>1910</v>
      </c>
      <c r="N547" s="157">
        <f>MouserListTable1218[[#This Row],['# Initial]]*MouserListTable1218[[#This Row],[Price (USD)]]</f>
        <v>0</v>
      </c>
      <c r="O547" s="106" t="s">
        <v>2243</v>
      </c>
      <c r="P547" s="103">
        <f t="shared" si="12"/>
        <v>528</v>
      </c>
      <c r="Q547" s="103" t="s">
        <v>1898</v>
      </c>
      <c r="R54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485-562</v>
      </c>
      <c r="S547" s="121">
        <v>0</v>
      </c>
      <c r="T547" s="121">
        <v>0</v>
      </c>
      <c r="U547" s="121">
        <v>0</v>
      </c>
      <c r="V547" s="121">
        <f>MouserListTable1218[[#This Row],['#/Unit]]*FilterSpecs!$C$3+MouserListTable1218[[#This Row],[Extra]]</f>
        <v>0</v>
      </c>
      <c r="W547" s="121">
        <f>IF(MouserListTable1218[[#This Row],[Tag]]=FilterSpecs!$F$7,MouserListTable1218[[#This Row],[Price (USD)]],0)</f>
        <v>0</v>
      </c>
      <c r="X547" s="121">
        <f>MouserListTable1218[[#This Row],[Tot '#]]*MouserListTable1218[[#This Row],[Price (USD)]]</f>
        <v>0</v>
      </c>
    </row>
    <row r="548" spans="1:24" s="146" customFormat="1" x14ac:dyDescent="0.3">
      <c r="A548" s="103" t="s">
        <v>897</v>
      </c>
      <c r="B548" s="103" t="s">
        <v>2033</v>
      </c>
      <c r="C548" s="103" t="s">
        <v>1898</v>
      </c>
      <c r="D548" s="106" t="str">
        <f>IF(MouserListTable1218[[#This Row],[Vendor]]=FilterSpecs!$A$8,MouserListTable1218[[#This Row],[Mouser SKU]], MouserListTable1218[[#This Row],[Supplier SKU]])</f>
        <v>1789</v>
      </c>
      <c r="E548" s="121">
        <f>MouserListTable1218[[#This Row],[Tot '#]]-MouserListTable1218[[#This Row],['# Initial]]</f>
        <v>0</v>
      </c>
      <c r="F548" s="121">
        <f>MouserListTable1218[[#This Row],['#/Unit]]*FilterSpecs!$B$3+MouserListTable1218[[#This Row],[Extra Initial]]</f>
        <v>0</v>
      </c>
      <c r="G548" s="103"/>
      <c r="H548" s="103"/>
      <c r="I548" s="126" t="s">
        <v>2246</v>
      </c>
      <c r="K548" s="158">
        <v>0.95</v>
      </c>
      <c r="L548" s="126" t="s">
        <v>1910</v>
      </c>
      <c r="N548" s="157">
        <f>MouserListTable1218[[#This Row],['# Initial]]*MouserListTable1218[[#This Row],[Price (USD)]]</f>
        <v>0</v>
      </c>
      <c r="O548" s="106" t="s">
        <v>2245</v>
      </c>
      <c r="P548" s="103">
        <f t="shared" si="12"/>
        <v>529</v>
      </c>
      <c r="Q548" s="103" t="s">
        <v>1898</v>
      </c>
      <c r="R54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485-1789</v>
      </c>
      <c r="S548" s="121">
        <v>0</v>
      </c>
      <c r="T548" s="121">
        <v>0</v>
      </c>
      <c r="U548" s="121">
        <v>0</v>
      </c>
      <c r="V548" s="121">
        <f>MouserListTable1218[[#This Row],['#/Unit]]*FilterSpecs!$C$3+MouserListTable1218[[#This Row],[Extra]]</f>
        <v>0</v>
      </c>
      <c r="W548" s="121">
        <f>IF(MouserListTable1218[[#This Row],[Tag]]=FilterSpecs!$F$7,MouserListTable1218[[#This Row],[Price (USD)]],0)</f>
        <v>0</v>
      </c>
      <c r="X548" s="121">
        <f>MouserListTable1218[[#This Row],[Tot '#]]*MouserListTable1218[[#This Row],[Price (USD)]]</f>
        <v>0</v>
      </c>
    </row>
    <row r="549" spans="1:24" s="146" customFormat="1" x14ac:dyDescent="0.3">
      <c r="A549" s="103" t="s">
        <v>897</v>
      </c>
      <c r="B549" s="103" t="s">
        <v>2033</v>
      </c>
      <c r="C549" s="103" t="s">
        <v>1898</v>
      </c>
      <c r="D549" s="106" t="str">
        <f>IF(MouserListTable1218[[#This Row],[Vendor]]=FilterSpecs!$A$8,MouserListTable1218[[#This Row],[Mouser SKU]], MouserListTable1218[[#This Row],[Supplier SKU]])</f>
        <v>3395</v>
      </c>
      <c r="E549" s="121">
        <f>MouserListTable1218[[#This Row],[Tot '#]]-MouserListTable1218[[#This Row],['# Initial]]</f>
        <v>0</v>
      </c>
      <c r="F549" s="121">
        <f>MouserListTable1218[[#This Row],['#/Unit]]*FilterSpecs!$B$3+MouserListTable1218[[#This Row],[Extra Initial]]</f>
        <v>5</v>
      </c>
      <c r="G549" s="103"/>
      <c r="H549" s="103"/>
      <c r="I549" s="103" t="s">
        <v>2248</v>
      </c>
      <c r="K549" s="157">
        <v>1.5</v>
      </c>
      <c r="L549" s="106" t="s">
        <v>1911</v>
      </c>
      <c r="M549" s="106"/>
      <c r="N549" s="157">
        <f>MouserListTable1218[[#This Row],['# Initial]]*MouserListTable1218[[#This Row],[Price (USD)]]</f>
        <v>7.5</v>
      </c>
      <c r="O549" s="106" t="s">
        <v>2247</v>
      </c>
      <c r="P549" s="103">
        <f t="shared" si="12"/>
        <v>530</v>
      </c>
      <c r="Q549" s="103" t="s">
        <v>1898</v>
      </c>
      <c r="R54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485-3395</v>
      </c>
      <c r="S549" s="121">
        <v>1</v>
      </c>
      <c r="T549" s="121">
        <v>0</v>
      </c>
      <c r="U549" s="121">
        <v>0</v>
      </c>
      <c r="V549" s="121">
        <f>MouserListTable1218[[#This Row],['#/Unit]]*FilterSpecs!$C$3+MouserListTable1218[[#This Row],[Extra]]</f>
        <v>5</v>
      </c>
      <c r="W549" s="121">
        <f>IF(MouserListTable1218[[#This Row],[Tag]]=FilterSpecs!$F$7,MouserListTable1218[[#This Row],[Price (USD)]],0)</f>
        <v>1.5</v>
      </c>
      <c r="X549" s="121">
        <f>MouserListTable1218[[#This Row],[Tot '#]]*MouserListTable1218[[#This Row],[Price (USD)]]</f>
        <v>7.5</v>
      </c>
    </row>
    <row r="550" spans="1:24" s="146" customFormat="1" x14ac:dyDescent="0.3">
      <c r="A550" s="126" t="s">
        <v>897</v>
      </c>
      <c r="B550" s="126" t="s">
        <v>2033</v>
      </c>
      <c r="C550" s="126" t="s">
        <v>8</v>
      </c>
      <c r="D550" s="106" t="str">
        <f>IF(MouserListTable1218[[#This Row],[Vendor]]=FilterSpecs!$A$8,MouserListTable1218[[#This Row],[Mouser SKU]], MouserListTable1218[[#This Row],[Supplier SKU]])</f>
        <v>COM-09117</v>
      </c>
      <c r="E550" s="121">
        <f>MouserListTable1218[[#This Row],[Tot '#]]-MouserListTable1218[[#This Row],['# Initial]]</f>
        <v>0</v>
      </c>
      <c r="F550" s="121">
        <f>MouserListTable1218[[#This Row],['#/Unit]]*FilterSpecs!$B$3+MouserListTable1218[[#This Row],[Extra Initial]]</f>
        <v>0</v>
      </c>
      <c r="G550" s="103" t="s">
        <v>1009</v>
      </c>
      <c r="H550" s="103" t="s">
        <v>1010</v>
      </c>
      <c r="I550" s="103" t="s">
        <v>1011</v>
      </c>
      <c r="J550" s="103">
        <v>1</v>
      </c>
      <c r="K550" s="157">
        <v>2.95</v>
      </c>
      <c r="L550" s="103" t="s">
        <v>1910</v>
      </c>
      <c r="M550" s="103"/>
      <c r="N550" s="157">
        <f>MouserListTable1218[[#This Row],['# Initial]]*MouserListTable1218[[#This Row],[Price (USD)]]</f>
        <v>0</v>
      </c>
      <c r="O550" s="106" t="s">
        <v>1008</v>
      </c>
      <c r="P550" s="103">
        <f t="shared" si="12"/>
        <v>531</v>
      </c>
      <c r="Q550" s="103" t="s">
        <v>8</v>
      </c>
      <c r="R55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474-COM-09117</v>
      </c>
      <c r="S550" s="121">
        <v>0</v>
      </c>
      <c r="T550" s="121">
        <v>0</v>
      </c>
      <c r="U550" s="121">
        <v>0</v>
      </c>
      <c r="V550" s="121">
        <f>MouserListTable1218[[#This Row],['#/Unit]]*FilterSpecs!$C$3+MouserListTable1218[[#This Row],[Extra]]</f>
        <v>0</v>
      </c>
      <c r="W550" s="121">
        <f>IF(MouserListTable1218[[#This Row],[Tag]]=FilterSpecs!$F$7,MouserListTable1218[[#This Row],[Price (USD)]],0)</f>
        <v>0</v>
      </c>
      <c r="X550" s="121">
        <f>MouserListTable1218[[#This Row],[Tot '#]]*MouserListTable1218[[#This Row],[Price (USD)]]</f>
        <v>0</v>
      </c>
    </row>
    <row r="551" spans="1:24" s="146" customFormat="1" x14ac:dyDescent="0.3">
      <c r="A551" s="126" t="s">
        <v>897</v>
      </c>
      <c r="B551" s="126" t="s">
        <v>2033</v>
      </c>
      <c r="C551" s="126" t="s">
        <v>8</v>
      </c>
      <c r="D551" s="106" t="str">
        <f>IF(MouserListTable1218[[#This Row],[Vendor]]=FilterSpecs!$A$8,MouserListTable1218[[#This Row],[Mouser SKU]], MouserListTable1218[[#This Row],[Supplier SKU]])</f>
        <v>COM-10596</v>
      </c>
      <c r="E551" s="121">
        <f>MouserListTable1218[[#This Row],[Tot '#]]-MouserListTable1218[[#This Row],['# Initial]]</f>
        <v>0</v>
      </c>
      <c r="F551" s="121">
        <f>MouserListTable1218[[#This Row],['#/Unit]]*FilterSpecs!$B$3+MouserListTable1218[[#This Row],[Extra Initial]]</f>
        <v>0</v>
      </c>
      <c r="G551" s="103" t="s">
        <v>1706</v>
      </c>
      <c r="H551" s="103" t="s">
        <v>1707</v>
      </c>
      <c r="I551" s="103" t="s">
        <v>1708</v>
      </c>
      <c r="J551" s="103">
        <v>1</v>
      </c>
      <c r="K551" s="157">
        <v>2.95</v>
      </c>
      <c r="L551" s="103" t="s">
        <v>1913</v>
      </c>
      <c r="M551" s="103"/>
      <c r="N551" s="157">
        <f>MouserListTable1218[[#This Row],['# Initial]]*MouserListTable1218[[#This Row],[Price (USD)]]</f>
        <v>0</v>
      </c>
      <c r="O551" s="106" t="s">
        <v>1705</v>
      </c>
      <c r="P551" s="103">
        <f t="shared" si="12"/>
        <v>532</v>
      </c>
      <c r="Q551" s="103" t="s">
        <v>8</v>
      </c>
      <c r="R55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474-COM-10596</v>
      </c>
      <c r="S551" s="121">
        <v>0</v>
      </c>
      <c r="T551" s="121">
        <v>0</v>
      </c>
      <c r="U551" s="121">
        <v>0</v>
      </c>
      <c r="V551" s="121">
        <f>MouserListTable1218[[#This Row],['#/Unit]]*FilterSpecs!$C$3+MouserListTable1218[[#This Row],[Extra]]</f>
        <v>0</v>
      </c>
      <c r="W551" s="121">
        <f>IF(MouserListTable1218[[#This Row],[Tag]]=FilterSpecs!$F$7,MouserListTable1218[[#This Row],[Price (USD)]],0)</f>
        <v>0</v>
      </c>
      <c r="X551" s="121">
        <f>MouserListTable1218[[#This Row],[Tot '#]]*MouserListTable1218[[#This Row],[Price (USD)]]</f>
        <v>0</v>
      </c>
    </row>
    <row r="552" spans="1:24" s="146" customFormat="1" x14ac:dyDescent="0.3">
      <c r="A552" s="126" t="s">
        <v>897</v>
      </c>
      <c r="B552" s="126" t="s">
        <v>2033</v>
      </c>
      <c r="C552" s="126" t="s">
        <v>8</v>
      </c>
      <c r="D552" s="106" t="str">
        <f>IF(MouserListTable1218[[#This Row],[Vendor]]=FilterSpecs!$A$8,MouserListTable1218[[#This Row],[Mouser SKU]], MouserListTable1218[[#This Row],[Supplier SKU]])</f>
        <v>COM-10982</v>
      </c>
      <c r="E552" s="121">
        <f>MouserListTable1218[[#This Row],[Tot '#]]-MouserListTable1218[[#This Row],['# Initial]]</f>
        <v>0</v>
      </c>
      <c r="F552" s="121">
        <f>MouserListTable1218[[#This Row],['#/Unit]]*FilterSpecs!$B$3+MouserListTable1218[[#This Row],[Extra Initial]]</f>
        <v>0</v>
      </c>
      <c r="G552" s="103" t="s">
        <v>1686</v>
      </c>
      <c r="H552" s="103" t="s">
        <v>1687</v>
      </c>
      <c r="I552" s="103" t="s">
        <v>1688</v>
      </c>
      <c r="J552" s="103">
        <v>1</v>
      </c>
      <c r="K552" s="157">
        <v>3.95</v>
      </c>
      <c r="L552" s="103" t="s">
        <v>1910</v>
      </c>
      <c r="M552" s="103"/>
      <c r="N552" s="157">
        <f>MouserListTable1218[[#This Row],['# Initial]]*MouserListTable1218[[#This Row],[Price (USD)]]</f>
        <v>0</v>
      </c>
      <c r="O552" s="106" t="s">
        <v>1685</v>
      </c>
      <c r="P552" s="103">
        <f t="shared" si="12"/>
        <v>533</v>
      </c>
      <c r="Q552" s="103" t="s">
        <v>8</v>
      </c>
      <c r="R55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474-COM-10982</v>
      </c>
      <c r="S552" s="121">
        <v>0</v>
      </c>
      <c r="T552" s="121">
        <v>0</v>
      </c>
      <c r="U552" s="121">
        <v>0</v>
      </c>
      <c r="V552" s="121">
        <f>MouserListTable1218[[#This Row],['#/Unit]]*FilterSpecs!$C$3+MouserListTable1218[[#This Row],[Extra]]</f>
        <v>0</v>
      </c>
      <c r="W552" s="121">
        <f>IF(MouserListTable1218[[#This Row],[Tag]]=FilterSpecs!$F$7,MouserListTable1218[[#This Row],[Price (USD)]],0)</f>
        <v>0</v>
      </c>
      <c r="X552" s="121">
        <f>MouserListTable1218[[#This Row],[Tot '#]]*MouserListTable1218[[#This Row],[Price (USD)]]</f>
        <v>0</v>
      </c>
    </row>
    <row r="553" spans="1:24" s="146" customFormat="1" x14ac:dyDescent="0.3">
      <c r="A553" s="126" t="s">
        <v>897</v>
      </c>
      <c r="B553" s="126" t="s">
        <v>2033</v>
      </c>
      <c r="C553" s="126" t="s">
        <v>8</v>
      </c>
      <c r="D553" s="106" t="str">
        <f>IF(MouserListTable1218[[#This Row],[Vendor]]=FilterSpecs!$A$8,MouserListTable1218[[#This Row],[Mouser SKU]], MouserListTable1218[[#This Row],[Supplier SKU]])</f>
        <v>BOB-11722</v>
      </c>
      <c r="E553" s="121">
        <f>MouserListTable1218[[#This Row],[Tot '#]]-MouserListTable1218[[#This Row],['# Initial]]</f>
        <v>0</v>
      </c>
      <c r="F553" s="121">
        <f>MouserListTable1218[[#This Row],['#/Unit]]*FilterSpecs!$B$3+MouserListTable1218[[#This Row],[Extra Initial]]</f>
        <v>0</v>
      </c>
      <c r="G553" s="103" t="s">
        <v>1734</v>
      </c>
      <c r="H553" s="103" t="s">
        <v>1735</v>
      </c>
      <c r="I553" s="103" t="s">
        <v>1736</v>
      </c>
      <c r="J553" s="103">
        <v>1</v>
      </c>
      <c r="K553" s="157">
        <v>2.95</v>
      </c>
      <c r="L553" s="103" t="s">
        <v>1912</v>
      </c>
      <c r="M553" s="103"/>
      <c r="N553" s="157">
        <f>MouserListTable1218[[#This Row],['# Initial]]*MouserListTable1218[[#This Row],[Price (USD)]]</f>
        <v>0</v>
      </c>
      <c r="O553" s="106" t="s">
        <v>1733</v>
      </c>
      <c r="P553" s="103">
        <f t="shared" si="12"/>
        <v>534</v>
      </c>
      <c r="Q553" s="103" t="s">
        <v>8</v>
      </c>
      <c r="R55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474-BOB-11722</v>
      </c>
      <c r="S553" s="121">
        <v>0</v>
      </c>
      <c r="T553" s="121">
        <v>0</v>
      </c>
      <c r="U553" s="121">
        <v>0</v>
      </c>
      <c r="V553" s="121">
        <f>MouserListTable1218[[#This Row],['#/Unit]]*FilterSpecs!$C$3+MouserListTable1218[[#This Row],[Extra]]</f>
        <v>0</v>
      </c>
      <c r="W553" s="121">
        <f>IF(MouserListTable1218[[#This Row],[Tag]]=FilterSpecs!$F$7,MouserListTable1218[[#This Row],[Price (USD)]],0)</f>
        <v>0</v>
      </c>
      <c r="X553" s="121">
        <f>MouserListTable1218[[#This Row],[Tot '#]]*MouserListTable1218[[#This Row],[Price (USD)]]</f>
        <v>0</v>
      </c>
    </row>
    <row r="554" spans="1:24" s="146" customFormat="1" x14ac:dyDescent="0.3">
      <c r="A554" s="103" t="s">
        <v>897</v>
      </c>
      <c r="B554" s="103" t="s">
        <v>2033</v>
      </c>
      <c r="C554" s="103" t="s">
        <v>1898</v>
      </c>
      <c r="D554" s="106" t="str">
        <f>IF(MouserListTable1218[[#This Row],[Vendor]]=FilterSpecs!$A$8,MouserListTable1218[[#This Row],[Mouser SKU]], MouserListTable1218[[#This Row],[Supplier SKU]])</f>
        <v>377</v>
      </c>
      <c r="E554" s="121">
        <f>MouserListTable1218[[#This Row],[Tot '#]]-MouserListTable1218[[#This Row],['# Initial]]</f>
        <v>0</v>
      </c>
      <c r="F554" s="121">
        <f>MouserListTable1218[[#This Row],['#/Unit]]*FilterSpecs!$B$3+MouserListTable1218[[#This Row],[Extra Initial]]</f>
        <v>0</v>
      </c>
      <c r="G554" s="103"/>
      <c r="H554" s="103"/>
      <c r="I554" s="126" t="s">
        <v>2250</v>
      </c>
      <c r="K554" s="158">
        <v>4.5</v>
      </c>
      <c r="L554" s="126" t="s">
        <v>1912</v>
      </c>
      <c r="N554" s="157">
        <f>MouserListTable1218[[#This Row],['# Initial]]*MouserListTable1218[[#This Row],[Price (USD)]]</f>
        <v>0</v>
      </c>
      <c r="O554" s="106" t="s">
        <v>2249</v>
      </c>
      <c r="P554" s="103">
        <f t="shared" si="12"/>
        <v>535</v>
      </c>
      <c r="Q554" s="103" t="s">
        <v>1898</v>
      </c>
      <c r="R55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485-377</v>
      </c>
      <c r="S554" s="121">
        <v>0</v>
      </c>
      <c r="T554" s="121">
        <v>0</v>
      </c>
      <c r="U554" s="121">
        <v>0</v>
      </c>
      <c r="V554" s="121">
        <f>MouserListTable1218[[#This Row],['#/Unit]]*FilterSpecs!$C$3+MouserListTable1218[[#This Row],[Extra]]</f>
        <v>0</v>
      </c>
      <c r="W554" s="121">
        <f>IF(MouserListTable1218[[#This Row],[Tag]]=FilterSpecs!$F$7,MouserListTable1218[[#This Row],[Price (USD)]],0)</f>
        <v>0</v>
      </c>
      <c r="X554" s="121">
        <f>MouserListTable1218[[#This Row],[Tot '#]]*MouserListTable1218[[#This Row],[Price (USD)]]</f>
        <v>0</v>
      </c>
    </row>
    <row r="555" spans="1:24" s="146" customFormat="1" x14ac:dyDescent="0.3">
      <c r="A555" s="103" t="s">
        <v>897</v>
      </c>
      <c r="B555" s="103" t="s">
        <v>2033</v>
      </c>
      <c r="C555" s="103" t="s">
        <v>8</v>
      </c>
      <c r="D555" s="106" t="str">
        <f>IF(MouserListTable1218[[#This Row],[Vendor]]=FilterSpecs!$A$8,MouserListTable1218[[#This Row],[Mouser SKU]], MouserListTable1218[[#This Row],[Supplier SKU]])</f>
        <v>COM-13253</v>
      </c>
      <c r="E555" s="121">
        <f>MouserListTable1218[[#This Row],[Tot '#]]-MouserListTable1218[[#This Row],['# Initial]]</f>
        <v>0</v>
      </c>
      <c r="F555" s="121">
        <f>MouserListTable1218[[#This Row],['#/Unit]]*FilterSpecs!$B$3+MouserListTable1218[[#This Row],[Extra Initial]]</f>
        <v>5</v>
      </c>
      <c r="G555" s="103" t="s">
        <v>1121</v>
      </c>
      <c r="H555" s="103" t="s">
        <v>1122</v>
      </c>
      <c r="I555" s="103" t="s">
        <v>1123</v>
      </c>
      <c r="J555" s="103">
        <v>1</v>
      </c>
      <c r="K555" s="157">
        <v>1.95</v>
      </c>
      <c r="L555" s="106" t="s">
        <v>1911</v>
      </c>
      <c r="M555" s="103"/>
      <c r="N555" s="157">
        <f>MouserListTable1218[[#This Row],['# Initial]]*MouserListTable1218[[#This Row],[Price (USD)]]</f>
        <v>9.75</v>
      </c>
      <c r="O555" s="106" t="s">
        <v>1120</v>
      </c>
      <c r="P555" s="103">
        <f t="shared" si="12"/>
        <v>536</v>
      </c>
      <c r="Q555" s="103" t="s">
        <v>8</v>
      </c>
      <c r="R55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474-COM-13253</v>
      </c>
      <c r="S555" s="121">
        <v>1</v>
      </c>
      <c r="T555" s="121">
        <v>0</v>
      </c>
      <c r="U555" s="121">
        <v>0</v>
      </c>
      <c r="V555" s="121">
        <f>MouserListTable1218[[#This Row],['#/Unit]]*FilterSpecs!$C$3+MouserListTable1218[[#This Row],[Extra]]</f>
        <v>5</v>
      </c>
      <c r="W555" s="121">
        <f>IF(MouserListTable1218[[#This Row],[Tag]]=FilterSpecs!$F$7,MouserListTable1218[[#This Row],[Price (USD)]],0)</f>
        <v>1.95</v>
      </c>
      <c r="X555" s="121">
        <f>MouserListTable1218[[#This Row],[Tot '#]]*MouserListTable1218[[#This Row],[Price (USD)]]</f>
        <v>9.75</v>
      </c>
    </row>
    <row r="556" spans="1:24" s="146" customFormat="1" x14ac:dyDescent="0.3">
      <c r="A556" s="103" t="s">
        <v>897</v>
      </c>
      <c r="B556" s="103" t="s">
        <v>2033</v>
      </c>
      <c r="C556" s="103" t="s">
        <v>8</v>
      </c>
      <c r="D556" s="106" t="str">
        <f>IF(MouserListTable1218[[#This Row],[Vendor]]=FilterSpecs!$A$8,MouserListTable1218[[#This Row],[Mouser SKU]], MouserListTable1218[[#This Row],[Supplier SKU]])</f>
        <v>BOB-13098</v>
      </c>
      <c r="E556" s="121">
        <f>MouserListTable1218[[#This Row],[Tot '#]]-MouserListTable1218[[#This Row],['# Initial]]</f>
        <v>0</v>
      </c>
      <c r="F556" s="121">
        <f>MouserListTable1218[[#This Row],['#/Unit]]*FilterSpecs!$B$3+MouserListTable1218[[#This Row],[Extra Initial]]</f>
        <v>5</v>
      </c>
      <c r="G556" s="103" t="s">
        <v>1117</v>
      </c>
      <c r="H556" s="103" t="s">
        <v>1118</v>
      </c>
      <c r="I556" s="103" t="s">
        <v>1119</v>
      </c>
      <c r="J556" s="103">
        <v>1</v>
      </c>
      <c r="K556" s="157">
        <v>1.95</v>
      </c>
      <c r="L556" s="106" t="s">
        <v>1911</v>
      </c>
      <c r="M556" s="103"/>
      <c r="N556" s="157">
        <f>MouserListTable1218[[#This Row],['# Initial]]*MouserListTable1218[[#This Row],[Price (USD)]]</f>
        <v>9.75</v>
      </c>
      <c r="O556" s="106" t="s">
        <v>1116</v>
      </c>
      <c r="P556" s="103">
        <f t="shared" si="12"/>
        <v>537</v>
      </c>
      <c r="Q556" s="103" t="s">
        <v>8</v>
      </c>
      <c r="R55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474-BOB-13098</v>
      </c>
      <c r="S556" s="121">
        <v>1</v>
      </c>
      <c r="T556" s="121">
        <v>0</v>
      </c>
      <c r="U556" s="121">
        <v>0</v>
      </c>
      <c r="V556" s="121">
        <f>MouserListTable1218[[#This Row],['#/Unit]]*FilterSpecs!$C$3+MouserListTable1218[[#This Row],[Extra]]</f>
        <v>5</v>
      </c>
      <c r="W556" s="121">
        <f>IF(MouserListTable1218[[#This Row],[Tag]]=FilterSpecs!$F$7,MouserListTable1218[[#This Row],[Price (USD)]],0)</f>
        <v>1.95</v>
      </c>
      <c r="X556" s="121">
        <f>MouserListTable1218[[#This Row],[Tot '#]]*MouserListTable1218[[#This Row],[Price (USD)]]</f>
        <v>9.75</v>
      </c>
    </row>
    <row r="557" spans="1:24" s="146" customFormat="1" x14ac:dyDescent="0.3">
      <c r="A557" s="103" t="s">
        <v>897</v>
      </c>
      <c r="B557" s="103" t="s">
        <v>2033</v>
      </c>
      <c r="C557" s="103" t="s">
        <v>8</v>
      </c>
      <c r="D557" s="106" t="str">
        <f>IF(MouserListTable1218[[#This Row],[Vendor]]=FilterSpecs!$A$8,MouserListTable1218[[#This Row],[Mouser SKU]], MouserListTable1218[[#This Row],[Supplier SKU]])</f>
        <v>BOB-13099</v>
      </c>
      <c r="E557" s="121">
        <f>MouserListTable1218[[#This Row],[Tot '#]]-MouserListTable1218[[#This Row],['# Initial]]</f>
        <v>0</v>
      </c>
      <c r="F557" s="121">
        <f>MouserListTable1218[[#This Row],['#/Unit]]*FilterSpecs!$B$3+MouserListTable1218[[#This Row],[Extra Initial]]</f>
        <v>5</v>
      </c>
      <c r="G557" s="103" t="s">
        <v>1125</v>
      </c>
      <c r="H557" s="103" t="s">
        <v>1126</v>
      </c>
      <c r="I557" s="103" t="s">
        <v>1127</v>
      </c>
      <c r="J557" s="103">
        <v>1</v>
      </c>
      <c r="K557" s="157">
        <v>1.95</v>
      </c>
      <c r="L557" s="106" t="s">
        <v>1911</v>
      </c>
      <c r="M557" s="103"/>
      <c r="N557" s="157">
        <f>MouserListTable1218[[#This Row],['# Initial]]*MouserListTable1218[[#This Row],[Price (USD)]]</f>
        <v>9.75</v>
      </c>
      <c r="O557" s="106" t="s">
        <v>1124</v>
      </c>
      <c r="P557" s="103">
        <f t="shared" si="12"/>
        <v>538</v>
      </c>
      <c r="Q557" s="103" t="s">
        <v>8</v>
      </c>
      <c r="R55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474-BOB-13099</v>
      </c>
      <c r="S557" s="121">
        <v>1</v>
      </c>
      <c r="T557" s="121">
        <v>0</v>
      </c>
      <c r="U557" s="121">
        <v>0</v>
      </c>
      <c r="V557" s="121">
        <f>MouserListTable1218[[#This Row],['#/Unit]]*FilterSpecs!$C$3+MouserListTable1218[[#This Row],[Extra]]</f>
        <v>5</v>
      </c>
      <c r="W557" s="121">
        <f>IF(MouserListTable1218[[#This Row],[Tag]]=FilterSpecs!$F$7,MouserListTable1218[[#This Row],[Price (USD)]],0)</f>
        <v>1.95</v>
      </c>
      <c r="X557" s="121">
        <f>MouserListTable1218[[#This Row],[Tot '#]]*MouserListTable1218[[#This Row],[Price (USD)]]</f>
        <v>9.75</v>
      </c>
    </row>
    <row r="558" spans="1:24" s="146" customFormat="1" x14ac:dyDescent="0.3">
      <c r="A558" s="103" t="s">
        <v>897</v>
      </c>
      <c r="B558" s="103" t="s">
        <v>2033</v>
      </c>
      <c r="C558" s="103" t="s">
        <v>1898</v>
      </c>
      <c r="D558" s="106" t="str">
        <f>IF(MouserListTable1218[[#This Row],[Vendor]]=FilterSpecs!$A$8,MouserListTable1218[[#This Row],[Mouser SKU]], MouserListTable1218[[#This Row],[Supplier SKU]])</f>
        <v>2925</v>
      </c>
      <c r="E558" s="121">
        <f>MouserListTable1218[[#This Row],[Tot '#]]-MouserListTable1218[[#This Row],['# Initial]]</f>
        <v>0</v>
      </c>
      <c r="F558" s="121">
        <f>MouserListTable1218[[#This Row],['#/Unit]]*FilterSpecs!$B$3+MouserListTable1218[[#This Row],[Extra Initial]]</f>
        <v>0</v>
      </c>
      <c r="G558" s="103"/>
      <c r="H558" s="103"/>
      <c r="I558" s="126" t="s">
        <v>2238</v>
      </c>
      <c r="K558" s="158">
        <v>1.95</v>
      </c>
      <c r="L558" s="126" t="s">
        <v>1910</v>
      </c>
      <c r="N558" s="157">
        <f>MouserListTable1218[[#This Row],['# Initial]]*MouserListTable1218[[#This Row],[Price (USD)]]</f>
        <v>0</v>
      </c>
      <c r="O558" s="106" t="s">
        <v>2237</v>
      </c>
      <c r="P558" s="103">
        <f t="shared" si="12"/>
        <v>539</v>
      </c>
      <c r="Q558" s="103" t="s">
        <v>1898</v>
      </c>
      <c r="R55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485-2925</v>
      </c>
      <c r="S558" s="121">
        <v>0</v>
      </c>
      <c r="T558" s="121">
        <v>0</v>
      </c>
      <c r="U558" s="121">
        <v>0</v>
      </c>
      <c r="V558" s="121">
        <f>MouserListTable1218[[#This Row],['#/Unit]]*FilterSpecs!$C$3+MouserListTable1218[[#This Row],[Extra]]</f>
        <v>0</v>
      </c>
      <c r="W558" s="121">
        <f>IF(MouserListTable1218[[#This Row],[Tag]]=FilterSpecs!$F$7,MouserListTable1218[[#This Row],[Price (USD)]],0)</f>
        <v>0</v>
      </c>
      <c r="X558" s="121">
        <f>MouserListTable1218[[#This Row],[Tot '#]]*MouserListTable1218[[#This Row],[Price (USD)]]</f>
        <v>0</v>
      </c>
    </row>
    <row r="559" spans="1:24" s="146" customFormat="1" x14ac:dyDescent="0.3">
      <c r="A559" s="126" t="s">
        <v>897</v>
      </c>
      <c r="B559" s="126" t="s">
        <v>1612</v>
      </c>
      <c r="C559" s="126" t="s">
        <v>8</v>
      </c>
      <c r="D559" s="106" t="str">
        <f>IF(MouserListTable1218[[#This Row],[Vendor]]=FilterSpecs!$A$8,MouserListTable1218[[#This Row],[Mouser SKU]], MouserListTable1218[[#This Row],[Supplier SKU]])</f>
        <v>PRT-11367</v>
      </c>
      <c r="E559" s="121">
        <f>MouserListTable1218[[#This Row],[Tot '#]]-MouserListTable1218[[#This Row],['# Initial]]</f>
        <v>0</v>
      </c>
      <c r="F559" s="121">
        <f>MouserListTable1218[[#This Row],['#/Unit]]*FilterSpecs!$B$3+MouserListTable1218[[#This Row],[Extra Initial]]</f>
        <v>0</v>
      </c>
      <c r="G559" s="103" t="s">
        <v>1664</v>
      </c>
      <c r="H559" s="103" t="s">
        <v>1665</v>
      </c>
      <c r="I559" s="103" t="s">
        <v>1666</v>
      </c>
      <c r="J559" s="103">
        <v>1</v>
      </c>
      <c r="K559" s="157">
        <v>16.95</v>
      </c>
      <c r="L559" s="103" t="s">
        <v>1910</v>
      </c>
      <c r="M559" s="103"/>
      <c r="N559" s="157">
        <f>MouserListTable1218[[#This Row],['# Initial]]*MouserListTable1218[[#This Row],[Price (USD)]]</f>
        <v>0</v>
      </c>
      <c r="O559" s="106" t="s">
        <v>1663</v>
      </c>
      <c r="P559" s="103">
        <f t="shared" si="12"/>
        <v>540</v>
      </c>
      <c r="Q559" s="103" t="s">
        <v>8</v>
      </c>
      <c r="R55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474-PRT-11367</v>
      </c>
      <c r="S559" s="121">
        <v>0</v>
      </c>
      <c r="T559" s="121">
        <v>0</v>
      </c>
      <c r="U559" s="121">
        <v>0</v>
      </c>
      <c r="V559" s="121">
        <f>MouserListTable1218[[#This Row],['#/Unit]]*FilterSpecs!$C$3+MouserListTable1218[[#This Row],[Extra]]</f>
        <v>0</v>
      </c>
      <c r="W559" s="121">
        <f>IF(MouserListTable1218[[#This Row],[Tag]]=FilterSpecs!$F$7,MouserListTable1218[[#This Row],[Price (USD)]],0)</f>
        <v>0</v>
      </c>
      <c r="X559" s="121">
        <f>MouserListTable1218[[#This Row],[Tot '#]]*MouserListTable1218[[#This Row],[Price (USD)]]</f>
        <v>0</v>
      </c>
    </row>
    <row r="560" spans="1:24" s="146" customFormat="1" x14ac:dyDescent="0.3">
      <c r="A560" s="103" t="s">
        <v>897</v>
      </c>
      <c r="B560" s="103" t="s">
        <v>1612</v>
      </c>
      <c r="C560" s="103" t="s">
        <v>1898</v>
      </c>
      <c r="D560" s="106" t="str">
        <f>IF(MouserListTable1218[[#This Row],[Vendor]]=FilterSpecs!$A$8,MouserListTable1218[[#This Row],[Mouser SKU]], MouserListTable1218[[#This Row],[Supplier SKU]])</f>
        <v>3174</v>
      </c>
      <c r="E560" s="121">
        <f>MouserListTable1218[[#This Row],[Tot '#]]-MouserListTable1218[[#This Row],['# Initial]]</f>
        <v>0</v>
      </c>
      <c r="F560" s="121">
        <f>MouserListTable1218[[#This Row],['#/Unit]]*FilterSpecs!$B$3+MouserListTable1218[[#This Row],[Extra Initial]]</f>
        <v>1</v>
      </c>
      <c r="H560" s="106"/>
      <c r="I560" s="103" t="s">
        <v>2466</v>
      </c>
      <c r="J560" s="153">
        <v>109</v>
      </c>
      <c r="K560" s="157">
        <v>27.5</v>
      </c>
      <c r="L560" s="103" t="s">
        <v>1910</v>
      </c>
      <c r="M560" s="106"/>
      <c r="N560" s="157">
        <f>MouserListTable1218[[#This Row],['# Initial]]*MouserListTable1218[[#This Row],[Price (USD)]]</f>
        <v>27.5</v>
      </c>
      <c r="O560" s="106" t="s">
        <v>2467</v>
      </c>
      <c r="P560" s="103">
        <f t="shared" si="12"/>
        <v>541</v>
      </c>
      <c r="Q560" s="103" t="s">
        <v>1898</v>
      </c>
      <c r="R56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485-3174</v>
      </c>
      <c r="S560" s="121">
        <v>0</v>
      </c>
      <c r="T560" s="121">
        <v>1</v>
      </c>
      <c r="U560" s="121">
        <v>1</v>
      </c>
      <c r="V560" s="121">
        <f>MouserListTable1218[[#This Row],['#/Unit]]*FilterSpecs!$C$3+MouserListTable1218[[#This Row],[Extra]]</f>
        <v>1</v>
      </c>
      <c r="W560" s="121">
        <f>IF(MouserListTable1218[[#This Row],[Tag]]=FilterSpecs!$F$7,MouserListTable1218[[#This Row],[Price (USD)]],0)</f>
        <v>0</v>
      </c>
      <c r="X560" s="121">
        <f>MouserListTable1218[[#This Row],[Tot '#]]*MouserListTable1218[[#This Row],[Price (USD)]]</f>
        <v>27.5</v>
      </c>
    </row>
    <row r="561" spans="1:24" s="146" customFormat="1" x14ac:dyDescent="0.3">
      <c r="A561" s="126" t="s">
        <v>897</v>
      </c>
      <c r="B561" s="126" t="s">
        <v>1612</v>
      </c>
      <c r="C561" s="126" t="s">
        <v>8</v>
      </c>
      <c r="D561" s="106" t="str">
        <f>IF(MouserListTable1218[[#This Row],[Vendor]]=FilterSpecs!$A$8,MouserListTable1218[[#This Row],[Mouser SKU]], MouserListTable1218[[#This Row],[Supplier SKU]])</f>
        <v>PRT-08023</v>
      </c>
      <c r="E561" s="121">
        <f>MouserListTable1218[[#This Row],[Tot '#]]-MouserListTable1218[[#This Row],['# Initial]]</f>
        <v>0</v>
      </c>
      <c r="F561" s="121">
        <f>MouserListTable1218[[#This Row],['#/Unit]]*FilterSpecs!$B$3+MouserListTable1218[[#This Row],[Extra Initial]]</f>
        <v>0</v>
      </c>
      <c r="G561" s="103" t="s">
        <v>1402</v>
      </c>
      <c r="H561" s="103" t="s">
        <v>1403</v>
      </c>
      <c r="I561" s="103" t="s">
        <v>1404</v>
      </c>
      <c r="J561" s="103">
        <v>1</v>
      </c>
      <c r="K561" s="157">
        <v>2.5</v>
      </c>
      <c r="L561" s="103" t="s">
        <v>1912</v>
      </c>
      <c r="M561" s="103"/>
      <c r="N561" s="157">
        <f>MouserListTable1218[[#This Row],['# Initial]]*MouserListTable1218[[#This Row],[Price (USD)]]</f>
        <v>0</v>
      </c>
      <c r="O561" s="106" t="s">
        <v>1401</v>
      </c>
      <c r="P561" s="103">
        <f t="shared" si="12"/>
        <v>542</v>
      </c>
      <c r="Q561" s="103" t="s">
        <v>8</v>
      </c>
      <c r="R56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474-PRT-08023</v>
      </c>
      <c r="S561" s="121">
        <v>0</v>
      </c>
      <c r="T561" s="121">
        <v>0</v>
      </c>
      <c r="U561" s="121">
        <v>0</v>
      </c>
      <c r="V561" s="121">
        <f>MouserListTable1218[[#This Row],['#/Unit]]*FilterSpecs!$C$3+MouserListTable1218[[#This Row],[Extra]]</f>
        <v>0</v>
      </c>
      <c r="W561" s="121">
        <f>IF(MouserListTable1218[[#This Row],[Tag]]=FilterSpecs!$F$7,MouserListTable1218[[#This Row],[Price (USD)]],0)</f>
        <v>0</v>
      </c>
      <c r="X561" s="121">
        <f>MouserListTable1218[[#This Row],[Tot '#]]*MouserListTable1218[[#This Row],[Price (USD)]]</f>
        <v>0</v>
      </c>
    </row>
    <row r="562" spans="1:24" s="146" customFormat="1" x14ac:dyDescent="0.3">
      <c r="A562" s="126" t="s">
        <v>897</v>
      </c>
      <c r="B562" s="126" t="s">
        <v>1612</v>
      </c>
      <c r="C562" s="126" t="s">
        <v>8</v>
      </c>
      <c r="D562" s="106" t="str">
        <f>IF(MouserListTable1218[[#This Row],[Vendor]]=FilterSpecs!$A$8,MouserListTable1218[[#This Row],[Mouser SKU]], MouserListTable1218[[#This Row],[Supplier SKU]])</f>
        <v>PRT-08024</v>
      </c>
      <c r="E562" s="121">
        <f>MouserListTable1218[[#This Row],[Tot '#]]-MouserListTable1218[[#This Row],['# Initial]]</f>
        <v>0</v>
      </c>
      <c r="F562" s="121">
        <f>MouserListTable1218[[#This Row],['#/Unit]]*FilterSpecs!$B$3+MouserListTable1218[[#This Row],[Extra Initial]]</f>
        <v>0</v>
      </c>
      <c r="G562" s="103" t="s">
        <v>1394</v>
      </c>
      <c r="H562" s="103" t="s">
        <v>1395</v>
      </c>
      <c r="I562" s="103" t="s">
        <v>1396</v>
      </c>
      <c r="J562" s="103">
        <v>1</v>
      </c>
      <c r="K562" s="157">
        <v>2.5</v>
      </c>
      <c r="L562" s="103" t="s">
        <v>1912</v>
      </c>
      <c r="M562" s="103"/>
      <c r="N562" s="157">
        <f>MouserListTable1218[[#This Row],['# Initial]]*MouserListTable1218[[#This Row],[Price (USD)]]</f>
        <v>0</v>
      </c>
      <c r="O562" s="106" t="s">
        <v>1393</v>
      </c>
      <c r="P562" s="103">
        <f t="shared" si="12"/>
        <v>543</v>
      </c>
      <c r="Q562" s="103" t="s">
        <v>8</v>
      </c>
      <c r="R56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474-PRT-08024</v>
      </c>
      <c r="S562" s="121">
        <v>0</v>
      </c>
      <c r="T562" s="121">
        <v>0</v>
      </c>
      <c r="U562" s="121">
        <v>0</v>
      </c>
      <c r="V562" s="121">
        <f>MouserListTable1218[[#This Row],['#/Unit]]*FilterSpecs!$C$3+MouserListTable1218[[#This Row],[Extra]]</f>
        <v>0</v>
      </c>
      <c r="W562" s="121">
        <f>IF(MouserListTable1218[[#This Row],[Tag]]=FilterSpecs!$F$7,MouserListTable1218[[#This Row],[Price (USD)]],0)</f>
        <v>0</v>
      </c>
      <c r="X562" s="121">
        <f>MouserListTable1218[[#This Row],[Tot '#]]*MouserListTable1218[[#This Row],[Price (USD)]]</f>
        <v>0</v>
      </c>
    </row>
    <row r="563" spans="1:24" s="146" customFormat="1" x14ac:dyDescent="0.3">
      <c r="A563" s="126" t="s">
        <v>897</v>
      </c>
      <c r="B563" s="126" t="s">
        <v>1612</v>
      </c>
      <c r="C563" s="126" t="s">
        <v>8</v>
      </c>
      <c r="D563" s="106" t="str">
        <f>IF(MouserListTable1218[[#This Row],[Vendor]]=FilterSpecs!$A$8,MouserListTable1218[[#This Row],[Mouser SKU]], MouserListTable1218[[#This Row],[Supplier SKU]])</f>
        <v>PRT-08022</v>
      </c>
      <c r="E563" s="121">
        <f>MouserListTable1218[[#This Row],[Tot '#]]-MouserListTable1218[[#This Row],['# Initial]]</f>
        <v>0</v>
      </c>
      <c r="F563" s="121">
        <f>MouserListTable1218[[#This Row],['#/Unit]]*FilterSpecs!$B$3+MouserListTable1218[[#This Row],[Extra Initial]]</f>
        <v>0</v>
      </c>
      <c r="G563" s="103" t="s">
        <v>1398</v>
      </c>
      <c r="H563" s="103" t="s">
        <v>1399</v>
      </c>
      <c r="I563" s="103" t="s">
        <v>1400</v>
      </c>
      <c r="J563" s="103">
        <v>1</v>
      </c>
      <c r="K563" s="157">
        <v>2.5</v>
      </c>
      <c r="L563" s="103" t="s">
        <v>1912</v>
      </c>
      <c r="M563" s="103"/>
      <c r="N563" s="157">
        <f>MouserListTable1218[[#This Row],['# Initial]]*MouserListTable1218[[#This Row],[Price (USD)]]</f>
        <v>0</v>
      </c>
      <c r="O563" s="106" t="s">
        <v>1397</v>
      </c>
      <c r="P563" s="103">
        <f t="shared" si="12"/>
        <v>544</v>
      </c>
      <c r="Q563" s="103" t="s">
        <v>8</v>
      </c>
      <c r="R56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474-PRT-08022</v>
      </c>
      <c r="S563" s="121">
        <v>0</v>
      </c>
      <c r="T563" s="121">
        <v>0</v>
      </c>
      <c r="U563" s="121">
        <v>0</v>
      </c>
      <c r="V563" s="121">
        <f>MouserListTable1218[[#This Row],['#/Unit]]*FilterSpecs!$C$3+MouserListTable1218[[#This Row],[Extra]]</f>
        <v>0</v>
      </c>
      <c r="W563" s="121">
        <f>IF(MouserListTable1218[[#This Row],[Tag]]=FilterSpecs!$F$7,MouserListTable1218[[#This Row],[Price (USD)]],0)</f>
        <v>0</v>
      </c>
      <c r="X563" s="121">
        <f>MouserListTable1218[[#This Row],[Tot '#]]*MouserListTable1218[[#This Row],[Price (USD)]]</f>
        <v>0</v>
      </c>
    </row>
    <row r="564" spans="1:24" s="146" customFormat="1" x14ac:dyDescent="0.3">
      <c r="A564" s="126" t="s">
        <v>897</v>
      </c>
      <c r="B564" s="126" t="s">
        <v>1612</v>
      </c>
      <c r="C564" s="126" t="s">
        <v>8</v>
      </c>
      <c r="D564" s="106" t="str">
        <f>IF(MouserListTable1218[[#This Row],[Vendor]]=FilterSpecs!$A$8,MouserListTable1218[[#This Row],[Mouser SKU]], MouserListTable1218[[#This Row],[Supplier SKU]])</f>
        <v>PRT-08025</v>
      </c>
      <c r="E564" s="121">
        <f>MouserListTable1218[[#This Row],[Tot '#]]-MouserListTable1218[[#This Row],['# Initial]]</f>
        <v>0</v>
      </c>
      <c r="F564" s="121">
        <f>MouserListTable1218[[#This Row],['#/Unit]]*FilterSpecs!$B$3+MouserListTable1218[[#This Row],[Extra Initial]]</f>
        <v>0</v>
      </c>
      <c r="G564" s="103" t="s">
        <v>1656</v>
      </c>
      <c r="H564" s="103" t="s">
        <v>1657</v>
      </c>
      <c r="I564" s="103" t="s">
        <v>1658</v>
      </c>
      <c r="J564" s="103"/>
      <c r="K564" s="157">
        <v>2.95</v>
      </c>
      <c r="L564" s="103" t="s">
        <v>1913</v>
      </c>
      <c r="M564" s="103"/>
      <c r="N564" s="157">
        <f>MouserListTable1218[[#This Row],['# Initial]]*MouserListTable1218[[#This Row],[Price (USD)]]</f>
        <v>0</v>
      </c>
      <c r="O564" s="106" t="s">
        <v>1655</v>
      </c>
      <c r="P564" s="103">
        <f t="shared" si="12"/>
        <v>545</v>
      </c>
      <c r="Q564" s="103" t="s">
        <v>8</v>
      </c>
      <c r="R56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474-PRT-08025</v>
      </c>
      <c r="S564" s="121">
        <v>0</v>
      </c>
      <c r="T564" s="121">
        <v>0</v>
      </c>
      <c r="U564" s="121">
        <v>0</v>
      </c>
      <c r="V564" s="121">
        <f>MouserListTable1218[[#This Row],['#/Unit]]*FilterSpecs!$C$3+MouserListTable1218[[#This Row],[Extra]]</f>
        <v>0</v>
      </c>
      <c r="W564" s="121">
        <f>IF(MouserListTable1218[[#This Row],[Tag]]=FilterSpecs!$F$7,MouserListTable1218[[#This Row],[Price (USD)]],0)</f>
        <v>0</v>
      </c>
      <c r="X564" s="121">
        <f>MouserListTable1218[[#This Row],[Tot '#]]*MouserListTable1218[[#This Row],[Price (USD)]]</f>
        <v>0</v>
      </c>
    </row>
    <row r="565" spans="1:24" s="146" customFormat="1" x14ac:dyDescent="0.3">
      <c r="A565" s="126" t="s">
        <v>897</v>
      </c>
      <c r="B565" s="126" t="s">
        <v>1612</v>
      </c>
      <c r="C565" s="126" t="s">
        <v>8</v>
      </c>
      <c r="D565" s="106" t="str">
        <f>IF(MouserListTable1218[[#This Row],[Vendor]]=FilterSpecs!$A$8,MouserListTable1218[[#This Row],[Mouser SKU]], MouserListTable1218[[#This Row],[Supplier SKU]])</f>
        <v>PRT-08026</v>
      </c>
      <c r="E565" s="121">
        <f>MouserListTable1218[[#This Row],[Tot '#]]-MouserListTable1218[[#This Row],['# Initial]]</f>
        <v>0</v>
      </c>
      <c r="F565" s="121">
        <f>MouserListTable1218[[#This Row],['#/Unit]]*FilterSpecs!$B$3+MouserListTable1218[[#This Row],[Extra Initial]]</f>
        <v>0</v>
      </c>
      <c r="G565" s="103" t="s">
        <v>1390</v>
      </c>
      <c r="H565" s="103" t="s">
        <v>1391</v>
      </c>
      <c r="I565" s="103" t="s">
        <v>1392</v>
      </c>
      <c r="J565" s="103">
        <v>1</v>
      </c>
      <c r="K565" s="157">
        <v>2.5</v>
      </c>
      <c r="L565" s="103" t="s">
        <v>1913</v>
      </c>
      <c r="M565" s="103"/>
      <c r="N565" s="157">
        <f>MouserListTable1218[[#This Row],['# Initial]]*MouserListTable1218[[#This Row],[Price (USD)]]</f>
        <v>0</v>
      </c>
      <c r="O565" s="106" t="s">
        <v>1389</v>
      </c>
      <c r="P565" s="103">
        <f t="shared" si="12"/>
        <v>546</v>
      </c>
      <c r="Q565" s="103" t="s">
        <v>8</v>
      </c>
      <c r="R56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474-PRT-08026</v>
      </c>
      <c r="S565" s="121">
        <v>0</v>
      </c>
      <c r="T565" s="121">
        <v>0</v>
      </c>
      <c r="U565" s="121">
        <v>0</v>
      </c>
      <c r="V565" s="121">
        <f>MouserListTable1218[[#This Row],['#/Unit]]*FilterSpecs!$C$3+MouserListTable1218[[#This Row],[Extra]]</f>
        <v>0</v>
      </c>
      <c r="W565" s="121">
        <f>IF(MouserListTable1218[[#This Row],[Tag]]=FilterSpecs!$F$7,MouserListTable1218[[#This Row],[Price (USD)]],0)</f>
        <v>0</v>
      </c>
      <c r="X565" s="121">
        <f>MouserListTable1218[[#This Row],[Tot '#]]*MouserListTable1218[[#This Row],[Price (USD)]]</f>
        <v>0</v>
      </c>
    </row>
    <row r="566" spans="1:24" s="146" customFormat="1" x14ac:dyDescent="0.3">
      <c r="A566" s="126" t="s">
        <v>897</v>
      </c>
      <c r="B566" s="126" t="s">
        <v>1612</v>
      </c>
      <c r="C566" s="126" t="s">
        <v>8</v>
      </c>
      <c r="D566" s="106" t="str">
        <f>IF(MouserListTable1218[[#This Row],[Vendor]]=FilterSpecs!$A$8,MouserListTable1218[[#This Row],[Mouser SKU]], MouserListTable1218[[#This Row],[Supplier SKU]])</f>
        <v>PRT-08027</v>
      </c>
      <c r="E566" s="121">
        <f>MouserListTable1218[[#This Row],[Tot '#]]-MouserListTable1218[[#This Row],['# Initial]]</f>
        <v>0</v>
      </c>
      <c r="F566" s="121">
        <f>MouserListTable1218[[#This Row],['#/Unit]]*FilterSpecs!$B$3+MouserListTable1218[[#This Row],[Extra Initial]]</f>
        <v>0</v>
      </c>
      <c r="G566" s="103" t="s">
        <v>1660</v>
      </c>
      <c r="H566" s="103" t="s">
        <v>1661</v>
      </c>
      <c r="I566" s="103" t="s">
        <v>1662</v>
      </c>
      <c r="J566" s="103"/>
      <c r="K566" s="157">
        <v>2.95</v>
      </c>
      <c r="L566" s="103" t="s">
        <v>1910</v>
      </c>
      <c r="M566" s="103"/>
      <c r="N566" s="157">
        <f>MouserListTable1218[[#This Row],['# Initial]]*MouserListTable1218[[#This Row],[Price (USD)]]</f>
        <v>0</v>
      </c>
      <c r="O566" s="106" t="s">
        <v>1659</v>
      </c>
      <c r="P566" s="103">
        <f t="shared" si="12"/>
        <v>547</v>
      </c>
      <c r="Q566" s="103" t="s">
        <v>8</v>
      </c>
      <c r="R56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474-PRT-08027</v>
      </c>
      <c r="S566" s="121">
        <v>0</v>
      </c>
      <c r="T566" s="121">
        <v>0</v>
      </c>
      <c r="U566" s="121">
        <v>0</v>
      </c>
      <c r="V566" s="121">
        <f>MouserListTable1218[[#This Row],['#/Unit]]*FilterSpecs!$C$3+MouserListTable1218[[#This Row],[Extra]]</f>
        <v>0</v>
      </c>
      <c r="W566" s="121">
        <f>IF(MouserListTable1218[[#This Row],[Tag]]=FilterSpecs!$F$7,MouserListTable1218[[#This Row],[Price (USD)]],0)</f>
        <v>0</v>
      </c>
      <c r="X566" s="121">
        <f>MouserListTable1218[[#This Row],[Tot '#]]*MouserListTable1218[[#This Row],[Price (USD)]]</f>
        <v>0</v>
      </c>
    </row>
    <row r="567" spans="1:24" s="146" customFormat="1" x14ac:dyDescent="0.3">
      <c r="A567" s="103" t="s">
        <v>897</v>
      </c>
      <c r="B567" s="103" t="s">
        <v>1612</v>
      </c>
      <c r="C567" s="103" t="s">
        <v>8</v>
      </c>
      <c r="D567" s="106" t="str">
        <f>IF(MouserListTable1218[[#This Row],[Vendor]]=FilterSpecs!$A$8,MouserListTable1218[[#This Row],[Mouser SKU]], MouserListTable1218[[#This Row],[Supplier SKU]])</f>
        <v>PRT-00124</v>
      </c>
      <c r="E567" s="121">
        <f>MouserListTable1218[[#This Row],[Tot '#]]-MouserListTable1218[[#This Row],['# Initial]]</f>
        <v>0</v>
      </c>
      <c r="F567" s="121">
        <f>MouserListTable1218[[#This Row],['#/Unit]]*FilterSpecs!$B$3+MouserListTable1218[[#This Row],[Extra Initial]]</f>
        <v>2</v>
      </c>
      <c r="G567" s="103" t="s">
        <v>418</v>
      </c>
      <c r="H567" s="103" t="s">
        <v>419</v>
      </c>
      <c r="I567" s="103" t="s">
        <v>420</v>
      </c>
      <c r="J567" s="103">
        <v>1</v>
      </c>
      <c r="K567" s="157">
        <v>6.95</v>
      </c>
      <c r="L567" s="103" t="s">
        <v>1910</v>
      </c>
      <c r="M567" s="103"/>
      <c r="N567" s="157">
        <f>MouserListTable1218[[#This Row],['# Initial]]*MouserListTable1218[[#This Row],[Price (USD)]]</f>
        <v>13.9</v>
      </c>
      <c r="O567" s="106" t="s">
        <v>417</v>
      </c>
      <c r="P567" s="103">
        <f t="shared" si="12"/>
        <v>548</v>
      </c>
      <c r="Q567" s="103" t="s">
        <v>8</v>
      </c>
      <c r="R56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474-PRT-00124</v>
      </c>
      <c r="S567" s="121">
        <v>0</v>
      </c>
      <c r="T567" s="121">
        <v>2</v>
      </c>
      <c r="U567" s="121">
        <v>2</v>
      </c>
      <c r="V567" s="121">
        <f>MouserListTable1218[[#This Row],['#/Unit]]*FilterSpecs!$C$3+MouserListTable1218[[#This Row],[Extra]]</f>
        <v>2</v>
      </c>
      <c r="W567" s="121">
        <f>IF(MouserListTable1218[[#This Row],[Tag]]=FilterSpecs!$F$7,MouserListTable1218[[#This Row],[Price (USD)]],0)</f>
        <v>0</v>
      </c>
      <c r="X567" s="121">
        <f>MouserListTable1218[[#This Row],[Tot '#]]*MouserListTable1218[[#This Row],[Price (USD)]]</f>
        <v>13.9</v>
      </c>
    </row>
    <row r="568" spans="1:24" s="146" customFormat="1" x14ac:dyDescent="0.3">
      <c r="A568" s="128" t="s">
        <v>897</v>
      </c>
      <c r="B568" s="128" t="s">
        <v>1612</v>
      </c>
      <c r="C568" s="128" t="s">
        <v>1898</v>
      </c>
      <c r="D568" s="106" t="str">
        <f>IF(MouserListTable1218[[#This Row],[Vendor]]=FilterSpecs!$A$8,MouserListTable1218[[#This Row],[Mouser SKU]], MouserListTable1218[[#This Row],[Supplier SKU]])</f>
        <v>3314</v>
      </c>
      <c r="E568" s="121">
        <f>MouserListTable1218[[#This Row],[Tot '#]]-MouserListTable1218[[#This Row],['# Initial]]</f>
        <v>0</v>
      </c>
      <c r="F568" s="121">
        <f>MouserListTable1218[[#This Row],['#/Unit]]*FilterSpecs!$B$3+MouserListTable1218[[#This Row],[Extra Initial]]</f>
        <v>0</v>
      </c>
      <c r="I568" s="128" t="s">
        <v>2468</v>
      </c>
      <c r="J568" s="153">
        <v>110</v>
      </c>
      <c r="K568" s="159">
        <v>7.95</v>
      </c>
      <c r="L568" s="126" t="s">
        <v>1910</v>
      </c>
      <c r="N568" s="157">
        <f>MouserListTable1218[[#This Row],['# Initial]]*MouserListTable1218[[#This Row],[Price (USD)]]</f>
        <v>0</v>
      </c>
      <c r="O568" s="153" t="s">
        <v>2469</v>
      </c>
      <c r="P568" s="103">
        <f t="shared" si="12"/>
        <v>549</v>
      </c>
      <c r="Q568" s="103" t="s">
        <v>1898</v>
      </c>
      <c r="R56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485-3314</v>
      </c>
      <c r="S568" s="121">
        <v>0</v>
      </c>
      <c r="T568" s="121">
        <v>0</v>
      </c>
      <c r="U568" s="121">
        <v>0</v>
      </c>
      <c r="V568" s="121">
        <f>MouserListTable1218[[#This Row],['#/Unit]]*FilterSpecs!$C$3+MouserListTable1218[[#This Row],[Extra]]</f>
        <v>0</v>
      </c>
      <c r="W568" s="121">
        <f>IF(MouserListTable1218[[#This Row],[Tag]]=FilterSpecs!$F$7,MouserListTable1218[[#This Row],[Price (USD)]],0)</f>
        <v>0</v>
      </c>
      <c r="X568" s="121">
        <f>MouserListTable1218[[#This Row],[Tot '#]]*MouserListTable1218[[#This Row],[Price (USD)]]</f>
        <v>0</v>
      </c>
    </row>
    <row r="569" spans="1:24" s="146" customFormat="1" x14ac:dyDescent="0.3">
      <c r="A569" s="103" t="s">
        <v>17</v>
      </c>
      <c r="B569" s="103" t="s">
        <v>1614</v>
      </c>
      <c r="C569" s="103" t="s">
        <v>8</v>
      </c>
      <c r="D569" s="106" t="str">
        <f>IF(MouserListTable1218[[#This Row],[Vendor]]=FilterSpecs!$A$8,MouserListTable1218[[#This Row],[Mouser SKU]], MouserListTable1218[[#This Row],[Supplier SKU]])</f>
        <v>TOL-13086</v>
      </c>
      <c r="E569" s="121">
        <f>MouserListTable1218[[#This Row],[Tot '#]]-MouserListTable1218[[#This Row],['# Initial]]</f>
        <v>0</v>
      </c>
      <c r="F569" s="121">
        <f>MouserListTable1218[[#This Row],['#/Unit]]*FilterSpecs!$B$3+MouserListTable1218[[#This Row],[Extra Initial]]</f>
        <v>0</v>
      </c>
      <c r="G569" s="103" t="s">
        <v>1198</v>
      </c>
      <c r="H569" s="103" t="s">
        <v>1199</v>
      </c>
      <c r="I569" s="103" t="s">
        <v>1200</v>
      </c>
      <c r="J569" s="103">
        <v>1</v>
      </c>
      <c r="K569" s="157">
        <v>34.950000000000003</v>
      </c>
      <c r="L569" s="103" t="s">
        <v>1914</v>
      </c>
      <c r="M569" s="106"/>
      <c r="N569" s="157">
        <f>MouserListTable1218[[#This Row],['# Initial]]*MouserListTable1218[[#This Row],[Price (USD)]]</f>
        <v>0</v>
      </c>
      <c r="O569" s="106" t="s">
        <v>1197</v>
      </c>
      <c r="P569" s="103">
        <f t="shared" si="12"/>
        <v>550</v>
      </c>
      <c r="Q569" s="103" t="s">
        <v>8</v>
      </c>
      <c r="R56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474-TOL-13086</v>
      </c>
      <c r="S569" s="121">
        <v>0</v>
      </c>
      <c r="T569" s="121">
        <v>0</v>
      </c>
      <c r="U569" s="121">
        <v>0</v>
      </c>
      <c r="V569" s="121">
        <f>MouserListTable1218[[#This Row],['#/Unit]]*FilterSpecs!$C$3+MouserListTable1218[[#This Row],[Extra]]</f>
        <v>0</v>
      </c>
      <c r="W569" s="121">
        <f>IF(MouserListTable1218[[#This Row],[Tag]]=FilterSpecs!$F$7,MouserListTable1218[[#This Row],[Price (USD)]],0)</f>
        <v>0</v>
      </c>
      <c r="X569" s="121">
        <f>MouserListTable1218[[#This Row],[Tot '#]]*MouserListTable1218[[#This Row],[Price (USD)]]</f>
        <v>0</v>
      </c>
    </row>
    <row r="570" spans="1:24" s="146" customFormat="1" x14ac:dyDescent="0.3">
      <c r="A570" s="128" t="s">
        <v>17</v>
      </c>
      <c r="B570" s="128" t="s">
        <v>1614</v>
      </c>
      <c r="C570" s="128" t="s">
        <v>1898</v>
      </c>
      <c r="D570" s="106" t="str">
        <f>IF(MouserListTable1218[[#This Row],[Vendor]]=FilterSpecs!$A$8,MouserListTable1218[[#This Row],[Mouser SKU]], MouserListTable1218[[#This Row],[Supplier SKU]])</f>
        <v>136</v>
      </c>
      <c r="E570" s="121">
        <f>MouserListTable1218[[#This Row],[Tot '#]]-MouserListTable1218[[#This Row],['# Initial]]</f>
        <v>0</v>
      </c>
      <c r="F570" s="121">
        <f>MouserListTable1218[[#This Row],['#/Unit]]*FilterSpecs!$B$3+MouserListTable1218[[#This Row],[Extra Initial]]</f>
        <v>0</v>
      </c>
      <c r="I570" s="128" t="s">
        <v>2464</v>
      </c>
      <c r="J570" s="153">
        <v>108</v>
      </c>
      <c r="K570" s="159">
        <v>100</v>
      </c>
      <c r="L570" s="126" t="s">
        <v>1910</v>
      </c>
      <c r="N570" s="157">
        <f>MouserListTable1218[[#This Row],['# Initial]]*MouserListTable1218[[#This Row],[Price (USD)]]</f>
        <v>0</v>
      </c>
      <c r="O570" s="153" t="s">
        <v>2465</v>
      </c>
      <c r="P570" s="103">
        <f t="shared" si="12"/>
        <v>551</v>
      </c>
      <c r="Q570" s="103" t="s">
        <v>1898</v>
      </c>
      <c r="R57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485-136</v>
      </c>
      <c r="S570" s="121">
        <v>0</v>
      </c>
      <c r="T570" s="121">
        <v>0</v>
      </c>
      <c r="U570" s="121">
        <v>0</v>
      </c>
      <c r="V570" s="121">
        <f>MouserListTable1218[[#This Row],['#/Unit]]*FilterSpecs!$C$3+MouserListTable1218[[#This Row],[Extra]]</f>
        <v>0</v>
      </c>
      <c r="W570" s="121">
        <f>IF(MouserListTable1218[[#This Row],[Tag]]=FilterSpecs!$F$7,MouserListTable1218[[#This Row],[Price (USD)]],0)</f>
        <v>0</v>
      </c>
      <c r="X570" s="121">
        <f>MouserListTable1218[[#This Row],[Tot '#]]*MouserListTable1218[[#This Row],[Price (USD)]]</f>
        <v>0</v>
      </c>
    </row>
    <row r="571" spans="1:24" s="146" customFormat="1" x14ac:dyDescent="0.3">
      <c r="A571" s="126" t="s">
        <v>17</v>
      </c>
      <c r="B571" s="126" t="s">
        <v>1614</v>
      </c>
      <c r="C571" s="126" t="s">
        <v>8</v>
      </c>
      <c r="D571" s="106" t="str">
        <f>IF(MouserListTable1218[[#This Row],[Vendor]]=FilterSpecs!$A$8,MouserListTable1218[[#This Row],[Mouser SKU]], MouserListTable1218[[#This Row],[Supplier SKU]])</f>
        <v>TOL-14226</v>
      </c>
      <c r="E571" s="121">
        <f>MouserListTable1218[[#This Row],[Tot '#]]-MouserListTable1218[[#This Row],['# Initial]]</f>
        <v>0</v>
      </c>
      <c r="F571" s="121">
        <f>MouserListTable1218[[#This Row],['#/Unit]]*FilterSpecs!$B$3+MouserListTable1218[[#This Row],[Extra Initial]]</f>
        <v>0</v>
      </c>
      <c r="G571" s="103" t="s">
        <v>1643</v>
      </c>
      <c r="H571" s="103" t="s">
        <v>1644</v>
      </c>
      <c r="I571" s="103" t="s">
        <v>1645</v>
      </c>
      <c r="J571" s="103"/>
      <c r="K571" s="157">
        <v>59.95</v>
      </c>
      <c r="L571" s="103" t="s">
        <v>1914</v>
      </c>
      <c r="N571" s="157">
        <f>MouserListTable1218[[#This Row],['# Initial]]*MouserListTable1218[[#This Row],[Price (USD)]]</f>
        <v>0</v>
      </c>
      <c r="O571" s="106" t="s">
        <v>1642</v>
      </c>
      <c r="P571" s="103">
        <f t="shared" si="12"/>
        <v>552</v>
      </c>
      <c r="Q571" s="103" t="s">
        <v>8</v>
      </c>
      <c r="R57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474-TOL-14226</v>
      </c>
      <c r="S571" s="121">
        <v>0</v>
      </c>
      <c r="T571" s="121">
        <v>0</v>
      </c>
      <c r="U571" s="121">
        <v>0</v>
      </c>
      <c r="V571" s="121">
        <f>MouserListTable1218[[#This Row],['#/Unit]]*FilterSpecs!$C$3+MouserListTable1218[[#This Row],[Extra]]</f>
        <v>0</v>
      </c>
      <c r="W571" s="121">
        <f>IF(MouserListTable1218[[#This Row],[Tag]]=FilterSpecs!$F$7,MouserListTable1218[[#This Row],[Price (USD)]],0)</f>
        <v>0</v>
      </c>
      <c r="X571" s="121">
        <f>MouserListTable1218[[#This Row],[Tot '#]]*MouserListTable1218[[#This Row],[Price (USD)]]</f>
        <v>0</v>
      </c>
    </row>
    <row r="572" spans="1:24" s="146" customFormat="1" x14ac:dyDescent="0.3">
      <c r="A572" s="103" t="s">
        <v>17</v>
      </c>
      <c r="B572" s="103" t="s">
        <v>1614</v>
      </c>
      <c r="C572" s="103" t="s">
        <v>8</v>
      </c>
      <c r="D572" s="106" t="str">
        <f>IF(MouserListTable1218[[#This Row],[Vendor]]=FilterSpecs!$A$8,MouserListTable1218[[#This Row],[Mouser SKU]], MouserListTable1218[[#This Row],[Supplier SKU]])</f>
        <v>TOL-13203</v>
      </c>
      <c r="E572" s="121">
        <f>MouserListTable1218[[#This Row],[Tot '#]]-MouserListTable1218[[#This Row],['# Initial]]</f>
        <v>0</v>
      </c>
      <c r="F572" s="121">
        <f>MouserListTable1218[[#This Row],['#/Unit]]*FilterSpecs!$B$3+MouserListTable1218[[#This Row],[Extra Initial]]</f>
        <v>0</v>
      </c>
      <c r="G572" s="103" t="s">
        <v>1651</v>
      </c>
      <c r="H572" s="103" t="s">
        <v>1652</v>
      </c>
      <c r="I572" s="103" t="s">
        <v>1653</v>
      </c>
      <c r="J572" s="103"/>
      <c r="K572" s="157">
        <v>4.95</v>
      </c>
      <c r="L572" s="103" t="s">
        <v>1914</v>
      </c>
      <c r="M572" s="106"/>
      <c r="N572" s="157">
        <f>MouserListTable1218[[#This Row],['# Initial]]*MouserListTable1218[[#This Row],[Price (USD)]]</f>
        <v>0</v>
      </c>
      <c r="O572" s="106" t="s">
        <v>1650</v>
      </c>
      <c r="P572" s="103">
        <f t="shared" si="12"/>
        <v>553</v>
      </c>
      <c r="Q572" s="103" t="s">
        <v>8</v>
      </c>
      <c r="R57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474-TOL-13203</v>
      </c>
      <c r="S572" s="121">
        <v>0</v>
      </c>
      <c r="T572" s="121">
        <v>0</v>
      </c>
      <c r="U572" s="121">
        <v>0</v>
      </c>
      <c r="V572" s="121">
        <f>MouserListTable1218[[#This Row],['#/Unit]]*FilterSpecs!$C$3+MouserListTable1218[[#This Row],[Extra]]</f>
        <v>0</v>
      </c>
      <c r="W572" s="121">
        <f>IF(MouserListTable1218[[#This Row],[Tag]]=FilterSpecs!$F$7,MouserListTable1218[[#This Row],[Price (USD)]],0)</f>
        <v>0</v>
      </c>
      <c r="X572" s="121">
        <f>MouserListTable1218[[#This Row],[Tot '#]]*MouserListTable1218[[#This Row],[Price (USD)]]</f>
        <v>0</v>
      </c>
    </row>
    <row r="573" spans="1:24" s="146" customFormat="1" x14ac:dyDescent="0.3">
      <c r="A573" s="103" t="s">
        <v>17</v>
      </c>
      <c r="B573" s="103" t="s">
        <v>1614</v>
      </c>
      <c r="C573" s="103" t="s">
        <v>8</v>
      </c>
      <c r="D573" s="106" t="str">
        <f>IF(MouserListTable1218[[#This Row],[Vendor]]=FilterSpecs!$A$8,MouserListTable1218[[#This Row],[Mouser SKU]], MouserListTable1218[[#This Row],[Supplier SKU]])</f>
        <v>TOL-08964</v>
      </c>
      <c r="E573" s="121">
        <f>MouserListTable1218[[#This Row],[Tot '#]]-MouserListTable1218[[#This Row],['# Initial]]</f>
        <v>0</v>
      </c>
      <c r="F573" s="121">
        <f>MouserListTable1218[[#This Row],['#/Unit]]*FilterSpecs!$B$3+MouserListTable1218[[#This Row],[Extra Initial]]</f>
        <v>0</v>
      </c>
      <c r="G573" s="103" t="s">
        <v>1623</v>
      </c>
      <c r="H573" s="103" t="s">
        <v>1624</v>
      </c>
      <c r="I573" s="103" t="s">
        <v>1625</v>
      </c>
      <c r="J573" s="103">
        <v>1</v>
      </c>
      <c r="K573" s="157">
        <v>2.95</v>
      </c>
      <c r="L573" s="103" t="s">
        <v>1914</v>
      </c>
      <c r="M573" s="106"/>
      <c r="N573" s="157">
        <f>MouserListTable1218[[#This Row],['# Initial]]*MouserListTable1218[[#This Row],[Price (USD)]]</f>
        <v>0</v>
      </c>
      <c r="O573" s="106" t="s">
        <v>1622</v>
      </c>
      <c r="P573" s="103">
        <f t="shared" si="12"/>
        <v>554</v>
      </c>
      <c r="Q573" s="103" t="s">
        <v>8</v>
      </c>
      <c r="R57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474-TOL-08964</v>
      </c>
      <c r="S573" s="121">
        <v>0</v>
      </c>
      <c r="T573" s="121">
        <v>0</v>
      </c>
      <c r="U573" s="121">
        <v>0</v>
      </c>
      <c r="V573" s="121">
        <f>MouserListTable1218[[#This Row],['#/Unit]]*FilterSpecs!$C$3+MouserListTable1218[[#This Row],[Extra]]</f>
        <v>0</v>
      </c>
      <c r="W573" s="121">
        <f>IF(MouserListTable1218[[#This Row],[Tag]]=FilterSpecs!$F$7,MouserListTable1218[[#This Row],[Price (USD)]],0)</f>
        <v>0</v>
      </c>
      <c r="X573" s="121">
        <f>MouserListTable1218[[#This Row],[Tot '#]]*MouserListTable1218[[#This Row],[Price (USD)]]</f>
        <v>0</v>
      </c>
    </row>
    <row r="574" spans="1:24" s="146" customFormat="1" x14ac:dyDescent="0.3">
      <c r="A574" s="103" t="s">
        <v>17</v>
      </c>
      <c r="B574" s="103" t="s">
        <v>1614</v>
      </c>
      <c r="C574" s="103" t="s">
        <v>8</v>
      </c>
      <c r="D574" s="106" t="str">
        <f>IF(MouserListTable1218[[#This Row],[Vendor]]=FilterSpecs!$A$8,MouserListTable1218[[#This Row],[Mouser SKU]], MouserListTable1218[[#This Row],[Supplier SKU]])</f>
        <v>TOL-12878</v>
      </c>
      <c r="E574" s="121">
        <f>MouserListTable1218[[#This Row],[Tot '#]]-MouserListTable1218[[#This Row],['# Initial]]</f>
        <v>0</v>
      </c>
      <c r="F574" s="121">
        <f>MouserListTable1218[[#This Row],['#/Unit]]*FilterSpecs!$B$3+MouserListTable1218[[#This Row],[Extra Initial]]</f>
        <v>1</v>
      </c>
      <c r="G574" s="103" t="s">
        <v>1442</v>
      </c>
      <c r="H574" s="103" t="s">
        <v>1443</v>
      </c>
      <c r="I574" s="103" t="s">
        <v>1444</v>
      </c>
      <c r="J574" s="103">
        <v>1</v>
      </c>
      <c r="K574" s="157">
        <v>16.95</v>
      </c>
      <c r="L574" s="103" t="s">
        <v>1914</v>
      </c>
      <c r="M574" s="106"/>
      <c r="N574" s="157">
        <f>MouserListTable1218[[#This Row],['# Initial]]*MouserListTable1218[[#This Row],[Price (USD)]]</f>
        <v>16.95</v>
      </c>
      <c r="O574" s="106" t="s">
        <v>1441</v>
      </c>
      <c r="P574" s="103">
        <f t="shared" si="12"/>
        <v>555</v>
      </c>
      <c r="Q574" s="103" t="s">
        <v>8</v>
      </c>
      <c r="R57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474-TOL-12878</v>
      </c>
      <c r="S574" s="121">
        <v>0</v>
      </c>
      <c r="T574" s="121">
        <v>1</v>
      </c>
      <c r="U574" s="121">
        <v>1</v>
      </c>
      <c r="V574" s="121">
        <f>MouserListTable1218[[#This Row],['#/Unit]]*FilterSpecs!$C$3+MouserListTable1218[[#This Row],[Extra]]</f>
        <v>1</v>
      </c>
      <c r="W574" s="121">
        <f>IF(MouserListTable1218[[#This Row],[Tag]]=FilterSpecs!$F$7,MouserListTable1218[[#This Row],[Price (USD)]],0)</f>
        <v>0</v>
      </c>
      <c r="X574" s="121">
        <f>MouserListTable1218[[#This Row],[Tot '#]]*MouserListTable1218[[#This Row],[Price (USD)]]</f>
        <v>16.95</v>
      </c>
    </row>
    <row r="575" spans="1:24" s="146" customFormat="1" x14ac:dyDescent="0.3">
      <c r="A575" s="103" t="s">
        <v>17</v>
      </c>
      <c r="B575" s="103" t="s">
        <v>1614</v>
      </c>
      <c r="C575" s="103" t="s">
        <v>8</v>
      </c>
      <c r="D575" s="106" t="str">
        <f>IF(MouserListTable1218[[#This Row],[Vendor]]=FilterSpecs!$A$8,MouserListTable1218[[#This Row],[Mouser SKU]], MouserListTable1218[[#This Row],[Supplier SKU]])</f>
        <v>TOL-10706</v>
      </c>
      <c r="E575" s="121">
        <f>MouserListTable1218[[#This Row],[Tot '#]]-MouserListTable1218[[#This Row],['# Initial]]</f>
        <v>0</v>
      </c>
      <c r="F575" s="121">
        <f>MouserListTable1218[[#This Row],['#/Unit]]*FilterSpecs!$B$3+MouserListTable1218[[#This Row],[Extra Initial]]</f>
        <v>0</v>
      </c>
      <c r="G575" s="103" t="s">
        <v>858</v>
      </c>
      <c r="H575" s="103" t="s">
        <v>859</v>
      </c>
      <c r="I575" s="103" t="s">
        <v>860</v>
      </c>
      <c r="J575" s="103"/>
      <c r="K575" s="157">
        <v>114.95</v>
      </c>
      <c r="L575" s="103" t="s">
        <v>1914</v>
      </c>
      <c r="M575" s="103"/>
      <c r="N575" s="157">
        <f>MouserListTable1218[[#This Row],['# Initial]]*MouserListTable1218[[#This Row],[Price (USD)]]</f>
        <v>0</v>
      </c>
      <c r="O575" s="106" t="s">
        <v>857</v>
      </c>
      <c r="P575" s="103">
        <f t="shared" si="12"/>
        <v>556</v>
      </c>
      <c r="Q575" s="103" t="s">
        <v>8</v>
      </c>
      <c r="R57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474-TOL-10706</v>
      </c>
      <c r="S575" s="121">
        <v>0</v>
      </c>
      <c r="T575" s="121">
        <v>0</v>
      </c>
      <c r="U575" s="121">
        <v>0</v>
      </c>
      <c r="V575" s="121">
        <f>MouserListTable1218[[#This Row],['#/Unit]]*FilterSpecs!$C$3+MouserListTable1218[[#This Row],[Extra]]</f>
        <v>0</v>
      </c>
      <c r="W575" s="121">
        <f>IF(MouserListTable1218[[#This Row],[Tag]]=FilterSpecs!$F$7,MouserListTable1218[[#This Row],[Price (USD)]],0)</f>
        <v>0</v>
      </c>
      <c r="X575" s="121">
        <f>MouserListTable1218[[#This Row],[Tot '#]]*MouserListTable1218[[#This Row],[Price (USD)]]</f>
        <v>0</v>
      </c>
    </row>
    <row r="576" spans="1:24" s="146" customFormat="1" x14ac:dyDescent="0.3">
      <c r="A576" s="103" t="s">
        <v>17</v>
      </c>
      <c r="B576" s="103" t="s">
        <v>1614</v>
      </c>
      <c r="C576" s="103" t="s">
        <v>1898</v>
      </c>
      <c r="D576" s="106" t="str">
        <f>IF(MouserListTable1218[[#This Row],[Vendor]]=FilterSpecs!$A$8,MouserListTable1218[[#This Row],[Mouser SKU]], MouserListTable1218[[#This Row],[Supplier SKU]])</f>
        <v>1869</v>
      </c>
      <c r="E576" s="121">
        <f>MouserListTable1218[[#This Row],[Tot '#]]-MouserListTable1218[[#This Row],['# Initial]]</f>
        <v>0</v>
      </c>
      <c r="F576" s="121">
        <f>MouserListTable1218[[#This Row],['#/Unit]]*FilterSpecs!$B$3+MouserListTable1218[[#This Row],[Extra Initial]]</f>
        <v>0</v>
      </c>
      <c r="G576" s="103"/>
      <c r="H576" s="103"/>
      <c r="I576" s="126" t="s">
        <v>2393</v>
      </c>
      <c r="K576" s="158">
        <v>97.5</v>
      </c>
      <c r="L576" s="126" t="s">
        <v>1913</v>
      </c>
      <c r="N576" s="157">
        <f>MouserListTable1218[[#This Row],['# Initial]]*MouserListTable1218[[#This Row],[Price (USD)]]</f>
        <v>0</v>
      </c>
      <c r="O576" s="106" t="s">
        <v>2392</v>
      </c>
      <c r="P576" s="103">
        <f t="shared" si="12"/>
        <v>557</v>
      </c>
      <c r="Q576" s="103" t="s">
        <v>1898</v>
      </c>
      <c r="R57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485-1869</v>
      </c>
      <c r="S576" s="121">
        <v>0</v>
      </c>
      <c r="T576" s="121">
        <v>0</v>
      </c>
      <c r="U576" s="121">
        <v>0</v>
      </c>
      <c r="V576" s="121">
        <f>MouserListTable1218[[#This Row],['#/Unit]]*FilterSpecs!$C$3+MouserListTable1218[[#This Row],[Extra]]</f>
        <v>0</v>
      </c>
      <c r="W576" s="121">
        <f>IF(MouserListTable1218[[#This Row],[Tag]]=FilterSpecs!$F$7,MouserListTable1218[[#This Row],[Price (USD)]],0)</f>
        <v>0</v>
      </c>
      <c r="X576" s="121">
        <f>MouserListTable1218[[#This Row],[Tot '#]]*MouserListTable1218[[#This Row],[Price (USD)]]</f>
        <v>0</v>
      </c>
    </row>
    <row r="577" spans="1:24" s="146" customFormat="1" x14ac:dyDescent="0.3">
      <c r="A577" s="103" t="s">
        <v>17</v>
      </c>
      <c r="B577" s="103" t="s">
        <v>1614</v>
      </c>
      <c r="C577" s="103" t="s">
        <v>8</v>
      </c>
      <c r="D577" s="106" t="str">
        <f>IF(MouserListTable1218[[#This Row],[Vendor]]=FilterSpecs!$A$8,MouserListTable1218[[#This Row],[Mouser SKU]], MouserListTable1218[[#This Row],[Supplier SKU]])</f>
        <v>TOL-07925</v>
      </c>
      <c r="E577" s="121">
        <f>MouserListTable1218[[#This Row],[Tot '#]]-MouserListTable1218[[#This Row],['# Initial]]</f>
        <v>0</v>
      </c>
      <c r="F577" s="121">
        <f>MouserListTable1218[[#This Row],['#/Unit]]*FilterSpecs!$B$3+MouserListTable1218[[#This Row],[Extra Initial]]</f>
        <v>0</v>
      </c>
      <c r="G577" s="103" t="s">
        <v>1639</v>
      </c>
      <c r="H577" s="103" t="s">
        <v>1640</v>
      </c>
      <c r="I577" s="103" t="s">
        <v>1641</v>
      </c>
      <c r="J577" s="103"/>
      <c r="K577" s="157">
        <v>14.95</v>
      </c>
      <c r="L577" s="103" t="s">
        <v>1914</v>
      </c>
      <c r="M577" s="106"/>
      <c r="N577" s="157">
        <f>MouserListTable1218[[#This Row],['# Initial]]*MouserListTable1218[[#This Row],[Price (USD)]]</f>
        <v>0</v>
      </c>
      <c r="O577" s="106" t="s">
        <v>1638</v>
      </c>
      <c r="P577" s="103">
        <f t="shared" si="12"/>
        <v>558</v>
      </c>
      <c r="Q577" s="103" t="s">
        <v>8</v>
      </c>
      <c r="R57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474-TOL-07925</v>
      </c>
      <c r="S577" s="121">
        <v>0</v>
      </c>
      <c r="T577" s="121">
        <v>0</v>
      </c>
      <c r="U577" s="121">
        <v>0</v>
      </c>
      <c r="V577" s="121">
        <f>MouserListTable1218[[#This Row],['#/Unit]]*FilterSpecs!$C$3+MouserListTable1218[[#This Row],[Extra]]</f>
        <v>0</v>
      </c>
      <c r="W577" s="121">
        <f>IF(MouserListTable1218[[#This Row],[Tag]]=FilterSpecs!$F$7,MouserListTable1218[[#This Row],[Price (USD)]],0)</f>
        <v>0</v>
      </c>
      <c r="X577" s="121">
        <f>MouserListTable1218[[#This Row],[Tot '#]]*MouserListTable1218[[#This Row],[Price (USD)]]</f>
        <v>0</v>
      </c>
    </row>
    <row r="578" spans="1:24" s="146" customFormat="1" x14ac:dyDescent="0.3">
      <c r="A578" s="126" t="s">
        <v>17</v>
      </c>
      <c r="B578" s="126" t="s">
        <v>1614</v>
      </c>
      <c r="C578" s="126" t="s">
        <v>8</v>
      </c>
      <c r="D578" s="106" t="str">
        <f>IF(MouserListTable1218[[#This Row],[Vendor]]=FilterSpecs!$A$8,MouserListTable1218[[#This Row],[Mouser SKU]], MouserListTable1218[[#This Row],[Supplier SKU]])</f>
        <v>TOL-10326</v>
      </c>
      <c r="E578" s="121">
        <f>MouserListTable1218[[#This Row],[Tot '#]]-MouserListTable1218[[#This Row],['# Initial]]</f>
        <v>0</v>
      </c>
      <c r="F578" s="121">
        <f>MouserListTable1218[[#This Row],['#/Unit]]*FilterSpecs!$B$3+MouserListTable1218[[#This Row],[Extra Initial]]</f>
        <v>0</v>
      </c>
      <c r="G578" s="103" t="s">
        <v>850</v>
      </c>
      <c r="H578" s="103" t="s">
        <v>851</v>
      </c>
      <c r="I578" s="103" t="s">
        <v>852</v>
      </c>
      <c r="J578" s="103">
        <v>1</v>
      </c>
      <c r="K578" s="157">
        <v>13.95</v>
      </c>
      <c r="L578" s="103" t="s">
        <v>1914</v>
      </c>
      <c r="M578" s="146" t="s">
        <v>1308</v>
      </c>
      <c r="N578" s="157">
        <f>MouserListTable1218[[#This Row],['# Initial]]*MouserListTable1218[[#This Row],[Price (USD)]]</f>
        <v>0</v>
      </c>
      <c r="O578" s="106" t="s">
        <v>849</v>
      </c>
      <c r="P578" s="103">
        <f t="shared" si="12"/>
        <v>559</v>
      </c>
      <c r="Q578" s="103" t="s">
        <v>8</v>
      </c>
      <c r="R57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474-TOL-10326</v>
      </c>
      <c r="S578" s="121">
        <v>0</v>
      </c>
      <c r="T578" s="121">
        <v>0</v>
      </c>
      <c r="U578" s="121">
        <v>0</v>
      </c>
      <c r="V578" s="121">
        <f>MouserListTable1218[[#This Row],['#/Unit]]*FilterSpecs!$C$3+MouserListTable1218[[#This Row],[Extra]]</f>
        <v>0</v>
      </c>
      <c r="W578" s="121">
        <f>IF(MouserListTable1218[[#This Row],[Tag]]=FilterSpecs!$F$7,MouserListTable1218[[#This Row],[Price (USD)]],0)</f>
        <v>0</v>
      </c>
      <c r="X578" s="121">
        <f>MouserListTable1218[[#This Row],[Tot '#]]*MouserListTable1218[[#This Row],[Price (USD)]]</f>
        <v>0</v>
      </c>
    </row>
    <row r="579" spans="1:24" s="146" customFormat="1" x14ac:dyDescent="0.3">
      <c r="A579" s="103" t="s">
        <v>17</v>
      </c>
      <c r="B579" s="103" t="s">
        <v>1614</v>
      </c>
      <c r="C579" s="103" t="s">
        <v>1898</v>
      </c>
      <c r="D579" s="106" t="str">
        <f>IF(MouserListTable1218[[#This Row],[Vendor]]=FilterSpecs!$A$8,MouserListTable1218[[#This Row],[Mouser SKU]], MouserListTable1218[[#This Row],[Supplier SKU]])</f>
        <v>3536</v>
      </c>
      <c r="E579" s="121">
        <f>MouserListTable1218[[#This Row],[Tot '#]]-MouserListTable1218[[#This Row],['# Initial]]</f>
        <v>0</v>
      </c>
      <c r="F579" s="121">
        <f>MouserListTable1218[[#This Row],['#/Unit]]*FilterSpecs!$B$3+MouserListTable1218[[#This Row],[Extra Initial]]</f>
        <v>0</v>
      </c>
      <c r="G579" s="103"/>
      <c r="H579" s="103"/>
      <c r="I579" s="126" t="s">
        <v>2397</v>
      </c>
      <c r="K579" s="158">
        <v>9.9499999999999993</v>
      </c>
      <c r="L579" s="126" t="s">
        <v>1910</v>
      </c>
      <c r="N579" s="157">
        <f>MouserListTable1218[[#This Row],['# Initial]]*MouserListTable1218[[#This Row],[Price (USD)]]</f>
        <v>0</v>
      </c>
      <c r="O579" s="106" t="s">
        <v>2396</v>
      </c>
      <c r="P579" s="103">
        <f t="shared" si="12"/>
        <v>560</v>
      </c>
      <c r="Q579" s="103" t="s">
        <v>1898</v>
      </c>
      <c r="R57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485-3536</v>
      </c>
      <c r="S579" s="121">
        <v>0</v>
      </c>
      <c r="T579" s="121">
        <v>0</v>
      </c>
      <c r="U579" s="121">
        <v>0</v>
      </c>
      <c r="V579" s="121">
        <f>MouserListTable1218[[#This Row],['#/Unit]]*FilterSpecs!$C$3+MouserListTable1218[[#This Row],[Extra]]</f>
        <v>0</v>
      </c>
      <c r="W579" s="121">
        <f>IF(MouserListTable1218[[#This Row],[Tag]]=FilterSpecs!$F$7,MouserListTable1218[[#This Row],[Price (USD)]],0)</f>
        <v>0</v>
      </c>
      <c r="X579" s="121">
        <f>MouserListTable1218[[#This Row],[Tot '#]]*MouserListTable1218[[#This Row],[Price (USD)]]</f>
        <v>0</v>
      </c>
    </row>
    <row r="580" spans="1:24" s="146" customFormat="1" x14ac:dyDescent="0.3">
      <c r="A580" s="126" t="s">
        <v>17</v>
      </c>
      <c r="B580" s="126" t="s">
        <v>1615</v>
      </c>
      <c r="C580" s="126" t="s">
        <v>8</v>
      </c>
      <c r="D580" s="106" t="str">
        <f>IF(MouserListTable1218[[#This Row],[Vendor]]=FilterSpecs!$A$8,MouserListTable1218[[#This Row],[Mouser SKU]], MouserListTable1218[[#This Row],[Supplier SKU]])</f>
        <v>TOL-10410</v>
      </c>
      <c r="E580" s="121">
        <f>MouserListTable1218[[#This Row],[Tot '#]]-MouserListTable1218[[#This Row],['# Initial]]</f>
        <v>0</v>
      </c>
      <c r="F580" s="121">
        <f>MouserListTable1218[[#This Row],['#/Unit]]*FilterSpecs!$B$3+MouserListTable1218[[#This Row],[Extra Initial]]</f>
        <v>1</v>
      </c>
      <c r="G580" s="103" t="s">
        <v>882</v>
      </c>
      <c r="H580" s="103" t="s">
        <v>883</v>
      </c>
      <c r="I580" s="103" t="s">
        <v>884</v>
      </c>
      <c r="J580" s="103"/>
      <c r="K580" s="157">
        <v>32.950000000000003</v>
      </c>
      <c r="L580" s="103" t="s">
        <v>1914</v>
      </c>
      <c r="N580" s="157">
        <f>MouserListTable1218[[#This Row],['# Initial]]*MouserListTable1218[[#This Row],[Price (USD)]]</f>
        <v>32.950000000000003</v>
      </c>
      <c r="O580" s="106" t="s">
        <v>881</v>
      </c>
      <c r="P580" s="103">
        <f t="shared" si="12"/>
        <v>561</v>
      </c>
      <c r="Q580" s="103" t="s">
        <v>8</v>
      </c>
      <c r="R58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474-TOL-10410</v>
      </c>
      <c r="S580" s="121">
        <v>0</v>
      </c>
      <c r="T580" s="121">
        <v>1</v>
      </c>
      <c r="U580" s="121">
        <v>1</v>
      </c>
      <c r="V580" s="121">
        <f>MouserListTable1218[[#This Row],['#/Unit]]*FilterSpecs!$C$3+MouserListTable1218[[#This Row],[Extra]]</f>
        <v>1</v>
      </c>
      <c r="W580" s="121">
        <f>IF(MouserListTable1218[[#This Row],[Tag]]=FilterSpecs!$F$7,MouserListTable1218[[#This Row],[Price (USD)]],0)</f>
        <v>0</v>
      </c>
      <c r="X580" s="121">
        <f>MouserListTable1218[[#This Row],[Tot '#]]*MouserListTable1218[[#This Row],[Price (USD)]]</f>
        <v>32.950000000000003</v>
      </c>
    </row>
    <row r="581" spans="1:24" s="146" customFormat="1" x14ac:dyDescent="0.3">
      <c r="A581" s="126" t="s">
        <v>17</v>
      </c>
      <c r="B581" s="126" t="s">
        <v>1615</v>
      </c>
      <c r="C581" s="126" t="s">
        <v>8</v>
      </c>
      <c r="D581" s="106" t="str">
        <f>IF(MouserListTable1218[[#This Row],[Vendor]]=FilterSpecs!$A$8,MouserListTable1218[[#This Row],[Mouser SKU]], MouserListTable1218[[#This Row],[Supplier SKU]])</f>
        <v>TOL-11784</v>
      </c>
      <c r="E581" s="121">
        <f>MouserListTable1218[[#This Row],[Tot '#]]-MouserListTable1218[[#This Row],['# Initial]]</f>
        <v>0</v>
      </c>
      <c r="F581" s="121">
        <f>MouserListTable1218[[#This Row],['#/Unit]]*FilterSpecs!$B$3+MouserListTable1218[[#This Row],[Extra Initial]]</f>
        <v>0</v>
      </c>
      <c r="G581" s="103" t="s">
        <v>1145</v>
      </c>
      <c r="H581" s="103" t="s">
        <v>1146</v>
      </c>
      <c r="I581" s="103" t="s">
        <v>1147</v>
      </c>
      <c r="J581" s="103">
        <v>1</v>
      </c>
      <c r="K581" s="157">
        <v>29.95</v>
      </c>
      <c r="L581" s="103" t="s">
        <v>1914</v>
      </c>
      <c r="N581" s="157">
        <f>MouserListTable1218[[#This Row],['# Initial]]*MouserListTable1218[[#This Row],[Price (USD)]]</f>
        <v>0</v>
      </c>
      <c r="O581" s="106" t="s">
        <v>1144</v>
      </c>
      <c r="P581" s="103">
        <f t="shared" si="12"/>
        <v>562</v>
      </c>
      <c r="Q581" s="103" t="s">
        <v>8</v>
      </c>
      <c r="R58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474-TOL-11784</v>
      </c>
      <c r="S581" s="121">
        <v>0</v>
      </c>
      <c r="T581" s="121">
        <v>0</v>
      </c>
      <c r="U581" s="121">
        <v>0</v>
      </c>
      <c r="V581" s="121">
        <f>MouserListTable1218[[#This Row],['#/Unit]]*FilterSpecs!$C$3+MouserListTable1218[[#This Row],[Extra]]</f>
        <v>0</v>
      </c>
      <c r="W581" s="121">
        <f>IF(MouserListTable1218[[#This Row],[Tag]]=FilterSpecs!$F$7,MouserListTable1218[[#This Row],[Price (USD)]],0)</f>
        <v>0</v>
      </c>
      <c r="X581" s="121">
        <f>MouserListTable1218[[#This Row],[Tot '#]]*MouserListTable1218[[#This Row],[Price (USD)]]</f>
        <v>0</v>
      </c>
    </row>
    <row r="582" spans="1:24" s="146" customFormat="1" x14ac:dyDescent="0.3">
      <c r="A582" s="126" t="s">
        <v>17</v>
      </c>
      <c r="B582" s="126" t="s">
        <v>1615</v>
      </c>
      <c r="C582" s="126" t="s">
        <v>8</v>
      </c>
      <c r="D582" s="106" t="str">
        <f>IF(MouserListTable1218[[#This Row],[Vendor]]=FilterSpecs!$A$8,MouserListTable1218[[#This Row],[Mouser SKU]], MouserListTable1218[[#This Row],[Supplier SKU]])</f>
        <v>TOL-09317</v>
      </c>
      <c r="E582" s="121">
        <f>MouserListTable1218[[#This Row],[Tot '#]]-MouserListTable1218[[#This Row],['# Initial]]</f>
        <v>0</v>
      </c>
      <c r="F582" s="121">
        <f>MouserListTable1218[[#This Row],['#/Unit]]*FilterSpecs!$B$3+MouserListTable1218[[#This Row],[Extra Initial]]</f>
        <v>0</v>
      </c>
      <c r="G582" s="103" t="s">
        <v>854</v>
      </c>
      <c r="H582" s="103" t="s">
        <v>855</v>
      </c>
      <c r="I582" s="103" t="s">
        <v>856</v>
      </c>
      <c r="J582" s="103">
        <v>1</v>
      </c>
      <c r="K582" s="157">
        <v>9.9499999999999993</v>
      </c>
      <c r="L582" s="103" t="s">
        <v>1914</v>
      </c>
      <c r="N582" s="157">
        <f>MouserListTable1218[[#This Row],['# Initial]]*MouserListTable1218[[#This Row],[Price (USD)]]</f>
        <v>0</v>
      </c>
      <c r="O582" s="106" t="s">
        <v>853</v>
      </c>
      <c r="P582" s="103">
        <f t="shared" si="12"/>
        <v>563</v>
      </c>
      <c r="Q582" s="103" t="s">
        <v>8</v>
      </c>
      <c r="R58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474-TOL-09317</v>
      </c>
      <c r="S582" s="121">
        <v>0</v>
      </c>
      <c r="T582" s="121">
        <v>0</v>
      </c>
      <c r="U582" s="121">
        <v>0</v>
      </c>
      <c r="V582" s="121">
        <f>MouserListTable1218[[#This Row],['#/Unit]]*FilterSpecs!$C$3+MouserListTable1218[[#This Row],[Extra]]</f>
        <v>0</v>
      </c>
      <c r="W582" s="121">
        <f>IF(MouserListTable1218[[#This Row],[Tag]]=FilterSpecs!$F$7,MouserListTable1218[[#This Row],[Price (USD)]],0)</f>
        <v>0</v>
      </c>
      <c r="X582" s="121">
        <f>MouserListTable1218[[#This Row],[Tot '#]]*MouserListTable1218[[#This Row],[Price (USD)]]</f>
        <v>0</v>
      </c>
    </row>
    <row r="583" spans="1:24" s="146" customFormat="1" x14ac:dyDescent="0.3">
      <c r="A583" s="103" t="s">
        <v>17</v>
      </c>
      <c r="B583" s="103" t="s">
        <v>1615</v>
      </c>
      <c r="C583" s="103" t="s">
        <v>1898</v>
      </c>
      <c r="D583" s="106" t="str">
        <f>IF(MouserListTable1218[[#This Row],[Vendor]]=FilterSpecs!$A$8,MouserListTable1218[[#This Row],[Mouser SKU]], MouserListTable1218[[#This Row],[Supplier SKU]])</f>
        <v>3019</v>
      </c>
      <c r="E583" s="121">
        <f>MouserListTable1218[[#This Row],[Tot '#]]-MouserListTable1218[[#This Row],['# Initial]]</f>
        <v>0</v>
      </c>
      <c r="F583" s="121">
        <f>MouserListTable1218[[#This Row],['#/Unit]]*FilterSpecs!$B$3+MouserListTable1218[[#This Row],[Extra Initial]]</f>
        <v>1</v>
      </c>
      <c r="G583" s="103"/>
      <c r="H583" s="103"/>
      <c r="I583" s="103" t="s">
        <v>2395</v>
      </c>
      <c r="K583" s="157">
        <v>54.95</v>
      </c>
      <c r="L583" s="103" t="s">
        <v>1914</v>
      </c>
      <c r="M583" s="106"/>
      <c r="N583" s="157">
        <f>MouserListTable1218[[#This Row],['# Initial]]*MouserListTable1218[[#This Row],[Price (USD)]]</f>
        <v>54.95</v>
      </c>
      <c r="O583" s="106" t="s">
        <v>2394</v>
      </c>
      <c r="P583" s="103">
        <f t="shared" si="12"/>
        <v>564</v>
      </c>
      <c r="Q583" s="103" t="s">
        <v>1898</v>
      </c>
      <c r="R58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485-3019</v>
      </c>
      <c r="S583" s="121">
        <v>0</v>
      </c>
      <c r="T583" s="121">
        <v>1</v>
      </c>
      <c r="U583" s="121">
        <v>1</v>
      </c>
      <c r="V583" s="121">
        <f>MouserListTable1218[[#This Row],['#/Unit]]*FilterSpecs!$C$3+MouserListTable1218[[#This Row],[Extra]]</f>
        <v>1</v>
      </c>
      <c r="W583" s="121">
        <f>IF(MouserListTable1218[[#This Row],[Tag]]=FilterSpecs!$F$7,MouserListTable1218[[#This Row],[Price (USD)]],0)</f>
        <v>0</v>
      </c>
      <c r="X583" s="121">
        <f>MouserListTable1218[[#This Row],[Tot '#]]*MouserListTable1218[[#This Row],[Price (USD)]]</f>
        <v>54.95</v>
      </c>
    </row>
    <row r="584" spans="1:24" s="146" customFormat="1" x14ac:dyDescent="0.3">
      <c r="A584" s="103" t="s">
        <v>17</v>
      </c>
      <c r="B584" s="103" t="s">
        <v>1615</v>
      </c>
      <c r="C584" s="103" t="s">
        <v>8</v>
      </c>
      <c r="D584" s="106" t="str">
        <f>IF(MouserListTable1218[[#This Row],[Vendor]]=FilterSpecs!$A$8,MouserListTable1218[[#This Row],[Mouser SKU]], MouserListTable1218[[#This Row],[Supplier SKU]])</f>
        <v>TOL-09316</v>
      </c>
      <c r="E584" s="121">
        <f>MouserListTable1218[[#This Row],[Tot '#]]-MouserListTable1218[[#This Row],['# Initial]]</f>
        <v>0</v>
      </c>
      <c r="F584" s="121">
        <f>MouserListTable1218[[#This Row],['#/Unit]]*FilterSpecs!$B$3+MouserListTable1218[[#This Row],[Extra Initial]]</f>
        <v>1</v>
      </c>
      <c r="G584" s="103" t="s">
        <v>874</v>
      </c>
      <c r="H584" s="103" t="s">
        <v>875</v>
      </c>
      <c r="I584" s="103" t="s">
        <v>876</v>
      </c>
      <c r="J584" s="103">
        <v>1</v>
      </c>
      <c r="K584" s="157">
        <v>9.9499999999999993</v>
      </c>
      <c r="L584" s="103" t="s">
        <v>1914</v>
      </c>
      <c r="M584" s="106"/>
      <c r="N584" s="157">
        <f>MouserListTable1218[[#This Row],['# Initial]]*MouserListTable1218[[#This Row],[Price (USD)]]</f>
        <v>9.9499999999999993</v>
      </c>
      <c r="O584" s="106" t="s">
        <v>873</v>
      </c>
      <c r="P584" s="103">
        <f t="shared" si="12"/>
        <v>565</v>
      </c>
      <c r="Q584" s="103" t="s">
        <v>8</v>
      </c>
      <c r="R58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474-TOL-09316</v>
      </c>
      <c r="S584" s="121">
        <v>0</v>
      </c>
      <c r="T584" s="121">
        <v>1</v>
      </c>
      <c r="U584" s="121">
        <v>1</v>
      </c>
      <c r="V584" s="121">
        <f>MouserListTable1218[[#This Row],['#/Unit]]*FilterSpecs!$C$3+MouserListTable1218[[#This Row],[Extra]]</f>
        <v>1</v>
      </c>
      <c r="W584" s="121">
        <f>IF(MouserListTable1218[[#This Row],[Tag]]=FilterSpecs!$F$7,MouserListTable1218[[#This Row],[Price (USD)]],0)</f>
        <v>0</v>
      </c>
      <c r="X584" s="121">
        <f>MouserListTable1218[[#This Row],[Tot '#]]*MouserListTable1218[[#This Row],[Price (USD)]]</f>
        <v>9.9499999999999993</v>
      </c>
    </row>
    <row r="585" spans="1:24" s="146" customFormat="1" x14ac:dyDescent="0.3">
      <c r="A585" s="103" t="s">
        <v>17</v>
      </c>
      <c r="B585" s="103" t="s">
        <v>1615</v>
      </c>
      <c r="C585" s="103" t="s">
        <v>8</v>
      </c>
      <c r="D585" s="106" t="str">
        <f>IF(MouserListTable1218[[#This Row],[Vendor]]=FilterSpecs!$A$8,MouserListTable1218[[#This Row],[Mouser SKU]], MouserListTable1218[[#This Row],[Supplier SKU]])</f>
        <v>COM-09906</v>
      </c>
      <c r="E585" s="121">
        <f>MouserListTable1218[[#This Row],[Tot '#]]-MouserListTable1218[[#This Row],['# Initial]]</f>
        <v>1</v>
      </c>
      <c r="F585" s="121">
        <f>MouserListTable1218[[#This Row],['#/Unit]]*FilterSpecs!$B$3+MouserListTable1218[[#This Row],[Extra Initial]]</f>
        <v>0</v>
      </c>
      <c r="G585" s="103" t="s">
        <v>129</v>
      </c>
      <c r="H585" s="103" t="s">
        <v>130</v>
      </c>
      <c r="I585" s="103" t="s">
        <v>131</v>
      </c>
      <c r="J585" s="103"/>
      <c r="K585" s="157">
        <v>14.95</v>
      </c>
      <c r="L585" s="103" t="s">
        <v>1913</v>
      </c>
      <c r="M585" s="106"/>
      <c r="N585" s="157">
        <f>MouserListTable1218[[#This Row],['# Initial]]*MouserListTable1218[[#This Row],[Price (USD)]]</f>
        <v>0</v>
      </c>
      <c r="O585" s="106" t="s">
        <v>128</v>
      </c>
      <c r="P585" s="103">
        <f t="shared" si="12"/>
        <v>566</v>
      </c>
      <c r="Q585" s="103" t="s">
        <v>8</v>
      </c>
      <c r="R58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474-COM-09906</v>
      </c>
      <c r="S585" s="121">
        <v>0</v>
      </c>
      <c r="T585" s="121">
        <v>1</v>
      </c>
      <c r="U585" s="121">
        <v>0</v>
      </c>
      <c r="V585" s="121">
        <f>MouserListTable1218[[#This Row],['#/Unit]]*FilterSpecs!$C$3+MouserListTable1218[[#This Row],[Extra]]</f>
        <v>1</v>
      </c>
      <c r="W585" s="121">
        <f>IF(MouserListTable1218[[#This Row],[Tag]]=FilterSpecs!$F$7,MouserListTable1218[[#This Row],[Price (USD)]],0)</f>
        <v>0</v>
      </c>
      <c r="X585" s="121">
        <f>MouserListTable1218[[#This Row],[Tot '#]]*MouserListTable1218[[#This Row],[Price (USD)]]</f>
        <v>14.95</v>
      </c>
    </row>
    <row r="586" spans="1:24" s="146" customFormat="1" x14ac:dyDescent="0.3">
      <c r="A586" s="103" t="s">
        <v>17</v>
      </c>
      <c r="B586" s="103" t="s">
        <v>1615</v>
      </c>
      <c r="C586" s="103" t="s">
        <v>8</v>
      </c>
      <c r="D586" s="106" t="str">
        <f>IF(MouserListTable1218[[#This Row],[Vendor]]=FilterSpecs!$A$8,MouserListTable1218[[#This Row],[Mouser SKU]], MouserListTable1218[[#This Row],[Supplier SKU]])</f>
        <v>COM-08674</v>
      </c>
      <c r="E586" s="121">
        <f>MouserListTable1218[[#This Row],[Tot '#]]-MouserListTable1218[[#This Row],['# Initial]]</f>
        <v>1</v>
      </c>
      <c r="F586" s="121">
        <f>MouserListTable1218[[#This Row],['#/Unit]]*FilterSpecs!$B$3+MouserListTable1218[[#This Row],[Extra Initial]]</f>
        <v>0</v>
      </c>
      <c r="G586" s="103" t="s">
        <v>133</v>
      </c>
      <c r="H586" s="103" t="s">
        <v>134</v>
      </c>
      <c r="I586" s="103" t="s">
        <v>135</v>
      </c>
      <c r="J586" s="103">
        <v>1</v>
      </c>
      <c r="K586" s="157">
        <v>0.1</v>
      </c>
      <c r="L586" s="103" t="s">
        <v>1910</v>
      </c>
      <c r="M586" s="106"/>
      <c r="N586" s="157">
        <f>MouserListTable1218[[#This Row],['# Initial]]*MouserListTable1218[[#This Row],[Price (USD)]]</f>
        <v>0</v>
      </c>
      <c r="O586" s="106" t="s">
        <v>132</v>
      </c>
      <c r="P586" s="103">
        <f t="shared" si="12"/>
        <v>567</v>
      </c>
      <c r="Q586" s="103" t="s">
        <v>8</v>
      </c>
      <c r="R58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474-COM-08674</v>
      </c>
      <c r="S586" s="121">
        <v>0</v>
      </c>
      <c r="T586" s="121">
        <v>1</v>
      </c>
      <c r="U586" s="121">
        <v>0</v>
      </c>
      <c r="V586" s="121">
        <f>MouserListTable1218[[#This Row],['#/Unit]]*FilterSpecs!$C$3+MouserListTable1218[[#This Row],[Extra]]</f>
        <v>1</v>
      </c>
      <c r="W586" s="121">
        <f>IF(MouserListTable1218[[#This Row],[Tag]]=FilterSpecs!$F$7,MouserListTable1218[[#This Row],[Price (USD)]],0)</f>
        <v>0</v>
      </c>
      <c r="X586" s="121">
        <f>MouserListTable1218[[#This Row],[Tot '#]]*MouserListTable1218[[#This Row],[Price (USD)]]</f>
        <v>0.1</v>
      </c>
    </row>
    <row r="587" spans="1:24" s="146" customFormat="1" x14ac:dyDescent="0.3">
      <c r="A587" s="103" t="s">
        <v>17</v>
      </c>
      <c r="B587" s="103" t="s">
        <v>1613</v>
      </c>
      <c r="C587" s="103" t="s">
        <v>8</v>
      </c>
      <c r="D587" s="106" t="str">
        <f>IF(MouserListTable1218[[#This Row],[Vendor]]=FilterSpecs!$A$8,MouserListTable1218[[#This Row],[Mouser SKU]], MouserListTable1218[[#This Row],[Supplier SKU]])</f>
        <v>TOL-12078</v>
      </c>
      <c r="E587" s="121">
        <f>MouserListTable1218[[#This Row],[Tot '#]]-MouserListTable1218[[#This Row],['# Initial]]</f>
        <v>1</v>
      </c>
      <c r="F587" s="121">
        <f>MouserListTable1218[[#This Row],['#/Unit]]*FilterSpecs!$B$3+MouserListTable1218[[#This Row],[Extra Initial]]</f>
        <v>0</v>
      </c>
      <c r="G587" s="103" t="s">
        <v>1627</v>
      </c>
      <c r="H587" s="103" t="s">
        <v>1628</v>
      </c>
      <c r="I587" s="103" t="s">
        <v>1629</v>
      </c>
      <c r="J587" s="103"/>
      <c r="K587" s="157">
        <v>4.95</v>
      </c>
      <c r="L587" s="103" t="s">
        <v>1914</v>
      </c>
      <c r="M587" s="106"/>
      <c r="N587" s="157">
        <f>MouserListTable1218[[#This Row],['# Initial]]*MouserListTable1218[[#This Row],[Price (USD)]]</f>
        <v>0</v>
      </c>
      <c r="O587" s="106" t="s">
        <v>1626</v>
      </c>
      <c r="P587" s="103">
        <f t="shared" si="12"/>
        <v>568</v>
      </c>
      <c r="Q587" s="103" t="s">
        <v>8</v>
      </c>
      <c r="R58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474-TOL-12078</v>
      </c>
      <c r="S587" s="121">
        <v>0</v>
      </c>
      <c r="T587" s="121">
        <v>1</v>
      </c>
      <c r="U587" s="121">
        <v>0</v>
      </c>
      <c r="V587" s="121">
        <f>MouserListTable1218[[#This Row],['#/Unit]]*FilterSpecs!$C$3+MouserListTable1218[[#This Row],[Extra]]</f>
        <v>1</v>
      </c>
      <c r="W587" s="121">
        <f>IF(MouserListTable1218[[#This Row],[Tag]]=FilterSpecs!$F$7,MouserListTable1218[[#This Row],[Price (USD)]],0)</f>
        <v>0</v>
      </c>
      <c r="X587" s="121">
        <f>MouserListTable1218[[#This Row],[Tot '#]]*MouserListTable1218[[#This Row],[Price (USD)]]</f>
        <v>4.95</v>
      </c>
    </row>
    <row r="588" spans="1:24" s="146" customFormat="1" x14ac:dyDescent="0.3">
      <c r="A588" s="103" t="s">
        <v>17</v>
      </c>
      <c r="B588" s="103" t="s">
        <v>1613</v>
      </c>
      <c r="C588" s="103" t="s">
        <v>8</v>
      </c>
      <c r="D588" s="106" t="str">
        <f>IF(MouserListTable1218[[#This Row],[Vendor]]=FilterSpecs!$A$8,MouserListTable1218[[#This Row],[Mouser SKU]], MouserListTable1218[[#This Row],[Supplier SKU]])</f>
        <v>TOL-11060</v>
      </c>
      <c r="E588" s="121">
        <f>MouserListTable1218[[#This Row],[Tot '#]]-MouserListTable1218[[#This Row],['# Initial]]</f>
        <v>0</v>
      </c>
      <c r="F588" s="121">
        <f>MouserListTable1218[[#This Row],['#/Unit]]*FilterSpecs!$B$3+MouserListTable1218[[#This Row],[Extra Initial]]</f>
        <v>1</v>
      </c>
      <c r="G588" s="103" t="s">
        <v>838</v>
      </c>
      <c r="H588" s="103" t="s">
        <v>839</v>
      </c>
      <c r="I588" s="103" t="s">
        <v>840</v>
      </c>
      <c r="J588" s="103"/>
      <c r="K588" s="157">
        <v>4.95</v>
      </c>
      <c r="L588" s="103" t="s">
        <v>1914</v>
      </c>
      <c r="M588" s="106"/>
      <c r="N588" s="157">
        <f>MouserListTable1218[[#This Row],['# Initial]]*MouserListTable1218[[#This Row],[Price (USD)]]</f>
        <v>4.95</v>
      </c>
      <c r="O588" s="106" t="s">
        <v>837</v>
      </c>
      <c r="P588" s="103">
        <f t="shared" si="12"/>
        <v>569</v>
      </c>
      <c r="Q588" s="103" t="s">
        <v>8</v>
      </c>
      <c r="R58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474-TOL-11060</v>
      </c>
      <c r="S588" s="121">
        <v>0</v>
      </c>
      <c r="T588" s="121">
        <v>1</v>
      </c>
      <c r="U588" s="121">
        <v>1</v>
      </c>
      <c r="V588" s="121">
        <f>MouserListTable1218[[#This Row],['#/Unit]]*FilterSpecs!$C$3+MouserListTable1218[[#This Row],[Extra]]</f>
        <v>1</v>
      </c>
      <c r="W588" s="121">
        <f>IF(MouserListTable1218[[#This Row],[Tag]]=FilterSpecs!$F$7,MouserListTable1218[[#This Row],[Price (USD)]],0)</f>
        <v>0</v>
      </c>
      <c r="X588" s="121">
        <f>MouserListTable1218[[#This Row],[Tot '#]]*MouserListTable1218[[#This Row],[Price (USD)]]</f>
        <v>4.95</v>
      </c>
    </row>
    <row r="589" spans="1:24" s="146" customFormat="1" x14ac:dyDescent="0.3">
      <c r="A589" s="103" t="s">
        <v>17</v>
      </c>
      <c r="B589" s="103" t="s">
        <v>1613</v>
      </c>
      <c r="C589" s="103" t="s">
        <v>8</v>
      </c>
      <c r="D589" s="106" t="str">
        <f>IF(MouserListTable1218[[#This Row],[Vendor]]=FilterSpecs!$A$8,MouserListTable1218[[#This Row],[Mouser SKU]], MouserListTable1218[[#This Row],[Supplier SKU]])</f>
        <v>TOL-12573</v>
      </c>
      <c r="E589" s="121">
        <f>MouserListTable1218[[#This Row],[Tot '#]]-MouserListTable1218[[#This Row],['# Initial]]</f>
        <v>0</v>
      </c>
      <c r="F589" s="121">
        <f>MouserListTable1218[[#This Row],['#/Unit]]*FilterSpecs!$B$3+MouserListTable1218[[#This Row],[Extra Initial]]</f>
        <v>0</v>
      </c>
      <c r="G589" s="103" t="s">
        <v>870</v>
      </c>
      <c r="H589" s="103" t="s">
        <v>871</v>
      </c>
      <c r="I589" s="103" t="s">
        <v>872</v>
      </c>
      <c r="J589" s="103">
        <v>1</v>
      </c>
      <c r="K589" s="157">
        <v>3.95</v>
      </c>
      <c r="L589" s="103" t="s">
        <v>1914</v>
      </c>
      <c r="M589" s="106"/>
      <c r="N589" s="157">
        <f>MouserListTable1218[[#This Row],['# Initial]]*MouserListTable1218[[#This Row],[Price (USD)]]</f>
        <v>0</v>
      </c>
      <c r="O589" s="106" t="s">
        <v>869</v>
      </c>
      <c r="P589" s="103">
        <f t="shared" si="12"/>
        <v>570</v>
      </c>
      <c r="Q589" s="103" t="s">
        <v>8</v>
      </c>
      <c r="R58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474-TOL-12573</v>
      </c>
      <c r="S589" s="121">
        <v>0</v>
      </c>
      <c r="T589" s="121">
        <v>0</v>
      </c>
      <c r="U589" s="121">
        <v>0</v>
      </c>
      <c r="V589" s="121">
        <f>MouserListTable1218[[#This Row],['#/Unit]]*FilterSpecs!$C$3+MouserListTable1218[[#This Row],[Extra]]</f>
        <v>0</v>
      </c>
      <c r="W589" s="121">
        <f>IF(MouserListTable1218[[#This Row],[Tag]]=FilterSpecs!$F$7,MouserListTable1218[[#This Row],[Price (USD)]],0)</f>
        <v>0</v>
      </c>
      <c r="X589" s="121">
        <f>MouserListTable1218[[#This Row],[Tot '#]]*MouserListTable1218[[#This Row],[Price (USD)]]</f>
        <v>0</v>
      </c>
    </row>
    <row r="590" spans="1:24" s="146" customFormat="1" x14ac:dyDescent="0.3">
      <c r="A590" s="103" t="s">
        <v>17</v>
      </c>
      <c r="B590" s="103" t="s">
        <v>1613</v>
      </c>
      <c r="C590" s="103" t="s">
        <v>8</v>
      </c>
      <c r="D590" s="106" t="str">
        <f>IF(MouserListTable1218[[#This Row],[Vendor]]=FilterSpecs!$A$8,MouserListTable1218[[#This Row],[Mouser SKU]], MouserListTable1218[[#This Row],[Supplier SKU]])</f>
        <v>TOL-10602</v>
      </c>
      <c r="E590" s="121">
        <f>MouserListTable1218[[#This Row],[Tot '#]]-MouserListTable1218[[#This Row],['# Initial]]</f>
        <v>0</v>
      </c>
      <c r="F590" s="121">
        <f>MouserListTable1218[[#This Row],['#/Unit]]*FilterSpecs!$B$3+MouserListTable1218[[#This Row],[Extra Initial]]</f>
        <v>0</v>
      </c>
      <c r="G590" s="103" t="s">
        <v>862</v>
      </c>
      <c r="H590" s="103" t="s">
        <v>863</v>
      </c>
      <c r="I590" s="103" t="s">
        <v>864</v>
      </c>
      <c r="J590" s="103">
        <v>1</v>
      </c>
      <c r="K590" s="157">
        <v>3.95</v>
      </c>
      <c r="L590" s="103" t="s">
        <v>1914</v>
      </c>
      <c r="M590" s="106"/>
      <c r="N590" s="157">
        <f>MouserListTable1218[[#This Row],['# Initial]]*MouserListTable1218[[#This Row],[Price (USD)]]</f>
        <v>0</v>
      </c>
      <c r="O590" s="106" t="s">
        <v>861</v>
      </c>
      <c r="P590" s="103">
        <f t="shared" ref="P590:P608" si="13">IF($P589="List #",1,$P589+1)</f>
        <v>571</v>
      </c>
      <c r="Q590" s="103" t="s">
        <v>8</v>
      </c>
      <c r="R59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474-TOL-10602</v>
      </c>
      <c r="S590" s="121">
        <v>0</v>
      </c>
      <c r="T590" s="121">
        <v>0</v>
      </c>
      <c r="U590" s="121">
        <v>0</v>
      </c>
      <c r="V590" s="121">
        <f>MouserListTable1218[[#This Row],['#/Unit]]*FilterSpecs!$C$3+MouserListTable1218[[#This Row],[Extra]]</f>
        <v>0</v>
      </c>
      <c r="W590" s="121">
        <f>IF(MouserListTable1218[[#This Row],[Tag]]=FilterSpecs!$F$7,MouserListTable1218[[#This Row],[Price (USD)]],0)</f>
        <v>0</v>
      </c>
      <c r="X590" s="121">
        <f>MouserListTable1218[[#This Row],[Tot '#]]*MouserListTable1218[[#This Row],[Price (USD)]]</f>
        <v>0</v>
      </c>
    </row>
    <row r="591" spans="1:24" s="146" customFormat="1" x14ac:dyDescent="0.3">
      <c r="A591" s="103" t="s">
        <v>17</v>
      </c>
      <c r="B591" s="103" t="s">
        <v>1613</v>
      </c>
      <c r="C591" s="103" t="s">
        <v>8</v>
      </c>
      <c r="D591" s="106" t="str">
        <f>IF(MouserListTable1218[[#This Row],[Vendor]]=FilterSpecs!$A$8,MouserListTable1218[[#This Row],[Mouser SKU]], MouserListTable1218[[#This Row],[Supplier SKU]])</f>
        <v>TOL-12572</v>
      </c>
      <c r="E591" s="121">
        <f>MouserListTable1218[[#This Row],[Tot '#]]-MouserListTable1218[[#This Row],['# Initial]]</f>
        <v>0</v>
      </c>
      <c r="F591" s="121">
        <f>MouserListTable1218[[#This Row],['#/Unit]]*FilterSpecs!$B$3+MouserListTable1218[[#This Row],[Extra Initial]]</f>
        <v>0</v>
      </c>
      <c r="G591" s="103" t="s">
        <v>846</v>
      </c>
      <c r="H591" s="103" t="s">
        <v>847</v>
      </c>
      <c r="I591" s="103" t="s">
        <v>848</v>
      </c>
      <c r="J591" s="103">
        <v>1</v>
      </c>
      <c r="K591" s="157">
        <v>3.95</v>
      </c>
      <c r="L591" s="103" t="s">
        <v>1914</v>
      </c>
      <c r="M591" s="106"/>
      <c r="N591" s="157">
        <f>MouserListTable1218[[#This Row],['# Initial]]*MouserListTable1218[[#This Row],[Price (USD)]]</f>
        <v>0</v>
      </c>
      <c r="O591" s="106" t="s">
        <v>845</v>
      </c>
      <c r="P591" s="103">
        <f t="shared" si="13"/>
        <v>572</v>
      </c>
      <c r="Q591" s="103" t="s">
        <v>8</v>
      </c>
      <c r="R59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474-TOL-12572</v>
      </c>
      <c r="S591" s="121">
        <v>0</v>
      </c>
      <c r="T591" s="121">
        <v>0</v>
      </c>
      <c r="U591" s="121">
        <v>0</v>
      </c>
      <c r="V591" s="121">
        <f>MouserListTable1218[[#This Row],['#/Unit]]*FilterSpecs!$C$3+MouserListTable1218[[#This Row],[Extra]]</f>
        <v>0</v>
      </c>
      <c r="W591" s="121">
        <f>IF(MouserListTable1218[[#This Row],[Tag]]=FilterSpecs!$F$7,MouserListTable1218[[#This Row],[Price (USD)]],0)</f>
        <v>0</v>
      </c>
      <c r="X591" s="121">
        <f>MouserListTable1218[[#This Row],[Tot '#]]*MouserListTable1218[[#This Row],[Price (USD)]]</f>
        <v>0</v>
      </c>
    </row>
    <row r="592" spans="1:24" s="146" customFormat="1" x14ac:dyDescent="0.3">
      <c r="A592" s="103" t="s">
        <v>17</v>
      </c>
      <c r="B592" s="103" t="s">
        <v>1613</v>
      </c>
      <c r="C592" s="103" t="s">
        <v>8</v>
      </c>
      <c r="D592" s="106" t="str">
        <f>IF(MouserListTable1218[[#This Row],[Vendor]]=FilterSpecs!$A$8,MouserListTable1218[[#This Row],[Mouser SKU]], MouserListTable1218[[#This Row],[Supplier SKU]])</f>
        <v>TOL-08793</v>
      </c>
      <c r="E592" s="121">
        <f>MouserListTable1218[[#This Row],[Tot '#]]-MouserListTable1218[[#This Row],['# Initial]]</f>
        <v>1</v>
      </c>
      <c r="F592" s="121">
        <f>MouserListTable1218[[#This Row],['#/Unit]]*FilterSpecs!$B$3+MouserListTable1218[[#This Row],[Extra Initial]]</f>
        <v>0</v>
      </c>
      <c r="G592" s="103" t="s">
        <v>1647</v>
      </c>
      <c r="H592" s="103" t="s">
        <v>1648</v>
      </c>
      <c r="I592" s="103" t="s">
        <v>1649</v>
      </c>
      <c r="J592" s="103">
        <v>1</v>
      </c>
      <c r="K592" s="157">
        <v>1.95</v>
      </c>
      <c r="L592" s="103" t="s">
        <v>1914</v>
      </c>
      <c r="M592" s="106"/>
      <c r="N592" s="157">
        <f>MouserListTable1218[[#This Row],['# Initial]]*MouserListTable1218[[#This Row],[Price (USD)]]</f>
        <v>0</v>
      </c>
      <c r="O592" s="106" t="s">
        <v>1646</v>
      </c>
      <c r="P592" s="103">
        <f t="shared" si="13"/>
        <v>573</v>
      </c>
      <c r="Q592" s="103" t="s">
        <v>8</v>
      </c>
      <c r="R59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474-TOL-08793</v>
      </c>
      <c r="S592" s="121">
        <v>0</v>
      </c>
      <c r="T592" s="121">
        <v>1</v>
      </c>
      <c r="U592" s="121">
        <v>0</v>
      </c>
      <c r="V592" s="121">
        <f>MouserListTable1218[[#This Row],['#/Unit]]*FilterSpecs!$C$3+MouserListTable1218[[#This Row],[Extra]]</f>
        <v>1</v>
      </c>
      <c r="W592" s="121">
        <f>IF(MouserListTable1218[[#This Row],[Tag]]=FilterSpecs!$F$7,MouserListTable1218[[#This Row],[Price (USD)]],0)</f>
        <v>0</v>
      </c>
      <c r="X592" s="121">
        <f>MouserListTable1218[[#This Row],[Tot '#]]*MouserListTable1218[[#This Row],[Price (USD)]]</f>
        <v>1.95</v>
      </c>
    </row>
    <row r="593" spans="1:24" s="146" customFormat="1" x14ac:dyDescent="0.3">
      <c r="A593" s="128" t="s">
        <v>17</v>
      </c>
      <c r="B593" s="128" t="s">
        <v>1613</v>
      </c>
      <c r="C593" s="128" t="s">
        <v>1898</v>
      </c>
      <c r="D593" s="106" t="str">
        <f>IF(MouserListTable1218[[#This Row],[Vendor]]=FilterSpecs!$A$8,MouserListTable1218[[#This Row],[Mouser SKU]], MouserListTable1218[[#This Row],[Supplier SKU]])</f>
        <v>1368</v>
      </c>
      <c r="E593" s="121">
        <f>MouserListTable1218[[#This Row],[Tot '#]]-MouserListTable1218[[#This Row],['# Initial]]</f>
        <v>0</v>
      </c>
      <c r="F593" s="121">
        <f>MouserListTable1218[[#This Row],['#/Unit]]*FilterSpecs!$B$3+MouserListTable1218[[#This Row],[Extra Initial]]</f>
        <v>0</v>
      </c>
      <c r="I593" s="128" t="s">
        <v>2474</v>
      </c>
      <c r="J593" s="153">
        <v>113</v>
      </c>
      <c r="K593" s="159">
        <v>11.95</v>
      </c>
      <c r="L593" s="126" t="s">
        <v>1910</v>
      </c>
      <c r="N593" s="157">
        <f>MouserListTable1218[[#This Row],['# Initial]]*MouserListTable1218[[#This Row],[Price (USD)]]</f>
        <v>0</v>
      </c>
      <c r="O593" s="153" t="s">
        <v>2475</v>
      </c>
      <c r="P593" s="103">
        <f t="shared" si="13"/>
        <v>574</v>
      </c>
      <c r="Q593" s="103" t="s">
        <v>1898</v>
      </c>
      <c r="R59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485-1368</v>
      </c>
      <c r="S593" s="121">
        <v>0</v>
      </c>
      <c r="T593" s="121">
        <v>0</v>
      </c>
      <c r="U593" s="121">
        <v>0</v>
      </c>
      <c r="V593" s="121">
        <f>MouserListTable1218[[#This Row],['#/Unit]]*FilterSpecs!$C$3+MouserListTable1218[[#This Row],[Extra]]</f>
        <v>0</v>
      </c>
      <c r="W593" s="121">
        <f>IF(MouserListTable1218[[#This Row],[Tag]]=FilterSpecs!$F$7,MouserListTable1218[[#This Row],[Price (USD)]],0)</f>
        <v>0</v>
      </c>
      <c r="X593" s="121">
        <f>MouserListTable1218[[#This Row],[Tot '#]]*MouserListTable1218[[#This Row],[Price (USD)]]</f>
        <v>0</v>
      </c>
    </row>
    <row r="594" spans="1:24" s="146" customFormat="1" x14ac:dyDescent="0.3">
      <c r="A594" s="128" t="s">
        <v>17</v>
      </c>
      <c r="B594" s="128" t="s">
        <v>1613</v>
      </c>
      <c r="C594" s="128" t="s">
        <v>1898</v>
      </c>
      <c r="D594" s="106" t="str">
        <f>IF(MouserListTable1218[[#This Row],[Vendor]]=FilterSpecs!$A$8,MouserListTable1218[[#This Row],[Mouser SKU]], MouserListTable1218[[#This Row],[Supplier SKU]])</f>
        <v>1598</v>
      </c>
      <c r="E594" s="121">
        <f>MouserListTable1218[[#This Row],[Tot '#]]-MouserListTable1218[[#This Row],['# Initial]]</f>
        <v>0</v>
      </c>
      <c r="F594" s="121">
        <f>MouserListTable1218[[#This Row],['#/Unit]]*FilterSpecs!$B$3+MouserListTable1218[[#This Row],[Extra Initial]]</f>
        <v>0</v>
      </c>
      <c r="I594" s="128" t="s">
        <v>2472</v>
      </c>
      <c r="J594" s="153">
        <v>112</v>
      </c>
      <c r="K594" s="159">
        <v>14.95</v>
      </c>
      <c r="L594" s="126" t="s">
        <v>1910</v>
      </c>
      <c r="N594" s="157">
        <f>MouserListTable1218[[#This Row],['# Initial]]*MouserListTable1218[[#This Row],[Price (USD)]]</f>
        <v>0</v>
      </c>
      <c r="O594" s="153" t="s">
        <v>2473</v>
      </c>
      <c r="P594" s="103">
        <f t="shared" si="13"/>
        <v>575</v>
      </c>
      <c r="Q594" s="103" t="s">
        <v>1898</v>
      </c>
      <c r="R59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485-1598</v>
      </c>
      <c r="S594" s="121">
        <v>0</v>
      </c>
      <c r="T594" s="121">
        <v>0</v>
      </c>
      <c r="U594" s="121">
        <v>0</v>
      </c>
      <c r="V594" s="121">
        <f>MouserListTable1218[[#This Row],['#/Unit]]*FilterSpecs!$C$3+MouserListTable1218[[#This Row],[Extra]]</f>
        <v>0</v>
      </c>
      <c r="W594" s="121">
        <f>IF(MouserListTable1218[[#This Row],[Tag]]=FilterSpecs!$F$7,MouserListTable1218[[#This Row],[Price (USD)]],0)</f>
        <v>0</v>
      </c>
      <c r="X594" s="121">
        <f>MouserListTable1218[[#This Row],[Tot '#]]*MouserListTable1218[[#This Row],[Price (USD)]]</f>
        <v>0</v>
      </c>
    </row>
    <row r="595" spans="1:24" s="146" customFormat="1" x14ac:dyDescent="0.3">
      <c r="A595" s="103" t="s">
        <v>17</v>
      </c>
      <c r="B595" s="103" t="s">
        <v>1613</v>
      </c>
      <c r="C595" s="103" t="s">
        <v>8</v>
      </c>
      <c r="D595" s="106" t="str">
        <f>IF(MouserListTable1218[[#This Row],[Vendor]]=FilterSpecs!$A$8,MouserListTable1218[[#This Row],[Mouser SKU]], MouserListTable1218[[#This Row],[Supplier SKU]])</f>
        <v>TOL-12630</v>
      </c>
      <c r="E595" s="121">
        <f>MouserListTable1218[[#This Row],[Tot '#]]-MouserListTable1218[[#This Row],['# Initial]]</f>
        <v>1</v>
      </c>
      <c r="F595" s="121">
        <f>MouserListTable1218[[#This Row],['#/Unit]]*FilterSpecs!$B$3+MouserListTable1218[[#This Row],[Extra Initial]]</f>
        <v>0</v>
      </c>
      <c r="G595" s="103" t="s">
        <v>2446</v>
      </c>
      <c r="H595" s="103" t="s">
        <v>2447</v>
      </c>
      <c r="I595" s="103" t="s">
        <v>2448</v>
      </c>
      <c r="J595" s="103">
        <v>1</v>
      </c>
      <c r="K595" s="157">
        <v>9.9499999999999993</v>
      </c>
      <c r="L595" s="103" t="s">
        <v>1914</v>
      </c>
      <c r="M595" s="103"/>
      <c r="N595" s="157">
        <f>MouserListTable1218[[#This Row],['# Initial]]*MouserListTable1218[[#This Row],[Price (USD)]]</f>
        <v>0</v>
      </c>
      <c r="O595" s="106" t="s">
        <v>2445</v>
      </c>
      <c r="P595" s="103">
        <f t="shared" si="13"/>
        <v>576</v>
      </c>
      <c r="Q595" s="103" t="s">
        <v>8</v>
      </c>
      <c r="R59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474-TOL-12630</v>
      </c>
      <c r="S595" s="121">
        <v>0</v>
      </c>
      <c r="T595" s="121">
        <v>1</v>
      </c>
      <c r="U595" s="121">
        <v>0</v>
      </c>
      <c r="V595" s="121">
        <f>MouserListTable1218[[#This Row],['#/Unit]]*FilterSpecs!$C$3+MouserListTable1218[[#This Row],[Extra]]</f>
        <v>1</v>
      </c>
      <c r="W595" s="121">
        <f>IF(MouserListTable1218[[#This Row],[Tag]]=FilterSpecs!$F$7,MouserListTable1218[[#This Row],[Price (USD)]],0)</f>
        <v>0</v>
      </c>
      <c r="X595" s="121">
        <f>MouserListTable1218[[#This Row],[Tot '#]]*MouserListTable1218[[#This Row],[Price (USD)]]</f>
        <v>9.9499999999999993</v>
      </c>
    </row>
    <row r="596" spans="1:24" s="146" customFormat="1" x14ac:dyDescent="0.3">
      <c r="A596" s="128" t="s">
        <v>17</v>
      </c>
      <c r="B596" s="128" t="s">
        <v>1613</v>
      </c>
      <c r="C596" s="128" t="s">
        <v>1898</v>
      </c>
      <c r="D596" s="106" t="str">
        <f>IF(MouserListTable1218[[#This Row],[Vendor]]=FilterSpecs!$A$8,MouserListTable1218[[#This Row],[Mouser SKU]], MouserListTable1218[[#This Row],[Supplier SKU]])</f>
        <v>527</v>
      </c>
      <c r="E596" s="121">
        <f>MouserListTable1218[[#This Row],[Tot '#]]-MouserListTable1218[[#This Row],['# Initial]]</f>
        <v>0</v>
      </c>
      <c r="F596" s="121">
        <f>MouserListTable1218[[#This Row],['#/Unit]]*FilterSpecs!$B$3+MouserListTable1218[[#This Row],[Extra Initial]]</f>
        <v>0</v>
      </c>
      <c r="I596" s="128" t="s">
        <v>2470</v>
      </c>
      <c r="J596" s="153">
        <v>111</v>
      </c>
      <c r="K596" s="159">
        <v>14.95</v>
      </c>
      <c r="L596" s="126" t="s">
        <v>1910</v>
      </c>
      <c r="N596" s="157">
        <f>MouserListTable1218[[#This Row],['# Initial]]*MouserListTable1218[[#This Row],[Price (USD)]]</f>
        <v>0</v>
      </c>
      <c r="O596" s="153" t="s">
        <v>2471</v>
      </c>
      <c r="P596" s="103">
        <f t="shared" si="13"/>
        <v>577</v>
      </c>
      <c r="Q596" s="103" t="s">
        <v>1898</v>
      </c>
      <c r="R59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485-527</v>
      </c>
      <c r="S596" s="121">
        <v>0</v>
      </c>
      <c r="T596" s="121">
        <v>0</v>
      </c>
      <c r="U596" s="121">
        <v>0</v>
      </c>
      <c r="V596" s="121">
        <f>MouserListTable1218[[#This Row],['#/Unit]]*FilterSpecs!$C$3+MouserListTable1218[[#This Row],[Extra]]</f>
        <v>0</v>
      </c>
      <c r="W596" s="121">
        <f>IF(MouserListTable1218[[#This Row],[Tag]]=FilterSpecs!$F$7,MouserListTable1218[[#This Row],[Price (USD)]],0)</f>
        <v>0</v>
      </c>
      <c r="X596" s="121">
        <f>MouserListTable1218[[#This Row],[Tot '#]]*MouserListTable1218[[#This Row],[Price (USD)]]</f>
        <v>0</v>
      </c>
    </row>
    <row r="597" spans="1:24" s="146" customFormat="1" x14ac:dyDescent="0.3">
      <c r="A597" s="103" t="s">
        <v>17</v>
      </c>
      <c r="B597" s="103" t="s">
        <v>1613</v>
      </c>
      <c r="C597" s="103" t="s">
        <v>8</v>
      </c>
      <c r="D597" s="106" t="str">
        <f>IF(MouserListTable1218[[#This Row],[Vendor]]=FilterSpecs!$A$8,MouserListTable1218[[#This Row],[Mouser SKU]], MouserListTable1218[[#This Row],[Supplier SKU]])</f>
        <v>TOL-08794</v>
      </c>
      <c r="E597" s="121">
        <f>MouserListTable1218[[#This Row],[Tot '#]]-MouserListTable1218[[#This Row],['# Initial]]</f>
        <v>1</v>
      </c>
      <c r="F597" s="121">
        <f>MouserListTable1218[[#This Row],['#/Unit]]*FilterSpecs!$B$3+MouserListTable1218[[#This Row],[Extra Initial]]</f>
        <v>0</v>
      </c>
      <c r="G597" s="103" t="s">
        <v>842</v>
      </c>
      <c r="H597" s="103" t="s">
        <v>843</v>
      </c>
      <c r="I597" s="103" t="s">
        <v>844</v>
      </c>
      <c r="J597" s="103">
        <v>1</v>
      </c>
      <c r="K597" s="157">
        <v>1.95</v>
      </c>
      <c r="L597" s="103" t="s">
        <v>1914</v>
      </c>
      <c r="M597" s="103"/>
      <c r="N597" s="157">
        <f>MouserListTable1218[[#This Row],['# Initial]]*MouserListTable1218[[#This Row],[Price (USD)]]</f>
        <v>0</v>
      </c>
      <c r="O597" s="106" t="s">
        <v>841</v>
      </c>
      <c r="P597" s="103">
        <f t="shared" si="13"/>
        <v>578</v>
      </c>
      <c r="Q597" s="103" t="s">
        <v>8</v>
      </c>
      <c r="R59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474-TOL-08794</v>
      </c>
      <c r="S597" s="121">
        <v>0</v>
      </c>
      <c r="T597" s="121">
        <v>1</v>
      </c>
      <c r="U597" s="121">
        <v>0</v>
      </c>
      <c r="V597" s="121">
        <f>MouserListTable1218[[#This Row],['#/Unit]]*FilterSpecs!$C$3+MouserListTable1218[[#This Row],[Extra]]</f>
        <v>1</v>
      </c>
      <c r="W597" s="121">
        <f>IF(MouserListTable1218[[#This Row],[Tag]]=FilterSpecs!$F$7,MouserListTable1218[[#This Row],[Price (USD)]],0)</f>
        <v>0</v>
      </c>
      <c r="X597" s="121">
        <f>MouserListTable1218[[#This Row],[Tot '#]]*MouserListTable1218[[#This Row],[Price (USD)]]</f>
        <v>1.95</v>
      </c>
    </row>
    <row r="598" spans="1:24" s="146" customFormat="1" x14ac:dyDescent="0.3">
      <c r="A598" s="126" t="s">
        <v>17</v>
      </c>
      <c r="B598" s="126" t="s">
        <v>1613</v>
      </c>
      <c r="C598" s="126" t="s">
        <v>8</v>
      </c>
      <c r="D598" s="106" t="str">
        <f>IF(MouserListTable1218[[#This Row],[Vendor]]=FilterSpecs!$A$8,MouserListTable1218[[#This Row],[Mouser SKU]], MouserListTable1218[[#This Row],[Supplier SKU]])</f>
        <v>TOL-11952</v>
      </c>
      <c r="E598" s="121">
        <f>MouserListTable1218[[#This Row],[Tot '#]]-MouserListTable1218[[#This Row],['# Initial]]</f>
        <v>0</v>
      </c>
      <c r="F598" s="121">
        <f>MouserListTable1218[[#This Row],['#/Unit]]*FilterSpecs!$B$3+MouserListTable1218[[#This Row],[Extra Initial]]</f>
        <v>0</v>
      </c>
      <c r="G598" s="103" t="s">
        <v>878</v>
      </c>
      <c r="H598" s="103" t="s">
        <v>879</v>
      </c>
      <c r="I598" s="103" t="s">
        <v>880</v>
      </c>
      <c r="J598" s="103">
        <v>1</v>
      </c>
      <c r="K598" s="157">
        <v>6.95</v>
      </c>
      <c r="L598" s="103" t="s">
        <v>1914</v>
      </c>
      <c r="M598" s="103" t="s">
        <v>1209</v>
      </c>
      <c r="N598" s="157">
        <f>MouserListTable1218[[#This Row],['# Initial]]*MouserListTable1218[[#This Row],[Price (USD)]]</f>
        <v>0</v>
      </c>
      <c r="O598" s="106" t="s">
        <v>877</v>
      </c>
      <c r="P598" s="103">
        <f t="shared" si="13"/>
        <v>579</v>
      </c>
      <c r="Q598" s="103" t="s">
        <v>8</v>
      </c>
      <c r="R59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474-TOL-11952</v>
      </c>
      <c r="S598" s="121">
        <v>0</v>
      </c>
      <c r="T598" s="121">
        <v>0</v>
      </c>
      <c r="U598" s="121">
        <v>0</v>
      </c>
      <c r="V598" s="121">
        <f>MouserListTable1218[[#This Row],['#/Unit]]*FilterSpecs!$C$3+MouserListTable1218[[#This Row],[Extra]]</f>
        <v>0</v>
      </c>
      <c r="W598" s="121">
        <f>IF(MouserListTable1218[[#This Row],[Tag]]=FilterSpecs!$F$7,MouserListTable1218[[#This Row],[Price (USD)]],0)</f>
        <v>0</v>
      </c>
      <c r="X598" s="121">
        <f>MouserListTable1218[[#This Row],[Tot '#]]*MouserListTable1218[[#This Row],[Price (USD)]]</f>
        <v>0</v>
      </c>
    </row>
    <row r="599" spans="1:24" s="146" customFormat="1" x14ac:dyDescent="0.3">
      <c r="A599" s="103" t="s">
        <v>17</v>
      </c>
      <c r="B599" s="103" t="s">
        <v>1613</v>
      </c>
      <c r="C599" s="103" t="s">
        <v>8</v>
      </c>
      <c r="D599" s="106" t="str">
        <f>IF(MouserListTable1218[[#This Row],[Vendor]]=FilterSpecs!$A$8,MouserListTable1218[[#This Row],[Mouser SKU]], MouserListTable1218[[#This Row],[Supplier SKU]])</f>
        <v>TOL-09200</v>
      </c>
      <c r="E599" s="121">
        <f>MouserListTable1218[[#This Row],[Tot '#]]-MouserListTable1218[[#This Row],['# Initial]]</f>
        <v>0</v>
      </c>
      <c r="F599" s="121">
        <f>MouserListTable1218[[#This Row],['#/Unit]]*FilterSpecs!$B$3+MouserListTable1218[[#This Row],[Extra Initial]]</f>
        <v>1</v>
      </c>
      <c r="G599" s="103" t="s">
        <v>866</v>
      </c>
      <c r="H599" s="103" t="s">
        <v>867</v>
      </c>
      <c r="I599" s="103" t="s">
        <v>868</v>
      </c>
      <c r="J599" s="103">
        <v>1</v>
      </c>
      <c r="K599" s="157">
        <v>2.95</v>
      </c>
      <c r="L599" s="103" t="s">
        <v>1914</v>
      </c>
      <c r="M599" s="106"/>
      <c r="N599" s="157">
        <f>MouserListTable1218[[#This Row],['# Initial]]*MouserListTable1218[[#This Row],[Price (USD)]]</f>
        <v>2.95</v>
      </c>
      <c r="O599" s="106" t="s">
        <v>865</v>
      </c>
      <c r="P599" s="103">
        <f t="shared" si="13"/>
        <v>580</v>
      </c>
      <c r="Q599" s="103" t="s">
        <v>8</v>
      </c>
      <c r="R599"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474-TOL-09200</v>
      </c>
      <c r="S599" s="121">
        <v>0</v>
      </c>
      <c r="T599" s="121">
        <v>1</v>
      </c>
      <c r="U599" s="121">
        <v>1</v>
      </c>
      <c r="V599" s="121">
        <f>MouserListTable1218[[#This Row],['#/Unit]]*FilterSpecs!$C$3+MouserListTable1218[[#This Row],[Extra]]</f>
        <v>1</v>
      </c>
      <c r="W599" s="121">
        <f>IF(MouserListTable1218[[#This Row],[Tag]]=FilterSpecs!$F$7,MouserListTable1218[[#This Row],[Price (USD)]],0)</f>
        <v>0</v>
      </c>
      <c r="X599" s="121">
        <f>MouserListTable1218[[#This Row],[Tot '#]]*MouserListTable1218[[#This Row],[Price (USD)]]</f>
        <v>2.95</v>
      </c>
    </row>
    <row r="600" spans="1:24" s="146" customFormat="1" x14ac:dyDescent="0.3">
      <c r="A600" s="103" t="s">
        <v>17</v>
      </c>
      <c r="B600" s="103" t="s">
        <v>1613</v>
      </c>
      <c r="C600" s="103" t="s">
        <v>8</v>
      </c>
      <c r="D600" s="106" t="str">
        <f>IF(MouserListTable1218[[#This Row],[Vendor]]=FilterSpecs!$A$8,MouserListTable1218[[#This Row],[Mouser SKU]], MouserListTable1218[[#This Row],[Supplier SKU]])</f>
        <v>TOL-10325</v>
      </c>
      <c r="E600" s="121">
        <f>MouserListTable1218[[#This Row],[Tot '#]]-MouserListTable1218[[#This Row],['# Initial]]</f>
        <v>0</v>
      </c>
      <c r="F600" s="121">
        <f>MouserListTable1218[[#This Row],['#/Unit]]*FilterSpecs!$B$3+MouserListTable1218[[#This Row],[Extra Initial]]</f>
        <v>1</v>
      </c>
      <c r="G600" s="103" t="s">
        <v>1177</v>
      </c>
      <c r="H600" s="103" t="s">
        <v>1178</v>
      </c>
      <c r="I600" s="103" t="s">
        <v>1179</v>
      </c>
      <c r="J600" s="103"/>
      <c r="K600" s="157">
        <v>1.95</v>
      </c>
      <c r="L600" s="103" t="s">
        <v>1914</v>
      </c>
      <c r="M600" s="106"/>
      <c r="N600" s="157">
        <f>MouserListTable1218[[#This Row],['# Initial]]*MouserListTable1218[[#This Row],[Price (USD)]]</f>
        <v>1.95</v>
      </c>
      <c r="O600" s="106" t="s">
        <v>1176</v>
      </c>
      <c r="P600" s="103">
        <f t="shared" si="13"/>
        <v>581</v>
      </c>
      <c r="Q600" s="103" t="s">
        <v>8</v>
      </c>
      <c r="R600"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474-TOL-10325</v>
      </c>
      <c r="S600" s="121">
        <v>0</v>
      </c>
      <c r="T600" s="121">
        <v>1</v>
      </c>
      <c r="U600" s="121">
        <v>1</v>
      </c>
      <c r="V600" s="121">
        <f>MouserListTable1218[[#This Row],['#/Unit]]*FilterSpecs!$C$3+MouserListTable1218[[#This Row],[Extra]]</f>
        <v>1</v>
      </c>
      <c r="W600" s="121">
        <f>IF(MouserListTable1218[[#This Row],[Tag]]=FilterSpecs!$F$7,MouserListTable1218[[#This Row],[Price (USD)]],0)</f>
        <v>0</v>
      </c>
      <c r="X600" s="121">
        <f>MouserListTable1218[[#This Row],[Tot '#]]*MouserListTable1218[[#This Row],[Price (USD)]]</f>
        <v>1.95</v>
      </c>
    </row>
    <row r="601" spans="1:24" s="146" customFormat="1" x14ac:dyDescent="0.3">
      <c r="A601" s="103" t="s">
        <v>17</v>
      </c>
      <c r="B601" s="103" t="s">
        <v>1613</v>
      </c>
      <c r="C601" s="103" t="s">
        <v>8</v>
      </c>
      <c r="D601" s="106" t="str">
        <f>IF(MouserListTable1218[[#This Row],[Vendor]]=FilterSpecs!$A$8,MouserListTable1218[[#This Row],[Mouser SKU]], MouserListTable1218[[#This Row],[Supplier SKU]])</f>
        <v>TOL-13114</v>
      </c>
      <c r="E601" s="121">
        <f>MouserListTable1218[[#This Row],[Tot '#]]-MouserListTable1218[[#This Row],['# Initial]]</f>
        <v>0</v>
      </c>
      <c r="F601" s="121">
        <f>MouserListTable1218[[#This Row],['#/Unit]]*FilterSpecs!$B$3+MouserListTable1218[[#This Row],[Extra Initial]]</f>
        <v>1</v>
      </c>
      <c r="G601" s="103" t="s">
        <v>834</v>
      </c>
      <c r="H601" s="103" t="s">
        <v>835</v>
      </c>
      <c r="I601" s="103" t="s">
        <v>836</v>
      </c>
      <c r="J601" s="103"/>
      <c r="K601" s="157">
        <v>4.8</v>
      </c>
      <c r="L601" s="103" t="s">
        <v>1914</v>
      </c>
      <c r="M601" s="106"/>
      <c r="N601" s="157">
        <f>MouserListTable1218[[#This Row],['# Initial]]*MouserListTable1218[[#This Row],[Price (USD)]]</f>
        <v>4.8</v>
      </c>
      <c r="O601" s="106" t="s">
        <v>833</v>
      </c>
      <c r="P601" s="103">
        <f t="shared" si="13"/>
        <v>582</v>
      </c>
      <c r="Q601" s="103" t="s">
        <v>8</v>
      </c>
      <c r="R601"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474-TOL-13114</v>
      </c>
      <c r="S601" s="121">
        <v>0</v>
      </c>
      <c r="T601" s="121">
        <v>1</v>
      </c>
      <c r="U601" s="121">
        <v>1</v>
      </c>
      <c r="V601" s="121">
        <f>MouserListTable1218[[#This Row],['#/Unit]]*FilterSpecs!$C$3+MouserListTable1218[[#This Row],[Extra]]</f>
        <v>1</v>
      </c>
      <c r="W601" s="121">
        <f>IF(MouserListTable1218[[#This Row],[Tag]]=FilterSpecs!$F$7,MouserListTable1218[[#This Row],[Price (USD)]],0)</f>
        <v>0</v>
      </c>
      <c r="X601" s="121">
        <f>MouserListTable1218[[#This Row],[Tot '#]]*MouserListTable1218[[#This Row],[Price (USD)]]</f>
        <v>4.8</v>
      </c>
    </row>
    <row r="602" spans="1:24" s="146" customFormat="1" x14ac:dyDescent="0.3">
      <c r="A602" s="126" t="s">
        <v>17</v>
      </c>
      <c r="B602" s="126" t="s">
        <v>1654</v>
      </c>
      <c r="C602" s="126" t="s">
        <v>8</v>
      </c>
      <c r="D602" s="106" t="str">
        <f>IF(MouserListTable1218[[#This Row],[Vendor]]=FilterSpecs!$A$8,MouserListTable1218[[#This Row],[Mouser SKU]], MouserListTable1218[[#This Row],[Supplier SKU]])</f>
        <v>TOL-11528</v>
      </c>
      <c r="E602" s="121">
        <f>MouserListTable1218[[#This Row],[Tot '#]]-MouserListTable1218[[#This Row],['# Initial]]</f>
        <v>0</v>
      </c>
      <c r="F602" s="121">
        <f>MouserListTable1218[[#This Row],['#/Unit]]*FilterSpecs!$B$3+MouserListTable1218[[#This Row],[Extra Initial]]</f>
        <v>0</v>
      </c>
      <c r="G602" s="103" t="s">
        <v>1631</v>
      </c>
      <c r="H602" s="103" t="s">
        <v>1632</v>
      </c>
      <c r="I602" s="103" t="s">
        <v>1633</v>
      </c>
      <c r="J602" s="103"/>
      <c r="K602" s="157">
        <v>3.95</v>
      </c>
      <c r="L602" s="103" t="s">
        <v>1910</v>
      </c>
      <c r="N602" s="157">
        <f>MouserListTable1218[[#This Row],['# Initial]]*MouserListTable1218[[#This Row],[Price (USD)]]</f>
        <v>0</v>
      </c>
      <c r="O602" s="106" t="s">
        <v>1630</v>
      </c>
      <c r="P602" s="103">
        <f t="shared" si="13"/>
        <v>583</v>
      </c>
      <c r="Q602" s="103" t="s">
        <v>8</v>
      </c>
      <c r="R602"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474-TOL-11528</v>
      </c>
      <c r="S602" s="121">
        <v>0</v>
      </c>
      <c r="T602" s="121">
        <v>0</v>
      </c>
      <c r="U602" s="121">
        <v>0</v>
      </c>
      <c r="V602" s="121">
        <f>MouserListTable1218[[#This Row],['#/Unit]]*FilterSpecs!$C$3+MouserListTable1218[[#This Row],[Extra]]</f>
        <v>0</v>
      </c>
      <c r="W602" s="121">
        <f>IF(MouserListTable1218[[#This Row],[Tag]]=FilterSpecs!$F$7,MouserListTable1218[[#This Row],[Price (USD)]],0)</f>
        <v>0</v>
      </c>
      <c r="X602" s="121">
        <f>MouserListTable1218[[#This Row],[Tot '#]]*MouserListTable1218[[#This Row],[Price (USD)]]</f>
        <v>0</v>
      </c>
    </row>
    <row r="603" spans="1:24" s="146" customFormat="1" x14ac:dyDescent="0.3">
      <c r="A603" s="126" t="s">
        <v>17</v>
      </c>
      <c r="B603" s="126" t="s">
        <v>1654</v>
      </c>
      <c r="C603" s="126" t="s">
        <v>8</v>
      </c>
      <c r="D603" s="106" t="str">
        <f>IF(MouserListTable1218[[#This Row],[Vendor]]=FilterSpecs!$A$8,MouserListTable1218[[#This Row],[Mouser SKU]], MouserListTable1218[[#This Row],[Supplier SKU]])</f>
        <v>TOL-11527</v>
      </c>
      <c r="E603" s="121">
        <f>MouserListTable1218[[#This Row],[Tot '#]]-MouserListTable1218[[#This Row],['# Initial]]</f>
        <v>0</v>
      </c>
      <c r="F603" s="121">
        <f>MouserListTable1218[[#This Row],['#/Unit]]*FilterSpecs!$B$3+MouserListTable1218[[#This Row],[Extra Initial]]</f>
        <v>0</v>
      </c>
      <c r="G603" s="103" t="s">
        <v>1635</v>
      </c>
      <c r="H603" s="103" t="s">
        <v>1636</v>
      </c>
      <c r="I603" s="103" t="s">
        <v>1637</v>
      </c>
      <c r="J603" s="103"/>
      <c r="K603" s="157">
        <v>3.95</v>
      </c>
      <c r="L603" s="103" t="s">
        <v>1910</v>
      </c>
      <c r="N603" s="157">
        <f>MouserListTable1218[[#This Row],['# Initial]]*MouserListTable1218[[#This Row],[Price (USD)]]</f>
        <v>0</v>
      </c>
      <c r="O603" s="106" t="s">
        <v>1634</v>
      </c>
      <c r="P603" s="103">
        <f t="shared" si="13"/>
        <v>584</v>
      </c>
      <c r="Q603" s="103" t="s">
        <v>8</v>
      </c>
      <c r="R603"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474-TOL-11527</v>
      </c>
      <c r="S603" s="121">
        <v>0</v>
      </c>
      <c r="T603" s="121">
        <v>0</v>
      </c>
      <c r="U603" s="121">
        <v>0</v>
      </c>
      <c r="V603" s="121">
        <f>MouserListTable1218[[#This Row],['#/Unit]]*FilterSpecs!$C$3+MouserListTable1218[[#This Row],[Extra]]</f>
        <v>0</v>
      </c>
      <c r="W603" s="121">
        <f>IF(MouserListTable1218[[#This Row],[Tag]]=FilterSpecs!$F$7,MouserListTable1218[[#This Row],[Price (USD)]],0)</f>
        <v>0</v>
      </c>
      <c r="X603" s="121">
        <f>MouserListTable1218[[#This Row],[Tot '#]]*MouserListTable1218[[#This Row],[Price (USD)]]</f>
        <v>0</v>
      </c>
    </row>
    <row r="604" spans="1:24" s="144" customFormat="1" x14ac:dyDescent="0.3">
      <c r="A604" s="103" t="s">
        <v>17</v>
      </c>
      <c r="B604" s="103" t="s">
        <v>1654</v>
      </c>
      <c r="C604" s="103" t="s">
        <v>1898</v>
      </c>
      <c r="D604" s="106" t="str">
        <f>IF(MouserListTable1218[[#This Row],[Vendor]]=FilterSpecs!$A$8,MouserListTable1218[[#This Row],[Mouser SKU]], MouserListTable1218[[#This Row],[Supplier SKU]])</f>
        <v>2938</v>
      </c>
      <c r="E604" s="121">
        <f>MouserListTable1218[[#This Row],[Tot '#]]-MouserListTable1218[[#This Row],['# Initial]]</f>
        <v>0</v>
      </c>
      <c r="F604" s="121">
        <f>MouserListTable1218[[#This Row],['#/Unit]]*FilterSpecs!$B$3+MouserListTable1218[[#This Row],[Extra Initial]]</f>
        <v>0</v>
      </c>
      <c r="G604" s="103"/>
      <c r="H604" s="103"/>
      <c r="I604" s="126" t="s">
        <v>2086</v>
      </c>
      <c r="J604" s="146"/>
      <c r="K604" s="158">
        <v>2.5</v>
      </c>
      <c r="L604" s="126" t="s">
        <v>1910</v>
      </c>
      <c r="M604" s="146"/>
      <c r="N604" s="157">
        <f>MouserListTable1218[[#This Row],['# Initial]]*MouserListTable1218[[#This Row],[Price (USD)]]</f>
        <v>0</v>
      </c>
      <c r="O604" s="106" t="s">
        <v>2087</v>
      </c>
      <c r="P604" s="103">
        <f t="shared" si="13"/>
        <v>585</v>
      </c>
      <c r="Q604" s="103" t="s">
        <v>1898</v>
      </c>
      <c r="R604"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485-2938</v>
      </c>
      <c r="S604" s="121">
        <v>0</v>
      </c>
      <c r="T604" s="121">
        <v>0</v>
      </c>
      <c r="U604" s="121">
        <v>0</v>
      </c>
      <c r="V604" s="121">
        <f>MouserListTable1218[[#This Row],['#/Unit]]*FilterSpecs!$C$3+MouserListTable1218[[#This Row],[Extra]]</f>
        <v>0</v>
      </c>
      <c r="W604" s="121">
        <f>IF(MouserListTable1218[[#This Row],[Tag]]=FilterSpecs!$F$7,MouserListTable1218[[#This Row],[Price (USD)]],0)</f>
        <v>0</v>
      </c>
      <c r="X604" s="121">
        <f>MouserListTable1218[[#This Row],[Tot '#]]*MouserListTable1218[[#This Row],[Price (USD)]]</f>
        <v>0</v>
      </c>
    </row>
    <row r="605" spans="1:24" s="144" customFormat="1" x14ac:dyDescent="0.3">
      <c r="A605" s="103" t="s">
        <v>17</v>
      </c>
      <c r="B605" s="103" t="s">
        <v>1654</v>
      </c>
      <c r="C605" s="103" t="s">
        <v>1898</v>
      </c>
      <c r="D605" s="106" t="str">
        <f>IF(MouserListTable1218[[#This Row],[Vendor]]=FilterSpecs!$A$8,MouserListTable1218[[#This Row],[Mouser SKU]], MouserListTable1218[[#This Row],[Supplier SKU]])</f>
        <v>433</v>
      </c>
      <c r="E605" s="121">
        <f>MouserListTable1218[[#This Row],[Tot '#]]-MouserListTable1218[[#This Row],['# Initial]]</f>
        <v>0</v>
      </c>
      <c r="F605" s="121">
        <f>MouserListTable1218[[#This Row],['#/Unit]]*FilterSpecs!$B$3+MouserListTable1218[[#This Row],[Extra Initial]]</f>
        <v>1</v>
      </c>
      <c r="G605" s="103"/>
      <c r="H605" s="103"/>
      <c r="I605" s="103" t="s">
        <v>2084</v>
      </c>
      <c r="J605" s="146"/>
      <c r="K605" s="157">
        <v>2.95</v>
      </c>
      <c r="L605" s="103" t="s">
        <v>1910</v>
      </c>
      <c r="M605" s="106"/>
      <c r="N605" s="157">
        <f>MouserListTable1218[[#This Row],['# Initial]]*MouserListTable1218[[#This Row],[Price (USD)]]</f>
        <v>2.95</v>
      </c>
      <c r="O605" s="106" t="s">
        <v>2085</v>
      </c>
      <c r="P605" s="103">
        <f t="shared" si="13"/>
        <v>586</v>
      </c>
      <c r="Q605" s="103" t="s">
        <v>1898</v>
      </c>
      <c r="R605"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485-433</v>
      </c>
      <c r="S605" s="121">
        <v>0</v>
      </c>
      <c r="T605" s="121">
        <v>1</v>
      </c>
      <c r="U605" s="121">
        <v>1</v>
      </c>
      <c r="V605" s="121">
        <f>MouserListTable1218[[#This Row],['#/Unit]]*FilterSpecs!$C$3+MouserListTable1218[[#This Row],[Extra]]</f>
        <v>1</v>
      </c>
      <c r="W605" s="121">
        <f>IF(MouserListTable1218[[#This Row],[Tag]]=FilterSpecs!$F$7,MouserListTable1218[[#This Row],[Price (USD)]],0)</f>
        <v>0</v>
      </c>
      <c r="X605" s="121">
        <f>MouserListTable1218[[#This Row],[Tot '#]]*MouserListTable1218[[#This Row],[Price (USD)]]</f>
        <v>2.95</v>
      </c>
    </row>
    <row r="606" spans="1:24" s="144" customFormat="1" x14ac:dyDescent="0.3">
      <c r="A606" s="103" t="s">
        <v>17</v>
      </c>
      <c r="B606" s="103" t="s">
        <v>1654</v>
      </c>
      <c r="C606" s="103" t="s">
        <v>1898</v>
      </c>
      <c r="D606" s="106" t="str">
        <f>IF(MouserListTable1218[[#This Row],[Vendor]]=FilterSpecs!$A$8,MouserListTable1218[[#This Row],[Mouser SKU]], MouserListTable1218[[#This Row],[Supplier SKU]])</f>
        <v>432</v>
      </c>
      <c r="E606" s="121">
        <f>MouserListTable1218[[#This Row],[Tot '#]]-MouserListTable1218[[#This Row],['# Initial]]</f>
        <v>0</v>
      </c>
      <c r="F606" s="121">
        <f>MouserListTable1218[[#This Row],['#/Unit]]*FilterSpecs!$B$3+MouserListTable1218[[#This Row],[Extra Initial]]</f>
        <v>1</v>
      </c>
      <c r="G606" s="103"/>
      <c r="H606" s="103"/>
      <c r="I606" s="103" t="s">
        <v>2080</v>
      </c>
      <c r="J606" s="146"/>
      <c r="K606" s="157">
        <v>2.95</v>
      </c>
      <c r="L606" s="103" t="s">
        <v>1910</v>
      </c>
      <c r="M606" s="106"/>
      <c r="N606" s="157">
        <f>MouserListTable1218[[#This Row],['# Initial]]*MouserListTable1218[[#This Row],[Price (USD)]]</f>
        <v>2.95</v>
      </c>
      <c r="O606" s="106" t="s">
        <v>2081</v>
      </c>
      <c r="P606" s="103">
        <f t="shared" si="13"/>
        <v>587</v>
      </c>
      <c r="Q606" s="103" t="s">
        <v>1898</v>
      </c>
      <c r="R606"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485-432</v>
      </c>
      <c r="S606" s="121">
        <v>0</v>
      </c>
      <c r="T606" s="121">
        <v>1</v>
      </c>
      <c r="U606" s="121">
        <v>1</v>
      </c>
      <c r="V606" s="121">
        <f>MouserListTable1218[[#This Row],['#/Unit]]*FilterSpecs!$C$3+MouserListTable1218[[#This Row],[Extra]]</f>
        <v>1</v>
      </c>
      <c r="W606" s="121">
        <f>IF(MouserListTable1218[[#This Row],[Tag]]=FilterSpecs!$F$7,MouserListTable1218[[#This Row],[Price (USD)]],0)</f>
        <v>0</v>
      </c>
      <c r="X606" s="121">
        <f>MouserListTable1218[[#This Row],[Tot '#]]*MouserListTable1218[[#This Row],[Price (USD)]]</f>
        <v>2.95</v>
      </c>
    </row>
    <row r="607" spans="1:24" s="144" customFormat="1" x14ac:dyDescent="0.3">
      <c r="A607" s="103" t="s">
        <v>17</v>
      </c>
      <c r="B607" s="103" t="s">
        <v>1654</v>
      </c>
      <c r="C607" s="103" t="s">
        <v>1898</v>
      </c>
      <c r="D607" s="106" t="str">
        <f>IF(MouserListTable1218[[#This Row],[Vendor]]=FilterSpecs!$A$8,MouserListTable1218[[#This Row],[Mouser SKU]], MouserListTable1218[[#This Row],[Supplier SKU]])</f>
        <v>427</v>
      </c>
      <c r="E607" s="121">
        <f>MouserListTable1218[[#This Row],[Tot '#]]-MouserListTable1218[[#This Row],['# Initial]]</f>
        <v>0</v>
      </c>
      <c r="F607" s="121">
        <f>MouserListTable1218[[#This Row],['#/Unit]]*FilterSpecs!$B$3+MouserListTable1218[[#This Row],[Extra Initial]]</f>
        <v>1</v>
      </c>
      <c r="G607" s="103"/>
      <c r="H607" s="103"/>
      <c r="I607" s="103" t="s">
        <v>2082</v>
      </c>
      <c r="J607" s="146"/>
      <c r="K607" s="157">
        <v>3.95</v>
      </c>
      <c r="L607" s="103" t="s">
        <v>1910</v>
      </c>
      <c r="M607" s="106"/>
      <c r="N607" s="157">
        <f>MouserListTable1218[[#This Row],['# Initial]]*MouserListTable1218[[#This Row],[Price (USD)]]</f>
        <v>3.95</v>
      </c>
      <c r="O607" s="106" t="s">
        <v>2083</v>
      </c>
      <c r="P607" s="103">
        <f t="shared" si="13"/>
        <v>588</v>
      </c>
      <c r="Q607" s="103" t="s">
        <v>1898</v>
      </c>
      <c r="R607"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485-427</v>
      </c>
      <c r="S607" s="121">
        <v>0</v>
      </c>
      <c r="T607" s="121">
        <v>1</v>
      </c>
      <c r="U607" s="121">
        <v>1</v>
      </c>
      <c r="V607" s="121">
        <f>MouserListTable1218[[#This Row],['#/Unit]]*FilterSpecs!$C$3+MouserListTable1218[[#This Row],[Extra]]</f>
        <v>1</v>
      </c>
      <c r="W607" s="121">
        <f>IF(MouserListTable1218[[#This Row],[Tag]]=FilterSpecs!$F$7,MouserListTable1218[[#This Row],[Price (USD)]],0)</f>
        <v>0</v>
      </c>
      <c r="X607" s="121">
        <f>MouserListTable1218[[#This Row],[Tot '#]]*MouserListTable1218[[#This Row],[Price (USD)]]</f>
        <v>3.95</v>
      </c>
    </row>
    <row r="608" spans="1:24" s="144" customFormat="1" x14ac:dyDescent="0.3">
      <c r="A608" s="103" t="s">
        <v>17</v>
      </c>
      <c r="B608" s="103" t="s">
        <v>1654</v>
      </c>
      <c r="C608" s="103" t="s">
        <v>1898</v>
      </c>
      <c r="D608" s="106" t="str">
        <f>IF(MouserListTable1218[[#This Row],[Vendor]]=FilterSpecs!$A$8,MouserListTable1218[[#This Row],[Mouser SKU]], MouserListTable1218[[#This Row],[Supplier SKU]])</f>
        <v>431</v>
      </c>
      <c r="E608" s="121">
        <f>MouserListTable1218[[#This Row],[Tot '#]]-MouserListTable1218[[#This Row],['# Initial]]</f>
        <v>0</v>
      </c>
      <c r="F608" s="121">
        <f>MouserListTable1218[[#This Row],['#/Unit]]*FilterSpecs!$B$3+MouserListTable1218[[#This Row],[Extra Initial]]</f>
        <v>1</v>
      </c>
      <c r="G608" s="103"/>
      <c r="H608" s="103"/>
      <c r="I608" s="103" t="s">
        <v>2076</v>
      </c>
      <c r="J608" s="146"/>
      <c r="K608" s="157">
        <v>3.95</v>
      </c>
      <c r="L608" s="103" t="s">
        <v>1910</v>
      </c>
      <c r="M608" s="106"/>
      <c r="N608" s="157">
        <f>MouserListTable1218[[#This Row],['# Initial]]*MouserListTable1218[[#This Row],[Price (USD)]]</f>
        <v>3.95</v>
      </c>
      <c r="O608" s="106" t="s">
        <v>2077</v>
      </c>
      <c r="P608" s="103">
        <f t="shared" si="13"/>
        <v>589</v>
      </c>
      <c r="Q608" s="103" t="s">
        <v>1898</v>
      </c>
      <c r="R608" s="121" t="str">
        <f>_xlfn.IFS(MouserListTable1218[[#This Row],[Supplier]]=FilterSpecs!$A$6, FilterSpecs!$B$6 &amp; MouserListTable1218[[#This Row],[Supplier SKU]],MouserListTable1218[[#This Row],[Supplier]]=FilterSpecs!$A$7,FilterSpecs!$B$7&amp; MouserListTable1218[[#This Row],[Supplier SKU]],MouserListTable1218[[#This Row],[Supplier]]=FilterSpecs!$A$8, FilterSpecs!$B$8&amp;MouserListTable1218[[#This Row],[Supplier SKU]],MouserListTable1218[[#This Row],[Supplier]]=FilterSpecs!$A$9,FilterSpecs!$B$9&amp; MouserListTable1218[[#This Row],[Supplier SKU]], MouserListTable1218[[#This Row],[Supplier]]=FilterSpecs!$A$17,FilterSpecs!$B$17&amp; MouserListTable1218[[#This Row],[Supplier SKU]])</f>
        <v>485-431</v>
      </c>
      <c r="S608" s="121">
        <v>0</v>
      </c>
      <c r="T608" s="121">
        <v>1</v>
      </c>
      <c r="U608" s="121">
        <v>1</v>
      </c>
      <c r="V608" s="121">
        <f>MouserListTable1218[[#This Row],['#/Unit]]*FilterSpecs!$C$3+MouserListTable1218[[#This Row],[Extra]]</f>
        <v>1</v>
      </c>
      <c r="W608" s="121">
        <f>IF(MouserListTable1218[[#This Row],[Tag]]=FilterSpecs!$F$7,MouserListTable1218[[#This Row],[Price (USD)]],0)</f>
        <v>0</v>
      </c>
      <c r="X608" s="121">
        <f>MouserListTable1218[[#This Row],[Tot '#]]*MouserListTable1218[[#This Row],[Price (USD)]]</f>
        <v>3.95</v>
      </c>
    </row>
    <row r="609" spans="1:24" x14ac:dyDescent="0.3">
      <c r="A609" s="51" t="s">
        <v>1411</v>
      </c>
      <c r="B609" s="51">
        <f>SUBTOTAL(103,MouserListTable1218[Category])</f>
        <v>527</v>
      </c>
      <c r="D609" s="12"/>
      <c r="E609" s="12">
        <f>SUBTOTAL(109,MouserListTable1218['# Left])</f>
        <v>185</v>
      </c>
      <c r="F609" s="12"/>
      <c r="G609" s="12"/>
      <c r="H609" s="12"/>
      <c r="I609" s="12"/>
      <c r="J609" s="12"/>
      <c r="K609" s="14">
        <f>SUBTOTAL(101,MouserListTable1218[Price (USD)])</f>
        <v>6.8658254269449115</v>
      </c>
      <c r="L609" s="14"/>
      <c r="M609" s="12">
        <f>SUBTOTAL(103,MouserListTable1218[Description/Comments])</f>
        <v>26</v>
      </c>
      <c r="N609" s="12">
        <f>SUBTOTAL(109,MouserListTable1218[Total Price])</f>
        <v>3922.1699999999923</v>
      </c>
      <c r="O609" s="12">
        <f>SUBTOTAL(103,MouserListTable1218[Supplier SKU])</f>
        <v>527</v>
      </c>
      <c r="P609" s="12">
        <f>SUBTOTAL(104,MouserListTable1218[List '#])</f>
        <v>589</v>
      </c>
      <c r="Q609" s="12"/>
      <c r="R609" s="12"/>
      <c r="S609" s="12"/>
      <c r="T609" s="12"/>
      <c r="U609" s="12"/>
      <c r="V609" s="12"/>
      <c r="W609" s="12">
        <f>SUBTOTAL(109,MouserListTable1218[$/Unit])</f>
        <v>708.21000000000197</v>
      </c>
      <c r="X609" s="12"/>
    </row>
    <row r="610" spans="1:24" x14ac:dyDescent="0.3">
      <c r="A610" s="51">
        <f>Primary!A154+Secondary!A42+'Advanced&amp;Optional'!A29+'SmartHome&amp;IoT'!A43+Hardware!A47+LowLevel!A242+Tools!A42</f>
        <v>585</v>
      </c>
      <c r="D610" s="12"/>
      <c r="E610" s="12"/>
      <c r="F610" s="12"/>
      <c r="G610" s="12"/>
      <c r="H610" s="12"/>
      <c r="I610" s="12"/>
      <c r="J610" s="12"/>
      <c r="K610" s="12"/>
      <c r="L610" s="12"/>
    </row>
    <row r="611" spans="1:24" ht="15" thickBot="1" x14ac:dyDescent="0.35">
      <c r="D611" s="12"/>
      <c r="E611" s="12"/>
      <c r="F611" s="12"/>
      <c r="G611" s="12"/>
      <c r="H611" s="12"/>
      <c r="I611" s="12"/>
      <c r="J611" s="12"/>
      <c r="K611" s="12"/>
      <c r="L611" s="12"/>
    </row>
    <row r="612" spans="1:24" ht="19.2" thickTop="1" thickBot="1" x14ac:dyDescent="0.35">
      <c r="A612" s="161" t="s">
        <v>2584</v>
      </c>
      <c r="B612" s="161" t="s">
        <v>2585</v>
      </c>
      <c r="C612" s="162" t="s">
        <v>2586</v>
      </c>
      <c r="D612" s="12"/>
      <c r="E612" s="12"/>
      <c r="F612" s="12"/>
      <c r="G612" s="12"/>
      <c r="H612" s="12"/>
      <c r="I612" s="12"/>
      <c r="J612" s="12"/>
      <c r="K612" s="12"/>
      <c r="L612" s="12"/>
    </row>
    <row r="613" spans="1:24" ht="16.8" thickTop="1" thickBot="1" x14ac:dyDescent="0.35">
      <c r="A613" s="163" t="str">
        <f>FilterSpecs!C6</f>
        <v>Primary Component</v>
      </c>
      <c r="B613" s="165">
        <f>SUMIF(MouserListTable1218[Type],"=" &amp; FilterSpecs!$C6,MouserListTable1218[Total Price])</f>
        <v>2313.9500000000003</v>
      </c>
      <c r="C613" s="166">
        <f>SUMIF(MouserListTable1218[Type],"=" &amp; FilterSpecs!$C6,MouserListTable1218[Total $])</f>
        <v>2987.3500000000004</v>
      </c>
      <c r="D613" s="12"/>
      <c r="E613" s="12"/>
      <c r="F613" s="12"/>
      <c r="G613" s="12"/>
      <c r="H613" s="12"/>
      <c r="I613" s="12"/>
      <c r="J613" s="12"/>
      <c r="K613" s="12"/>
      <c r="L613" s="12"/>
    </row>
    <row r="614" spans="1:24" ht="16.8" thickTop="1" thickBot="1" x14ac:dyDescent="0.35">
      <c r="A614" s="163" t="str">
        <f>FilterSpecs!C7</f>
        <v>Secondary Component</v>
      </c>
      <c r="B614" s="165">
        <f>SUMIF(MouserListTable1218[Type],"=" &amp; FilterSpecs!$C7,MouserListTable1218[Total Price])</f>
        <v>275.12</v>
      </c>
      <c r="C614" s="167">
        <f>SUMIF(MouserListTable1218[Type],"=" &amp; FilterSpecs!$C7,MouserListTable1218[Total $])</f>
        <v>396.32</v>
      </c>
      <c r="D614" s="12"/>
      <c r="E614" s="12"/>
      <c r="F614" s="12"/>
      <c r="G614" s="12"/>
      <c r="H614" s="12"/>
      <c r="I614" s="12"/>
      <c r="J614" s="12"/>
      <c r="K614" s="12"/>
      <c r="L614" s="12"/>
    </row>
    <row r="615" spans="1:24" ht="16.8" thickTop="1" thickBot="1" x14ac:dyDescent="0.35">
      <c r="A615" s="163" t="str">
        <f>FilterSpecs!C8</f>
        <v>Advanced &amp; Optional Components</v>
      </c>
      <c r="B615" s="165">
        <f>SUMIF(MouserListTable1218[Type],"=" &amp; FilterSpecs!$C8,MouserListTable1218[Total Price])</f>
        <v>0</v>
      </c>
      <c r="C615" s="167">
        <f>SUMIF(MouserListTable1218[Type],"=" &amp; FilterSpecs!$C8,MouserListTable1218[Total $])</f>
        <v>1127.2500000000002</v>
      </c>
      <c r="D615" s="12"/>
      <c r="E615" s="12"/>
      <c r="F615" s="12"/>
      <c r="G615" s="12"/>
      <c r="H615" s="12"/>
      <c r="I615" s="12"/>
      <c r="J615" s="12"/>
      <c r="K615" s="12"/>
      <c r="L615" s="12"/>
    </row>
    <row r="616" spans="1:24" ht="16.8" thickTop="1" thickBot="1" x14ac:dyDescent="0.35">
      <c r="A616" s="163" t="str">
        <f>FilterSpecs!C9</f>
        <v>Smart-Home/IoT Network Integration (Fixed)</v>
      </c>
      <c r="B616" s="165">
        <f>SUMIF(MouserListTable1218[Type],"=" &amp; FilterSpecs!$C9,MouserListTable1218[Total Price])</f>
        <v>0</v>
      </c>
      <c r="C616" s="167">
        <f>SUMIF(MouserListTable1218[Type],"=" &amp; FilterSpecs!$C9,MouserListTable1218[Total $])</f>
        <v>605.09999999999991</v>
      </c>
      <c r="D616" s="12"/>
      <c r="E616" s="12"/>
      <c r="F616" s="12"/>
      <c r="G616" s="12"/>
      <c r="H616" s="12"/>
      <c r="I616" s="12"/>
      <c r="J616" s="12"/>
      <c r="K616" s="12"/>
      <c r="L616" s="12"/>
    </row>
    <row r="617" spans="1:24" ht="16.8" thickTop="1" thickBot="1" x14ac:dyDescent="0.35">
      <c r="A617" s="163" t="str">
        <f>FilterSpecs!C10</f>
        <v>Smart-Home/IoT Network Integration (Portable)</v>
      </c>
      <c r="B617" s="165">
        <f>SUMIF(MouserListTable1218[Type],"=" &amp; FilterSpecs!$C10,MouserListTable1218[Total Price])</f>
        <v>0</v>
      </c>
      <c r="C617" s="167">
        <f>SUMIF(MouserListTable1218[Type],"=" &amp; FilterSpecs!$C10,MouserListTable1218[Total $])</f>
        <v>193.8</v>
      </c>
      <c r="D617" s="12"/>
      <c r="E617" s="12"/>
      <c r="F617" s="12"/>
      <c r="G617" s="12"/>
      <c r="H617" s="12"/>
      <c r="I617" s="12"/>
      <c r="J617" s="12"/>
      <c r="K617" s="12"/>
      <c r="L617" s="12"/>
    </row>
    <row r="618" spans="1:24" ht="16.8" thickTop="1" thickBot="1" x14ac:dyDescent="0.35">
      <c r="A618" s="163" t="str">
        <f>FilterSpecs!C11</f>
        <v>Hardware Component</v>
      </c>
      <c r="B618" s="165">
        <f>SUMIF(MouserListTable1218[Type],"=" &amp; FilterSpecs!$C11,MouserListTable1218[Total Price])</f>
        <v>523.25000000000023</v>
      </c>
      <c r="C618" s="167">
        <f>SUMIF(MouserListTable1218[Type],"=" &amp; FilterSpecs!$C11,MouserListTable1218[Total $])</f>
        <v>664.65000000000009</v>
      </c>
      <c r="D618" s="12"/>
      <c r="E618" s="12"/>
      <c r="F618" s="12"/>
      <c r="G618" s="12"/>
      <c r="H618" s="12"/>
      <c r="I618" s="12"/>
      <c r="J618" s="12"/>
      <c r="K618" s="12"/>
      <c r="L618" s="12"/>
    </row>
    <row r="619" spans="1:24" ht="16.8" thickTop="1" thickBot="1" x14ac:dyDescent="0.35">
      <c r="A619" s="163" t="str">
        <f>FilterSpecs!C12</f>
        <v>Low-Level Electronics</v>
      </c>
      <c r="B619" s="165">
        <f>SUMIF(MouserListTable1218[Type],"=" &amp; FilterSpecs!$C12,MouserListTable1218[Total Price])</f>
        <v>666.6</v>
      </c>
      <c r="C619" s="167">
        <f>SUMIF(MouserListTable1218[Type],"=" &amp; FilterSpecs!$C12,MouserListTable1218[Total $])</f>
        <v>817.65000000000009</v>
      </c>
      <c r="D619" s="12"/>
      <c r="E619" s="12"/>
      <c r="F619" s="12"/>
      <c r="G619" s="12"/>
      <c r="H619" s="12"/>
      <c r="I619" s="12"/>
      <c r="J619" s="12"/>
      <c r="K619" s="12"/>
      <c r="L619" s="12"/>
    </row>
    <row r="620" spans="1:24" ht="16.2" thickTop="1" x14ac:dyDescent="0.3">
      <c r="A620" s="164" t="str">
        <f>FilterSpecs!C13</f>
        <v>Tools</v>
      </c>
      <c r="B620" s="168">
        <f>SUMIF(MouserListTable1218[Type],"=" &amp; FilterSpecs!$C13,MouserListTable1218[Total Price])</f>
        <v>143.24999999999997</v>
      </c>
      <c r="C620" s="169">
        <f>SUMIF(MouserListTable1218[Type],"=" &amp; FilterSpecs!$C13,MouserListTable1218[Total $])</f>
        <v>177.09999999999988</v>
      </c>
      <c r="D620" s="12"/>
      <c r="E620" s="12"/>
      <c r="F620" s="12"/>
      <c r="G620" s="12"/>
      <c r="H620" s="12"/>
      <c r="I620" s="12"/>
      <c r="J620" s="12"/>
      <c r="K620" s="12"/>
      <c r="L620" s="12"/>
    </row>
    <row r="621" spans="1:24" x14ac:dyDescent="0.3">
      <c r="D621" s="12"/>
      <c r="E621" s="12"/>
      <c r="F621" s="12"/>
      <c r="G621" s="12"/>
      <c r="H621" s="12"/>
      <c r="I621" s="12"/>
      <c r="J621" s="12"/>
      <c r="K621" s="12"/>
      <c r="L621" s="12"/>
    </row>
    <row r="622" spans="1:24" x14ac:dyDescent="0.3">
      <c r="D622" s="12"/>
      <c r="E622" s="12"/>
      <c r="F622" s="12"/>
      <c r="G622" s="12"/>
    </row>
    <row r="623" spans="1:24" s="144" customFormat="1" ht="33.6" x14ac:dyDescent="0.3">
      <c r="A623" s="187" t="s">
        <v>2485</v>
      </c>
      <c r="B623" s="187"/>
      <c r="C623" s="137"/>
      <c r="D623" s="12"/>
      <c r="E623" s="12"/>
      <c r="F623" s="12"/>
      <c r="G623" s="12"/>
    </row>
    <row r="624" spans="1:24" s="86" customFormat="1" x14ac:dyDescent="0.3">
      <c r="A624" s="12" t="s">
        <v>896</v>
      </c>
      <c r="B624" s="12" t="s">
        <v>994</v>
      </c>
      <c r="C624" s="12" t="s">
        <v>8</v>
      </c>
      <c r="D624" s="12" t="s">
        <v>1771</v>
      </c>
      <c r="E624" s="89">
        <v>1</v>
      </c>
      <c r="F624" s="89">
        <v>1</v>
      </c>
      <c r="G624" s="12" t="s">
        <v>1772</v>
      </c>
      <c r="H624" s="12" t="s">
        <v>1773</v>
      </c>
      <c r="I624" s="12" t="s">
        <v>1774</v>
      </c>
      <c r="J624" s="12">
        <v>1</v>
      </c>
      <c r="K624" s="89">
        <v>9.9499999999999993</v>
      </c>
      <c r="L624" s="12" t="s">
        <v>1910</v>
      </c>
    </row>
    <row r="625" spans="1:14" s="86" customFormat="1" x14ac:dyDescent="0.3">
      <c r="A625" s="12" t="s">
        <v>896</v>
      </c>
      <c r="B625" s="12" t="s">
        <v>994</v>
      </c>
      <c r="C625" s="12" t="s">
        <v>1898</v>
      </c>
      <c r="D625" s="12" t="s">
        <v>2112</v>
      </c>
      <c r="E625" s="89">
        <v>0</v>
      </c>
      <c r="F625" s="89">
        <v>0</v>
      </c>
      <c r="G625" s="12"/>
      <c r="H625" s="12"/>
      <c r="I625" s="12" t="s">
        <v>2113</v>
      </c>
      <c r="K625" s="89">
        <v>14.95</v>
      </c>
      <c r="L625" s="12" t="s">
        <v>1910</v>
      </c>
    </row>
    <row r="626" spans="1:14" s="86" customFormat="1" x14ac:dyDescent="0.3">
      <c r="A626" s="12" t="s">
        <v>896</v>
      </c>
      <c r="B626" s="12" t="s">
        <v>994</v>
      </c>
      <c r="C626" s="12" t="s">
        <v>1898</v>
      </c>
      <c r="D626" s="12" t="s">
        <v>2100</v>
      </c>
      <c r="E626" s="89">
        <v>0</v>
      </c>
      <c r="F626" s="89">
        <v>0</v>
      </c>
      <c r="G626" s="12"/>
      <c r="H626" s="12"/>
      <c r="I626" s="12" t="s">
        <v>2101</v>
      </c>
      <c r="K626" s="89">
        <v>9.9499999999999993</v>
      </c>
      <c r="L626" s="12" t="s">
        <v>1910</v>
      </c>
    </row>
    <row r="627" spans="1:14" s="86" customFormat="1" x14ac:dyDescent="0.3">
      <c r="A627" s="12" t="s">
        <v>896</v>
      </c>
      <c r="B627" s="12" t="s">
        <v>994</v>
      </c>
      <c r="C627" s="12" t="s">
        <v>1898</v>
      </c>
      <c r="D627" s="12" t="s">
        <v>2104</v>
      </c>
      <c r="E627" s="89">
        <v>0</v>
      </c>
      <c r="F627" s="89">
        <v>0</v>
      </c>
      <c r="G627" s="12"/>
      <c r="H627" s="12"/>
      <c r="I627" s="12" t="s">
        <v>2105</v>
      </c>
      <c r="K627" s="89">
        <v>14.95</v>
      </c>
      <c r="L627" s="12" t="s">
        <v>1910</v>
      </c>
    </row>
    <row r="628" spans="1:14" s="106" customFormat="1" x14ac:dyDescent="0.3">
      <c r="A628" s="103" t="s">
        <v>894</v>
      </c>
      <c r="B628" s="103" t="s">
        <v>2040</v>
      </c>
      <c r="C628" s="103" t="s">
        <v>8</v>
      </c>
      <c r="D628" s="103" t="s">
        <v>36</v>
      </c>
      <c r="E628" s="104">
        <v>5</v>
      </c>
      <c r="F628" s="104">
        <v>5</v>
      </c>
      <c r="G628" s="103" t="s">
        <v>37</v>
      </c>
      <c r="H628" s="103" t="s">
        <v>38</v>
      </c>
      <c r="I628" s="103" t="s">
        <v>39</v>
      </c>
      <c r="J628" s="106">
        <v>1</v>
      </c>
      <c r="K628" s="104">
        <v>29.95</v>
      </c>
      <c r="L628" s="103" t="s">
        <v>1911</v>
      </c>
      <c r="N628" s="106">
        <v>149.75</v>
      </c>
    </row>
    <row r="629" spans="1:14" s="106" customFormat="1" x14ac:dyDescent="0.3">
      <c r="A629" s="103" t="s">
        <v>894</v>
      </c>
      <c r="B629" s="103" t="s">
        <v>2031</v>
      </c>
      <c r="C629" s="103" t="s">
        <v>8</v>
      </c>
      <c r="D629" s="103" t="s">
        <v>116</v>
      </c>
      <c r="E629" s="104">
        <v>5</v>
      </c>
      <c r="F629" s="104">
        <v>5</v>
      </c>
      <c r="G629" s="103" t="s">
        <v>117</v>
      </c>
      <c r="H629" s="103" t="s">
        <v>118</v>
      </c>
      <c r="I629" s="103" t="s">
        <v>119</v>
      </c>
      <c r="J629" s="103">
        <v>1</v>
      </c>
      <c r="K629" s="104">
        <v>12.95</v>
      </c>
      <c r="L629" s="103" t="s">
        <v>1911</v>
      </c>
      <c r="N629" s="106">
        <v>64.75</v>
      </c>
    </row>
    <row r="630" spans="1:14" s="106" customFormat="1" x14ac:dyDescent="0.3">
      <c r="A630" s="103" t="s">
        <v>894</v>
      </c>
      <c r="B630" s="103" t="s">
        <v>13</v>
      </c>
      <c r="C630" s="103" t="s">
        <v>8</v>
      </c>
      <c r="D630" s="103" t="s">
        <v>260</v>
      </c>
      <c r="E630" s="104">
        <v>5</v>
      </c>
      <c r="F630" s="104">
        <v>5</v>
      </c>
      <c r="G630" s="103" t="s">
        <v>261</v>
      </c>
      <c r="H630" s="103" t="s">
        <v>262</v>
      </c>
      <c r="I630" s="103" t="s">
        <v>263</v>
      </c>
      <c r="J630" s="103">
        <v>1</v>
      </c>
      <c r="K630" s="104">
        <v>6.95</v>
      </c>
      <c r="L630" s="103" t="s">
        <v>1911</v>
      </c>
      <c r="N630" s="106">
        <v>34.75</v>
      </c>
    </row>
    <row r="631" spans="1:14" s="106" customFormat="1" x14ac:dyDescent="0.3">
      <c r="A631" s="103" t="s">
        <v>895</v>
      </c>
      <c r="B631" s="103" t="s">
        <v>899</v>
      </c>
      <c r="C631" s="103" t="s">
        <v>8</v>
      </c>
      <c r="D631" s="103" t="s">
        <v>363</v>
      </c>
      <c r="E631" s="104">
        <v>0</v>
      </c>
      <c r="F631" s="104">
        <v>0</v>
      </c>
      <c r="G631" s="103" t="s">
        <v>364</v>
      </c>
      <c r="H631" s="103" t="s">
        <v>365</v>
      </c>
      <c r="I631" s="103" t="s">
        <v>366</v>
      </c>
      <c r="J631" s="103">
        <v>1</v>
      </c>
      <c r="K631" s="104">
        <v>2.95</v>
      </c>
      <c r="L631" s="103" t="s">
        <v>2487</v>
      </c>
      <c r="M631" s="103"/>
      <c r="N631" s="103">
        <v>0</v>
      </c>
    </row>
    <row r="632" spans="1:14" s="106" customFormat="1" x14ac:dyDescent="0.3">
      <c r="A632" s="103" t="s">
        <v>895</v>
      </c>
      <c r="B632" s="103" t="s">
        <v>899</v>
      </c>
      <c r="C632" s="103" t="s">
        <v>8</v>
      </c>
      <c r="D632" s="103" t="s">
        <v>1185</v>
      </c>
      <c r="E632" s="104">
        <v>0</v>
      </c>
      <c r="F632" s="104">
        <v>0</v>
      </c>
      <c r="G632" s="103" t="s">
        <v>1186</v>
      </c>
      <c r="H632" s="103" t="s">
        <v>1187</v>
      </c>
      <c r="I632" s="103" t="s">
        <v>1188</v>
      </c>
      <c r="J632" s="103">
        <v>1</v>
      </c>
      <c r="K632" s="104">
        <v>9.9499999999999993</v>
      </c>
      <c r="L632" s="103" t="s">
        <v>2487</v>
      </c>
      <c r="N632" s="103">
        <v>0</v>
      </c>
    </row>
    <row r="633" spans="1:14" s="86" customFormat="1" x14ac:dyDescent="0.3">
      <c r="A633" s="12" t="s">
        <v>895</v>
      </c>
      <c r="B633" s="12" t="s">
        <v>1607</v>
      </c>
      <c r="C633" s="12" t="s">
        <v>8</v>
      </c>
      <c r="D633" s="12" t="s">
        <v>1108</v>
      </c>
      <c r="E633" s="89">
        <v>1</v>
      </c>
      <c r="F633" s="89">
        <v>1</v>
      </c>
      <c r="G633" s="12" t="s">
        <v>1109</v>
      </c>
      <c r="H633" s="12" t="s">
        <v>1110</v>
      </c>
      <c r="I633" s="12" t="s">
        <v>1111</v>
      </c>
      <c r="J633" s="12"/>
      <c r="K633" s="89">
        <v>24.95</v>
      </c>
      <c r="L633" s="12" t="s">
        <v>1910</v>
      </c>
      <c r="N633" s="12">
        <v>24.95</v>
      </c>
    </row>
    <row r="634" spans="1:14" s="149" customFormat="1" x14ac:dyDescent="0.3">
      <c r="A634" s="69" t="s">
        <v>1070</v>
      </c>
      <c r="B634" s="148" t="s">
        <v>1013</v>
      </c>
      <c r="C634" s="148" t="s">
        <v>8</v>
      </c>
      <c r="D634" s="69" t="s">
        <v>989</v>
      </c>
      <c r="E634" s="98">
        <v>0</v>
      </c>
      <c r="F634" s="98">
        <v>0</v>
      </c>
      <c r="G634" s="69" t="s">
        <v>990</v>
      </c>
      <c r="H634" s="69" t="s">
        <v>991</v>
      </c>
      <c r="I634" s="69" t="s">
        <v>992</v>
      </c>
      <c r="J634" s="69">
        <v>1</v>
      </c>
      <c r="K634" s="98">
        <v>44.95</v>
      </c>
      <c r="L634" s="69" t="s">
        <v>1914</v>
      </c>
      <c r="M634" s="69" t="s">
        <v>1057</v>
      </c>
      <c r="N634" s="69">
        <v>0</v>
      </c>
    </row>
    <row r="635" spans="1:14" s="86" customFormat="1" x14ac:dyDescent="0.3">
      <c r="A635" s="12" t="s">
        <v>1070</v>
      </c>
      <c r="B635" s="12" t="s">
        <v>1013</v>
      </c>
      <c r="C635" s="12" t="s">
        <v>1898</v>
      </c>
      <c r="D635" s="12" t="s">
        <v>2094</v>
      </c>
      <c r="E635" s="89">
        <v>0</v>
      </c>
      <c r="F635" s="89">
        <v>0</v>
      </c>
      <c r="G635" s="12"/>
      <c r="H635" s="12"/>
      <c r="I635" s="12" t="s">
        <v>2095</v>
      </c>
      <c r="J635" s="12"/>
      <c r="K635" s="89">
        <v>44.95</v>
      </c>
      <c r="L635" s="12" t="s">
        <v>1910</v>
      </c>
    </row>
    <row r="636" spans="1:14" s="86" customFormat="1" x14ac:dyDescent="0.3">
      <c r="A636" s="12" t="s">
        <v>1070</v>
      </c>
      <c r="B636" s="12" t="s">
        <v>2065</v>
      </c>
      <c r="C636" s="12" t="s">
        <v>1898</v>
      </c>
      <c r="D636" s="12" t="s">
        <v>2073</v>
      </c>
      <c r="E636" s="89">
        <v>1</v>
      </c>
      <c r="F636" s="89">
        <v>1</v>
      </c>
      <c r="G636" s="12"/>
      <c r="H636" s="12"/>
      <c r="I636" s="12" t="s">
        <v>2072</v>
      </c>
      <c r="J636" s="12"/>
      <c r="K636" s="89">
        <v>39.950000000000003</v>
      </c>
      <c r="L636" s="12" t="s">
        <v>1910</v>
      </c>
    </row>
    <row r="637" spans="1:14" s="86" customFormat="1" x14ac:dyDescent="0.3">
      <c r="A637" s="12" t="s">
        <v>1070</v>
      </c>
      <c r="B637" s="150" t="s">
        <v>2028</v>
      </c>
      <c r="C637" s="12" t="s">
        <v>1898</v>
      </c>
      <c r="D637" s="12" t="s">
        <v>2098</v>
      </c>
      <c r="E637" s="89">
        <v>0</v>
      </c>
      <c r="F637" s="89">
        <v>0</v>
      </c>
      <c r="G637" s="12"/>
      <c r="H637" s="12"/>
      <c r="I637" s="12" t="s">
        <v>2099</v>
      </c>
      <c r="K637" s="89">
        <v>44.95</v>
      </c>
      <c r="L637" s="12" t="s">
        <v>1910</v>
      </c>
    </row>
    <row r="638" spans="1:14" s="105" customFormat="1" x14ac:dyDescent="0.3">
      <c r="A638" s="102" t="s">
        <v>1070</v>
      </c>
      <c r="B638" s="117" t="s">
        <v>1437</v>
      </c>
      <c r="C638" s="117" t="s">
        <v>8</v>
      </c>
      <c r="D638" s="103" t="s">
        <v>977</v>
      </c>
      <c r="E638" s="104">
        <v>1</v>
      </c>
      <c r="F638" s="104">
        <v>1</v>
      </c>
      <c r="G638" s="103" t="s">
        <v>978</v>
      </c>
      <c r="H638" s="103" t="s">
        <v>979</v>
      </c>
      <c r="I638" s="103" t="s">
        <v>980</v>
      </c>
      <c r="J638" s="103">
        <v>1</v>
      </c>
      <c r="K638" s="104">
        <v>49.95</v>
      </c>
      <c r="L638" s="103" t="s">
        <v>1910</v>
      </c>
      <c r="M638" s="103" t="s">
        <v>1061</v>
      </c>
      <c r="N638" s="103">
        <v>49.95</v>
      </c>
    </row>
  </sheetData>
  <mergeCells count="1">
    <mergeCell ref="A623:B623"/>
  </mergeCells>
  <conditionalFormatting sqref="A14:V608">
    <cfRule type="expression" dxfId="263" priority="26">
      <formula>AND(($F14=0),NOT(ISBLANK($F14)))</formula>
    </cfRule>
  </conditionalFormatting>
  <conditionalFormatting sqref="F624:F638">
    <cfRule type="expression" dxfId="262" priority="17">
      <formula>AND(($E624=0),NOT(ISBLANK($E624)))</formula>
    </cfRule>
  </conditionalFormatting>
  <conditionalFormatting sqref="W14:W608">
    <cfRule type="expression" dxfId="261" priority="9">
      <formula>AND(($F14=0),NOT(ISBLANK($F14)))</formula>
    </cfRule>
  </conditionalFormatting>
  <conditionalFormatting sqref="X14:X608">
    <cfRule type="expression" dxfId="260" priority="1">
      <formula>AND(($F14=0),NOT(ISBLANK($F14)))</formula>
    </cfRule>
  </conditionalFormatting>
  <dataValidations count="4">
    <dataValidation allowBlank="1" showInputMessage="1" showErrorMessage="1" prompt="Total Estimated Value of All Items is automatically calculated in cell at right. Enter Inventory Date in cell I2" sqref="A612:C612" xr:uid="{23DC8CF8-C100-440C-8627-C1C13C93C7F0}"/>
    <dataValidation allowBlank="1" showInputMessage="1" showErrorMessage="1" prompt="Title of this worksheet is in cells B1 through D1" sqref="A623" xr:uid="{4B6D6852-D608-4FD9-BD50-56BC2AAEF9D4}"/>
    <dataValidation allowBlank="1" showInputMessage="1" showErrorMessage="1" prompt="Title of this worksheet is in this cell" sqref="A11" xr:uid="{5B53D693-F0C8-4501-98B8-1ACCEF34E49B}"/>
    <dataValidation type="list" allowBlank="1" showInputMessage="1" showErrorMessage="1" sqref="A272" xr:uid="{D1D78507-EC6C-4DC3-9524-35BEE8CBF444}">
      <formula1>$C$6:$C$13</formula1>
    </dataValidation>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27" id="{DBB144C0-82B3-4671-8E82-E25821F5F81F}">
            <xm:f>$L14=FilterSpecs!$F$13</xm:f>
            <x14:dxf>
              <font>
                <b/>
                <i val="0"/>
                <color theme="0"/>
              </font>
              <fill>
                <patternFill>
                  <bgColor theme="9" tint="-0.499984740745262"/>
                </patternFill>
              </fill>
            </x14:dxf>
          </x14:cfRule>
          <x14:cfRule type="expression" priority="28" id="{CC1170B8-2F72-4B2E-9E2C-91AA9E5031F9}">
            <xm:f>$L14=FilterSpecs!$F$11</xm:f>
            <x14:dxf>
              <font>
                <b/>
                <i val="0"/>
                <color theme="0"/>
              </font>
              <fill>
                <patternFill>
                  <bgColor rgb="FF00B050"/>
                </patternFill>
              </fill>
            </x14:dxf>
          </x14:cfRule>
          <x14:cfRule type="expression" priority="29" id="{12D204B6-78ED-4B3E-BEFA-493069FD3160}">
            <xm:f>$L14=FilterSpecs!$F$10</xm:f>
            <x14:dxf>
              <font>
                <b/>
                <i val="0"/>
                <color theme="0"/>
              </font>
              <fill>
                <patternFill>
                  <bgColor rgb="FF002060"/>
                </patternFill>
              </fill>
            </x14:dxf>
          </x14:cfRule>
          <x14:cfRule type="expression" priority="30" id="{73E9E6AD-DC13-4AA1-ACAA-72CCED633D82}">
            <xm:f>$L14=FilterSpecs!$F$9</xm:f>
            <x14:dxf>
              <font>
                <b/>
                <i val="0"/>
                <color theme="0"/>
              </font>
              <fill>
                <patternFill>
                  <bgColor rgb="FFFF0000"/>
                </patternFill>
              </fill>
            </x14:dxf>
          </x14:cfRule>
          <x14:cfRule type="expression" priority="31" id="{4D3BD6FB-9955-4F65-88F6-DF6E4EBF0AD4}">
            <xm:f>$L14=FilterSpecs!$F$8</xm:f>
            <x14:dxf>
              <font>
                <b/>
                <i val="0"/>
                <color theme="0"/>
              </font>
              <fill>
                <patternFill>
                  <bgColor rgb="FFFFC000"/>
                </patternFill>
              </fill>
            </x14:dxf>
          </x14:cfRule>
          <x14:cfRule type="expression" priority="32" id="{C33337F1-E8BE-4DE1-B41C-DB7F94BE0C8B}">
            <xm:f>$L14=FilterSpecs!$F$6</xm:f>
            <x14:dxf>
              <font>
                <b val="0"/>
                <i val="0"/>
              </font>
              <fill>
                <patternFill patternType="none">
                  <bgColor auto="1"/>
                </patternFill>
              </fill>
            </x14:dxf>
          </x14:cfRule>
          <x14:cfRule type="expression" priority="33" id="{9C41735F-9F9B-4323-B358-2D33F83BB0D1}">
            <xm:f>$L14=FilterSpecs!$F$7</xm:f>
            <x14:dxf>
              <font>
                <b/>
                <i val="0"/>
                <color theme="0"/>
              </font>
              <fill>
                <patternFill>
                  <bgColor rgb="FF00B0F0"/>
                </patternFill>
              </fill>
            </x14:dxf>
          </x14:cfRule>
          <xm:sqref>A14:V608</xm:sqref>
        </x14:conditionalFormatting>
        <x14:conditionalFormatting xmlns:xm="http://schemas.microsoft.com/office/excel/2006/main">
          <x14:cfRule type="expression" priority="34" id="{3E4B66B5-160A-4938-B488-E02733E4DCCD}">
            <xm:f>$M624=FilterSpecs!$F$13</xm:f>
            <x14:dxf>
              <font>
                <b/>
                <i val="0"/>
                <color theme="0"/>
              </font>
              <fill>
                <patternFill>
                  <bgColor theme="9" tint="-0.499984740745262"/>
                </patternFill>
              </fill>
            </x14:dxf>
          </x14:cfRule>
          <x14:cfRule type="expression" priority="35" id="{866CC35D-9715-431F-B4C3-C7F9870454F1}">
            <xm:f>$M624=FilterSpecs!$F$12</xm:f>
            <x14:dxf>
              <font>
                <b/>
                <i val="0"/>
                <color theme="0"/>
              </font>
              <fill>
                <patternFill>
                  <bgColor rgb="FFEC6E6E"/>
                </patternFill>
              </fill>
            </x14:dxf>
          </x14:cfRule>
          <x14:cfRule type="expression" priority="36" id="{831913C6-9ADD-4999-B052-C5CE4F894237}">
            <xm:f>$M624=FilterSpecs!$F$11</xm:f>
            <x14:dxf>
              <font>
                <b/>
                <i val="0"/>
                <color theme="0"/>
              </font>
              <fill>
                <patternFill>
                  <bgColor rgb="FF00B050"/>
                </patternFill>
              </fill>
            </x14:dxf>
          </x14:cfRule>
          <x14:cfRule type="expression" priority="37" id="{3D644CD0-2E3B-472F-BC4C-5C27AF410060}">
            <xm:f>$M624=FilterSpecs!$F$10</xm:f>
            <x14:dxf>
              <font>
                <b/>
                <i val="0"/>
                <color theme="0"/>
              </font>
              <fill>
                <patternFill>
                  <bgColor rgb="FF002060"/>
                </patternFill>
              </fill>
            </x14:dxf>
          </x14:cfRule>
          <x14:cfRule type="expression" priority="38" id="{E890767F-D9A7-41AE-BB96-C6F1A6A6C3AB}">
            <xm:f>$M624=FilterSpecs!$F$9</xm:f>
            <x14:dxf>
              <font>
                <b/>
                <i val="0"/>
                <color theme="0"/>
              </font>
              <fill>
                <patternFill>
                  <bgColor rgb="FFFF0000"/>
                </patternFill>
              </fill>
            </x14:dxf>
          </x14:cfRule>
          <x14:cfRule type="expression" priority="39" id="{3D9ED291-A6FF-43EE-B881-B4CF325674A4}">
            <xm:f>$M624=FilterSpecs!$F$8</xm:f>
            <x14:dxf>
              <font>
                <b/>
                <i val="0"/>
                <color theme="0"/>
              </font>
              <fill>
                <patternFill>
                  <bgColor rgb="FFFFC000"/>
                </patternFill>
              </fill>
            </x14:dxf>
          </x14:cfRule>
          <x14:cfRule type="expression" priority="40" id="{B502AA84-E573-4650-B391-893D753056CE}">
            <xm:f>$M624=FilterSpecs!$F$6</xm:f>
            <x14:dxf>
              <font>
                <b val="0"/>
                <i val="0"/>
              </font>
              <fill>
                <patternFill patternType="none">
                  <bgColor auto="1"/>
                </patternFill>
              </fill>
            </x14:dxf>
          </x14:cfRule>
          <x14:cfRule type="expression" priority="41" id="{44BAEC55-9C74-416A-A44A-7EDB8CDC3ECB}">
            <xm:f>$M624=FilterSpecs!$F$7</xm:f>
            <x14:dxf>
              <font>
                <b/>
                <i val="0"/>
                <color theme="0"/>
              </font>
              <fill>
                <patternFill>
                  <bgColor rgb="FF00B0F0"/>
                </patternFill>
              </fill>
            </x14:dxf>
          </x14:cfRule>
          <xm:sqref>A624:E638 G624:S638</xm:sqref>
        </x14:conditionalFormatting>
        <x14:conditionalFormatting xmlns:xm="http://schemas.microsoft.com/office/excel/2006/main">
          <x14:cfRule type="expression" priority="18" id="{2921C3C5-BFF7-45FE-A552-E2FD187C8F4C}">
            <xm:f>$M624=FilterSpecs!$F$13</xm:f>
            <x14:dxf>
              <font>
                <b/>
                <i val="0"/>
                <color theme="0"/>
              </font>
              <fill>
                <patternFill>
                  <bgColor theme="9" tint="-0.499984740745262"/>
                </patternFill>
              </fill>
            </x14:dxf>
          </x14:cfRule>
          <x14:cfRule type="expression" priority="19" id="{70C2DB70-AB2C-46D3-995F-E35BABE87316}">
            <xm:f>$M624=FilterSpecs!$F$12</xm:f>
            <x14:dxf>
              <font>
                <b/>
                <i val="0"/>
                <color theme="0"/>
              </font>
              <fill>
                <patternFill>
                  <bgColor rgb="FFEC6E6E"/>
                </patternFill>
              </fill>
            </x14:dxf>
          </x14:cfRule>
          <x14:cfRule type="expression" priority="20" id="{8555CE00-403F-41EC-9D38-72AB64543F20}">
            <xm:f>$M624=FilterSpecs!$F$11</xm:f>
            <x14:dxf>
              <font>
                <b/>
                <i val="0"/>
                <color theme="0"/>
              </font>
              <fill>
                <patternFill>
                  <bgColor rgb="FF00B050"/>
                </patternFill>
              </fill>
            </x14:dxf>
          </x14:cfRule>
          <x14:cfRule type="expression" priority="21" id="{B30F9BE7-3900-4596-A20F-149E7C3159B6}">
            <xm:f>$M624=FilterSpecs!$F$10</xm:f>
            <x14:dxf>
              <font>
                <b/>
                <i val="0"/>
                <color theme="0"/>
              </font>
              <fill>
                <patternFill>
                  <bgColor rgb="FF002060"/>
                </patternFill>
              </fill>
            </x14:dxf>
          </x14:cfRule>
          <x14:cfRule type="expression" priority="22" id="{79D6BBD9-0C75-481A-BDD0-A178681B3502}">
            <xm:f>$M624=FilterSpecs!$F$9</xm:f>
            <x14:dxf>
              <font>
                <b/>
                <i val="0"/>
                <color theme="0"/>
              </font>
              <fill>
                <patternFill>
                  <bgColor rgb="FFFF0000"/>
                </patternFill>
              </fill>
            </x14:dxf>
          </x14:cfRule>
          <x14:cfRule type="expression" priority="23" id="{98CB95A0-C1EF-4D7C-8B49-3DABA907704B}">
            <xm:f>$M624=FilterSpecs!$F$8</xm:f>
            <x14:dxf>
              <font>
                <b/>
                <i val="0"/>
                <color theme="0"/>
              </font>
              <fill>
                <patternFill>
                  <bgColor rgb="FFFFC000"/>
                </patternFill>
              </fill>
            </x14:dxf>
          </x14:cfRule>
          <x14:cfRule type="expression" priority="24" id="{B1BC61E5-18F9-4DDE-913A-7E60B9342047}">
            <xm:f>$M624=FilterSpecs!$F$6</xm:f>
            <x14:dxf>
              <font>
                <b val="0"/>
                <i val="0"/>
              </font>
              <fill>
                <patternFill patternType="none">
                  <bgColor auto="1"/>
                </patternFill>
              </fill>
            </x14:dxf>
          </x14:cfRule>
          <x14:cfRule type="expression" priority="25" id="{E2A8C9EA-C2C0-4490-ADBE-893D9654F7BC}">
            <xm:f>$M624=FilterSpecs!$F$7</xm:f>
            <x14:dxf>
              <font>
                <b/>
                <i val="0"/>
                <color theme="0"/>
              </font>
              <fill>
                <patternFill>
                  <bgColor rgb="FF00B0F0"/>
                </patternFill>
              </fill>
            </x14:dxf>
          </x14:cfRule>
          <xm:sqref>F624:F638</xm:sqref>
        </x14:conditionalFormatting>
        <x14:conditionalFormatting xmlns:xm="http://schemas.microsoft.com/office/excel/2006/main">
          <x14:cfRule type="expression" priority="10" id="{90F2DB73-E52E-4074-B2BD-B50CF6FC3C8A}">
            <xm:f>$L14=FilterSpecs!$F$13</xm:f>
            <x14:dxf>
              <font>
                <b/>
                <i val="0"/>
                <color theme="0"/>
              </font>
              <fill>
                <patternFill>
                  <bgColor theme="9" tint="-0.499984740745262"/>
                </patternFill>
              </fill>
            </x14:dxf>
          </x14:cfRule>
          <x14:cfRule type="expression" priority="11" id="{99EAEB08-5391-4261-B74E-8C9BD68F2206}">
            <xm:f>$L14=FilterSpecs!$F$11</xm:f>
            <x14:dxf>
              <font>
                <b/>
                <i val="0"/>
                <color theme="0"/>
              </font>
              <fill>
                <patternFill>
                  <bgColor rgb="FF00B050"/>
                </patternFill>
              </fill>
            </x14:dxf>
          </x14:cfRule>
          <x14:cfRule type="expression" priority="12" id="{E8C4349E-4045-4395-B8A7-6F3836EA99B7}">
            <xm:f>$L14=FilterSpecs!$F$10</xm:f>
            <x14:dxf>
              <font>
                <b/>
                <i val="0"/>
                <color theme="0"/>
              </font>
              <fill>
                <patternFill>
                  <bgColor rgb="FF002060"/>
                </patternFill>
              </fill>
            </x14:dxf>
          </x14:cfRule>
          <x14:cfRule type="expression" priority="13" id="{3300AB39-7E07-429A-AFF8-A6C7BE06FE17}">
            <xm:f>$L14=FilterSpecs!$F$9</xm:f>
            <x14:dxf>
              <font>
                <b/>
                <i val="0"/>
                <color theme="0"/>
              </font>
              <fill>
                <patternFill>
                  <bgColor rgb="FFFF0000"/>
                </patternFill>
              </fill>
            </x14:dxf>
          </x14:cfRule>
          <x14:cfRule type="expression" priority="14" id="{981A4F7B-9C55-4CA0-A44A-8CA0D618245F}">
            <xm:f>$L14=FilterSpecs!$F$8</xm:f>
            <x14:dxf>
              <font>
                <b/>
                <i val="0"/>
                <color theme="0"/>
              </font>
              <fill>
                <patternFill>
                  <bgColor rgb="FFFFC000"/>
                </patternFill>
              </fill>
            </x14:dxf>
          </x14:cfRule>
          <x14:cfRule type="expression" priority="15" id="{D8F4E5F6-1C1A-4784-A2F6-1E91E51BCEB5}">
            <xm:f>$L14=FilterSpecs!$F$6</xm:f>
            <x14:dxf>
              <font>
                <b val="0"/>
                <i val="0"/>
              </font>
              <fill>
                <patternFill patternType="none">
                  <bgColor auto="1"/>
                </patternFill>
              </fill>
            </x14:dxf>
          </x14:cfRule>
          <x14:cfRule type="expression" priority="16" id="{6F16BF86-4C31-495E-9EB8-F2B2F384A974}">
            <xm:f>$L14=FilterSpecs!$F$7</xm:f>
            <x14:dxf>
              <font>
                <b/>
                <i val="0"/>
                <color theme="0"/>
              </font>
              <fill>
                <patternFill>
                  <bgColor rgb="FF00B0F0"/>
                </patternFill>
              </fill>
            </x14:dxf>
          </x14:cfRule>
          <xm:sqref>W14:W608</xm:sqref>
        </x14:conditionalFormatting>
        <x14:conditionalFormatting xmlns:xm="http://schemas.microsoft.com/office/excel/2006/main">
          <x14:cfRule type="expression" priority="2" id="{DEDEDBB0-3AD1-4F42-B71D-26EB1D34C5FC}">
            <xm:f>$L14=FilterSpecs!$F$13</xm:f>
            <x14:dxf>
              <font>
                <b/>
                <i val="0"/>
                <color theme="0"/>
              </font>
              <fill>
                <patternFill>
                  <bgColor theme="9" tint="-0.499984740745262"/>
                </patternFill>
              </fill>
            </x14:dxf>
          </x14:cfRule>
          <x14:cfRule type="expression" priority="3" id="{B8492C7E-B9C7-42FC-AB08-4D8019C6B5E9}">
            <xm:f>$L14=FilterSpecs!$F$11</xm:f>
            <x14:dxf>
              <font>
                <b/>
                <i val="0"/>
                <color theme="0"/>
              </font>
              <fill>
                <patternFill>
                  <bgColor rgb="FF00B050"/>
                </patternFill>
              </fill>
            </x14:dxf>
          </x14:cfRule>
          <x14:cfRule type="expression" priority="4" id="{48ECEB6E-A65F-460B-B7E6-68E219533981}">
            <xm:f>$L14=FilterSpecs!$F$10</xm:f>
            <x14:dxf>
              <font>
                <b/>
                <i val="0"/>
                <color theme="0"/>
              </font>
              <fill>
                <patternFill>
                  <bgColor rgb="FF002060"/>
                </patternFill>
              </fill>
            </x14:dxf>
          </x14:cfRule>
          <x14:cfRule type="expression" priority="5" id="{E0DE2D21-A6D1-4EB8-B1F6-7E9984024B5A}">
            <xm:f>$L14=FilterSpecs!$F$9</xm:f>
            <x14:dxf>
              <font>
                <b/>
                <i val="0"/>
                <color theme="0"/>
              </font>
              <fill>
                <patternFill>
                  <bgColor rgb="FFFF0000"/>
                </patternFill>
              </fill>
            </x14:dxf>
          </x14:cfRule>
          <x14:cfRule type="expression" priority="6" id="{B650700D-8A25-4CB8-AAA3-BF6F2954A54F}">
            <xm:f>$L14=FilterSpecs!$F$8</xm:f>
            <x14:dxf>
              <font>
                <b/>
                <i val="0"/>
                <color theme="0"/>
              </font>
              <fill>
                <patternFill>
                  <bgColor rgb="FFFFC000"/>
                </patternFill>
              </fill>
            </x14:dxf>
          </x14:cfRule>
          <x14:cfRule type="expression" priority="7" id="{3C9A3697-79D8-4F53-A88A-03A2E07256F2}">
            <xm:f>$L14=FilterSpecs!$F$6</xm:f>
            <x14:dxf>
              <font>
                <b val="0"/>
                <i val="0"/>
              </font>
              <fill>
                <patternFill patternType="none">
                  <bgColor auto="1"/>
                </patternFill>
              </fill>
            </x14:dxf>
          </x14:cfRule>
          <x14:cfRule type="expression" priority="8" id="{08EC2CC5-3E5F-484D-AB77-44C207A17A7A}">
            <xm:f>$L14=FilterSpecs!$F$7</xm:f>
            <x14:dxf>
              <font>
                <b/>
                <i val="0"/>
                <color theme="0"/>
              </font>
              <fill>
                <patternFill>
                  <bgColor rgb="FF00B0F0"/>
                </patternFill>
              </fill>
            </x14:dxf>
          </x14:cfRule>
          <xm:sqref>X14:X608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F6D6D4E-734B-4670-98A8-61135754847C}">
          <x14:formula1>
            <xm:f>FilterSpecs!$C$6:$C$13</xm:f>
          </x14:formula1>
          <xm:sqref>A273:B273</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449F3-4662-424C-8FD6-EAABA60C6660}">
  <sheetPr codeName="Sheet11"/>
  <dimension ref="A1:XFD163"/>
  <sheetViews>
    <sheetView topLeftCell="A103" zoomScaleNormal="100" workbookViewId="0">
      <selection activeCell="A119" sqref="A119:XFD120"/>
    </sheetView>
  </sheetViews>
  <sheetFormatPr defaultRowHeight="14.4" x14ac:dyDescent="0.3"/>
  <cols>
    <col min="1" max="1" width="48.5546875" style="107" customWidth="1"/>
    <col min="2" max="2" width="49.44140625" style="107" customWidth="1"/>
    <col min="3" max="3" width="10.21875" style="107" bestFit="1" customWidth="1"/>
    <col min="4" max="4" width="12.44140625" style="107" customWidth="1"/>
    <col min="5" max="5" width="7.77734375" style="102" customWidth="1"/>
    <col min="6" max="6" width="2.33203125" style="105" hidden="1" customWidth="1"/>
    <col min="7" max="7" width="0.77734375" style="105" hidden="1" customWidth="1"/>
    <col min="8" max="8" width="64.21875" style="107" customWidth="1"/>
    <col min="9" max="9" width="8.88671875" style="105" hidden="1" customWidth="1"/>
    <col min="10" max="10" width="8.88671875" style="102" customWidth="1"/>
    <col min="11" max="11" width="4.21875" style="107" customWidth="1"/>
    <col min="12" max="12" width="58.44140625" style="105" customWidth="1"/>
    <col min="13" max="13" width="11.5546875" style="105" customWidth="1"/>
    <col min="14" max="16384" width="8.88671875" style="105"/>
  </cols>
  <sheetData>
    <row r="1" spans="1:16384" s="77" customFormat="1" ht="15.6" thickTop="1" thickBot="1" x14ac:dyDescent="0.35">
      <c r="A1" s="84" t="s">
        <v>893</v>
      </c>
      <c r="B1" s="84" t="s">
        <v>163</v>
      </c>
      <c r="C1" s="84" t="s">
        <v>7</v>
      </c>
      <c r="D1" s="84" t="s">
        <v>25</v>
      </c>
      <c r="E1" s="88" t="s">
        <v>26</v>
      </c>
      <c r="F1" s="77" t="s">
        <v>27</v>
      </c>
      <c r="G1" s="77" t="s">
        <v>28</v>
      </c>
      <c r="H1" s="84" t="s">
        <v>29</v>
      </c>
      <c r="I1" s="77" t="s">
        <v>30</v>
      </c>
      <c r="J1" s="88" t="s">
        <v>31</v>
      </c>
      <c r="K1" s="84"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7" t="s">
        <v>894</v>
      </c>
      <c r="B2" s="107" t="s">
        <v>888</v>
      </c>
      <c r="C2" s="107" t="s">
        <v>8</v>
      </c>
      <c r="D2" s="106" t="s">
        <v>136</v>
      </c>
      <c r="E2" s="103">
        <v>1</v>
      </c>
      <c r="F2" s="103" t="s">
        <v>137</v>
      </c>
      <c r="G2" s="103" t="s">
        <v>138</v>
      </c>
      <c r="H2" s="106" t="s">
        <v>139</v>
      </c>
      <c r="I2" s="103">
        <v>1</v>
      </c>
      <c r="J2" s="103">
        <v>49.95</v>
      </c>
      <c r="K2" s="106" t="s">
        <v>1914</v>
      </c>
      <c r="L2" s="105" t="s">
        <v>1489</v>
      </c>
      <c r="M2" s="105">
        <f>E2*J2</f>
        <v>49.95</v>
      </c>
    </row>
    <row r="3" spans="1:16384" x14ac:dyDescent="0.3">
      <c r="A3" s="106" t="s">
        <v>894</v>
      </c>
      <c r="B3" s="106" t="s">
        <v>888</v>
      </c>
      <c r="C3" s="106" t="s">
        <v>1898</v>
      </c>
      <c r="D3" s="106" t="s">
        <v>2251</v>
      </c>
      <c r="E3" s="103">
        <v>0</v>
      </c>
      <c r="F3" s="103"/>
      <c r="G3" s="103"/>
      <c r="H3" s="107" t="s">
        <v>2252</v>
      </c>
      <c r="J3" s="102">
        <v>22</v>
      </c>
      <c r="K3" s="107" t="s">
        <v>1910</v>
      </c>
      <c r="M3" s="105">
        <f t="shared" ref="M3:M66" si="0">E3*J3</f>
        <v>0</v>
      </c>
    </row>
    <row r="4" spans="1:16384" x14ac:dyDescent="0.3">
      <c r="A4" s="107" t="s">
        <v>894</v>
      </c>
      <c r="B4" s="107" t="s">
        <v>888</v>
      </c>
      <c r="C4" s="107" t="s">
        <v>8</v>
      </c>
      <c r="D4" s="106" t="s">
        <v>148</v>
      </c>
      <c r="E4" s="103">
        <v>1</v>
      </c>
      <c r="F4" s="103" t="s">
        <v>149</v>
      </c>
      <c r="G4" s="103" t="s">
        <v>150</v>
      </c>
      <c r="H4" s="106" t="s">
        <v>151</v>
      </c>
      <c r="I4" s="103"/>
      <c r="J4" s="103">
        <v>4.95</v>
      </c>
      <c r="K4" s="106" t="s">
        <v>1910</v>
      </c>
      <c r="M4" s="105">
        <f t="shared" si="0"/>
        <v>4.95</v>
      </c>
    </row>
    <row r="5" spans="1:16384" x14ac:dyDescent="0.3">
      <c r="A5" s="107" t="s">
        <v>894</v>
      </c>
      <c r="B5" s="107" t="s">
        <v>888</v>
      </c>
      <c r="C5" s="107" t="s">
        <v>8</v>
      </c>
      <c r="D5" s="106" t="s">
        <v>152</v>
      </c>
      <c r="E5" s="103">
        <v>1</v>
      </c>
      <c r="F5" s="103" t="s">
        <v>153</v>
      </c>
      <c r="G5" s="103" t="s">
        <v>154</v>
      </c>
      <c r="H5" s="106" t="s">
        <v>155</v>
      </c>
      <c r="I5" s="103">
        <v>1</v>
      </c>
      <c r="J5" s="103">
        <v>1.95</v>
      </c>
      <c r="K5" s="106" t="s">
        <v>1910</v>
      </c>
      <c r="M5" s="105">
        <f t="shared" si="0"/>
        <v>1.95</v>
      </c>
    </row>
    <row r="6" spans="1:16384" x14ac:dyDescent="0.3">
      <c r="A6" s="106" t="s">
        <v>894</v>
      </c>
      <c r="B6" s="106" t="s">
        <v>888</v>
      </c>
      <c r="C6" s="106" t="s">
        <v>1898</v>
      </c>
      <c r="D6" s="106" t="s">
        <v>2259</v>
      </c>
      <c r="E6" s="103">
        <v>0</v>
      </c>
      <c r="F6" s="103"/>
      <c r="G6" s="103"/>
      <c r="H6" s="107" t="s">
        <v>2260</v>
      </c>
      <c r="J6" s="102">
        <v>1.95</v>
      </c>
      <c r="K6" s="107" t="s">
        <v>1910</v>
      </c>
      <c r="M6" s="105">
        <f t="shared" si="0"/>
        <v>0</v>
      </c>
    </row>
    <row r="7" spans="1:16384" x14ac:dyDescent="0.3">
      <c r="A7" s="106" t="s">
        <v>894</v>
      </c>
      <c r="B7" s="106" t="s">
        <v>888</v>
      </c>
      <c r="C7" s="106" t="s">
        <v>1898</v>
      </c>
      <c r="D7" s="106" t="s">
        <v>2261</v>
      </c>
      <c r="E7" s="103">
        <v>0</v>
      </c>
      <c r="F7" s="103"/>
      <c r="G7" s="103"/>
      <c r="H7" s="107" t="s">
        <v>2262</v>
      </c>
      <c r="J7" s="102">
        <v>1.95</v>
      </c>
      <c r="K7" s="107" t="s">
        <v>1913</v>
      </c>
      <c r="M7" s="105">
        <f t="shared" si="0"/>
        <v>0</v>
      </c>
    </row>
    <row r="8" spans="1:16384" x14ac:dyDescent="0.3">
      <c r="A8" s="106" t="s">
        <v>894</v>
      </c>
      <c r="B8" s="106" t="s">
        <v>888</v>
      </c>
      <c r="C8" s="106" t="s">
        <v>1898</v>
      </c>
      <c r="D8" s="106" t="s">
        <v>2253</v>
      </c>
      <c r="E8" s="103">
        <v>0</v>
      </c>
      <c r="F8" s="103"/>
      <c r="G8" s="103"/>
      <c r="H8" s="107" t="s">
        <v>2254</v>
      </c>
      <c r="J8" s="102">
        <v>12.5</v>
      </c>
      <c r="K8" s="107" t="s">
        <v>1910</v>
      </c>
      <c r="M8" s="105">
        <f t="shared" si="0"/>
        <v>0</v>
      </c>
    </row>
    <row r="9" spans="1:16384" x14ac:dyDescent="0.3">
      <c r="A9" s="106" t="s">
        <v>894</v>
      </c>
      <c r="B9" s="106" t="s">
        <v>888</v>
      </c>
      <c r="C9" s="106" t="s">
        <v>1898</v>
      </c>
      <c r="D9" s="106" t="s">
        <v>2263</v>
      </c>
      <c r="E9" s="103">
        <v>0</v>
      </c>
      <c r="F9" s="103"/>
      <c r="G9" s="103"/>
      <c r="H9" s="107" t="s">
        <v>2264</v>
      </c>
      <c r="J9" s="102">
        <v>7.5</v>
      </c>
      <c r="K9" s="107" t="s">
        <v>1913</v>
      </c>
      <c r="M9" s="105">
        <f t="shared" si="0"/>
        <v>0</v>
      </c>
    </row>
    <row r="10" spans="1:16384" x14ac:dyDescent="0.3">
      <c r="A10" s="106" t="s">
        <v>894</v>
      </c>
      <c r="B10" s="106" t="s">
        <v>888</v>
      </c>
      <c r="C10" s="106" t="s">
        <v>1898</v>
      </c>
      <c r="D10" s="106" t="s">
        <v>2257</v>
      </c>
      <c r="E10" s="103">
        <v>1</v>
      </c>
      <c r="F10" s="103"/>
      <c r="G10" s="103"/>
      <c r="H10" s="107" t="s">
        <v>2258</v>
      </c>
      <c r="J10" s="102">
        <v>3.95</v>
      </c>
      <c r="K10" s="107" t="s">
        <v>1910</v>
      </c>
      <c r="M10" s="105">
        <f t="shared" si="0"/>
        <v>3.95</v>
      </c>
    </row>
    <row r="11" spans="1:16384" x14ac:dyDescent="0.3">
      <c r="A11" s="106" t="s">
        <v>894</v>
      </c>
      <c r="B11" s="106" t="s">
        <v>888</v>
      </c>
      <c r="C11" s="106" t="s">
        <v>1898</v>
      </c>
      <c r="D11" s="106" t="s">
        <v>2265</v>
      </c>
      <c r="E11" s="103">
        <v>0</v>
      </c>
      <c r="F11" s="103"/>
      <c r="G11" s="103"/>
      <c r="H11" s="107" t="s">
        <v>2266</v>
      </c>
      <c r="J11" s="102">
        <v>9.9499999999999993</v>
      </c>
      <c r="K11" s="107" t="s">
        <v>1910</v>
      </c>
      <c r="M11" s="105">
        <f t="shared" si="0"/>
        <v>0</v>
      </c>
    </row>
    <row r="12" spans="1:16384" x14ac:dyDescent="0.3">
      <c r="A12" s="107" t="s">
        <v>894</v>
      </c>
      <c r="B12" s="107" t="s">
        <v>888</v>
      </c>
      <c r="C12" s="107" t="s">
        <v>8</v>
      </c>
      <c r="D12" s="106" t="s">
        <v>156</v>
      </c>
      <c r="E12" s="103">
        <v>1</v>
      </c>
      <c r="F12" s="103" t="s">
        <v>157</v>
      </c>
      <c r="G12" s="103" t="s">
        <v>158</v>
      </c>
      <c r="H12" s="106" t="s">
        <v>159</v>
      </c>
      <c r="I12" s="103"/>
      <c r="J12" s="103">
        <v>0.75</v>
      </c>
      <c r="K12" s="106" t="s">
        <v>1910</v>
      </c>
      <c r="M12" s="105">
        <f t="shared" si="0"/>
        <v>0.75</v>
      </c>
    </row>
    <row r="13" spans="1:16384" x14ac:dyDescent="0.3">
      <c r="A13" s="107" t="s">
        <v>894</v>
      </c>
      <c r="B13" s="107" t="s">
        <v>888</v>
      </c>
      <c r="C13" s="107" t="s">
        <v>8</v>
      </c>
      <c r="D13" s="106" t="s">
        <v>667</v>
      </c>
      <c r="E13" s="103">
        <v>2</v>
      </c>
      <c r="F13" s="103" t="s">
        <v>668</v>
      </c>
      <c r="G13" s="103" t="s">
        <v>669</v>
      </c>
      <c r="H13" s="106" t="s">
        <v>670</v>
      </c>
      <c r="I13" s="103">
        <v>1</v>
      </c>
      <c r="J13" s="103">
        <v>4.95</v>
      </c>
      <c r="K13" s="106" t="s">
        <v>1910</v>
      </c>
      <c r="M13" s="105">
        <f t="shared" si="0"/>
        <v>9.9</v>
      </c>
    </row>
    <row r="14" spans="1:16384" x14ac:dyDescent="0.3">
      <c r="A14" s="107" t="s">
        <v>894</v>
      </c>
      <c r="B14" s="107" t="s">
        <v>888</v>
      </c>
      <c r="C14" s="107" t="s">
        <v>8</v>
      </c>
      <c r="D14" s="106" t="s">
        <v>140</v>
      </c>
      <c r="E14" s="103">
        <v>1</v>
      </c>
      <c r="F14" s="103" t="s">
        <v>141</v>
      </c>
      <c r="G14" s="103" t="s">
        <v>142</v>
      </c>
      <c r="H14" s="106" t="s">
        <v>143</v>
      </c>
      <c r="I14" s="103">
        <v>1</v>
      </c>
      <c r="J14" s="103">
        <v>59.95</v>
      </c>
      <c r="K14" s="106" t="s">
        <v>1914</v>
      </c>
      <c r="M14" s="105">
        <f t="shared" si="0"/>
        <v>59.95</v>
      </c>
    </row>
    <row r="15" spans="1:16384" x14ac:dyDescent="0.3">
      <c r="A15" s="107" t="s">
        <v>894</v>
      </c>
      <c r="B15" s="107" t="s">
        <v>888</v>
      </c>
      <c r="C15" s="107" t="s">
        <v>8</v>
      </c>
      <c r="D15" s="106" t="s">
        <v>1498</v>
      </c>
      <c r="E15" s="103">
        <v>1</v>
      </c>
      <c r="F15" s="103" t="s">
        <v>1499</v>
      </c>
      <c r="G15" s="103" t="s">
        <v>1500</v>
      </c>
      <c r="H15" s="106" t="s">
        <v>1501</v>
      </c>
      <c r="I15" s="103">
        <v>1</v>
      </c>
      <c r="J15" s="103">
        <v>9.9499999999999993</v>
      </c>
      <c r="K15" s="106" t="s">
        <v>1914</v>
      </c>
      <c r="M15" s="105">
        <f t="shared" si="0"/>
        <v>9.9499999999999993</v>
      </c>
    </row>
    <row r="16" spans="1:16384" x14ac:dyDescent="0.3">
      <c r="A16" s="107" t="s">
        <v>894</v>
      </c>
      <c r="B16" s="107" t="s">
        <v>888</v>
      </c>
      <c r="C16" s="107" t="s">
        <v>8</v>
      </c>
      <c r="D16" s="106" t="s">
        <v>1519</v>
      </c>
      <c r="E16" s="103">
        <v>1</v>
      </c>
      <c r="F16" s="103" t="s">
        <v>1520</v>
      </c>
      <c r="G16" s="103" t="s">
        <v>1521</v>
      </c>
      <c r="H16" s="106" t="s">
        <v>1522</v>
      </c>
      <c r="I16" s="103">
        <v>1</v>
      </c>
      <c r="J16" s="103">
        <v>0.95</v>
      </c>
      <c r="K16" s="106" t="s">
        <v>1910</v>
      </c>
      <c r="M16" s="105">
        <f t="shared" si="0"/>
        <v>0.95</v>
      </c>
    </row>
    <row r="17" spans="1:13" x14ac:dyDescent="0.3">
      <c r="A17" s="107" t="s">
        <v>894</v>
      </c>
      <c r="B17" s="107" t="s">
        <v>888</v>
      </c>
      <c r="C17" s="107" t="s">
        <v>8</v>
      </c>
      <c r="D17" s="106" t="s">
        <v>1851</v>
      </c>
      <c r="E17" s="103">
        <v>1</v>
      </c>
      <c r="F17" s="103" t="s">
        <v>1852</v>
      </c>
      <c r="G17" s="103" t="s">
        <v>1853</v>
      </c>
      <c r="H17" s="106" t="s">
        <v>1854</v>
      </c>
      <c r="I17" s="103">
        <v>1</v>
      </c>
      <c r="J17" s="103">
        <v>5.95</v>
      </c>
      <c r="K17" s="106" t="s">
        <v>1910</v>
      </c>
      <c r="M17" s="105">
        <f t="shared" si="0"/>
        <v>5.95</v>
      </c>
    </row>
    <row r="18" spans="1:13" x14ac:dyDescent="0.3">
      <c r="A18" s="106" t="s">
        <v>894</v>
      </c>
      <c r="B18" s="106" t="s">
        <v>888</v>
      </c>
      <c r="C18" s="106" t="s">
        <v>1898</v>
      </c>
      <c r="D18" s="106" t="s">
        <v>2255</v>
      </c>
      <c r="E18" s="103">
        <v>0</v>
      </c>
      <c r="F18" s="103"/>
      <c r="G18" s="103"/>
      <c r="H18" s="107" t="s">
        <v>2256</v>
      </c>
      <c r="J18" s="102">
        <v>5.95</v>
      </c>
      <c r="K18" s="107" t="s">
        <v>1910</v>
      </c>
      <c r="M18" s="105">
        <f t="shared" si="0"/>
        <v>0</v>
      </c>
    </row>
    <row r="19" spans="1:13" x14ac:dyDescent="0.3">
      <c r="A19" s="107" t="s">
        <v>894</v>
      </c>
      <c r="B19" s="107" t="s">
        <v>888</v>
      </c>
      <c r="C19" s="107" t="s">
        <v>8</v>
      </c>
      <c r="D19" s="106" t="s">
        <v>144</v>
      </c>
      <c r="E19" s="103">
        <v>0</v>
      </c>
      <c r="F19" s="103" t="s">
        <v>145</v>
      </c>
      <c r="G19" s="103" t="s">
        <v>146</v>
      </c>
      <c r="H19" s="106" t="s">
        <v>147</v>
      </c>
      <c r="I19" s="103">
        <v>1</v>
      </c>
      <c r="J19" s="103">
        <v>10.95</v>
      </c>
      <c r="K19" s="106" t="s">
        <v>1910</v>
      </c>
      <c r="M19" s="105">
        <f t="shared" si="0"/>
        <v>0</v>
      </c>
    </row>
    <row r="20" spans="1:13" x14ac:dyDescent="0.3">
      <c r="A20" s="107" t="s">
        <v>894</v>
      </c>
      <c r="B20" s="107" t="s">
        <v>12</v>
      </c>
      <c r="C20" s="107" t="s">
        <v>8</v>
      </c>
      <c r="D20" s="106" t="s">
        <v>56</v>
      </c>
      <c r="E20" s="103">
        <v>5</v>
      </c>
      <c r="F20" s="103" t="s">
        <v>57</v>
      </c>
      <c r="G20" s="103" t="s">
        <v>58</v>
      </c>
      <c r="H20" s="106" t="s">
        <v>59</v>
      </c>
      <c r="I20" s="103">
        <v>1</v>
      </c>
      <c r="J20" s="103">
        <v>9.9499999999999993</v>
      </c>
      <c r="K20" s="106" t="s">
        <v>1911</v>
      </c>
      <c r="M20" s="105">
        <f t="shared" si="0"/>
        <v>49.75</v>
      </c>
    </row>
    <row r="21" spans="1:13" x14ac:dyDescent="0.3">
      <c r="A21" s="107" t="s">
        <v>894</v>
      </c>
      <c r="B21" s="107" t="s">
        <v>12</v>
      </c>
      <c r="C21" s="107" t="s">
        <v>8</v>
      </c>
      <c r="D21" s="106" t="s">
        <v>60</v>
      </c>
      <c r="E21" s="103">
        <v>5</v>
      </c>
      <c r="F21" s="103" t="s">
        <v>61</v>
      </c>
      <c r="G21" s="103" t="s">
        <v>62</v>
      </c>
      <c r="H21" s="106" t="s">
        <v>63</v>
      </c>
      <c r="I21" s="103">
        <v>1</v>
      </c>
      <c r="J21" s="103">
        <v>24.95</v>
      </c>
      <c r="K21" s="106" t="s">
        <v>1911</v>
      </c>
      <c r="M21" s="105">
        <f t="shared" si="0"/>
        <v>124.75</v>
      </c>
    </row>
    <row r="22" spans="1:13" x14ac:dyDescent="0.3">
      <c r="A22" s="107" t="s">
        <v>894</v>
      </c>
      <c r="B22" s="107" t="s">
        <v>12</v>
      </c>
      <c r="C22" s="107" t="s">
        <v>8</v>
      </c>
      <c r="D22" s="106" t="s">
        <v>64</v>
      </c>
      <c r="E22" s="103">
        <v>5</v>
      </c>
      <c r="F22" s="103" t="s">
        <v>65</v>
      </c>
      <c r="G22" s="103" t="s">
        <v>66</v>
      </c>
      <c r="H22" s="106" t="s">
        <v>67</v>
      </c>
      <c r="I22" s="103"/>
      <c r="J22" s="103">
        <v>10.95</v>
      </c>
      <c r="K22" s="106" t="s">
        <v>1911</v>
      </c>
      <c r="M22" s="105">
        <f t="shared" si="0"/>
        <v>54.75</v>
      </c>
    </row>
    <row r="23" spans="1:13" x14ac:dyDescent="0.3">
      <c r="A23" s="107" t="s">
        <v>894</v>
      </c>
      <c r="B23" s="107" t="s">
        <v>12</v>
      </c>
      <c r="C23" s="107" t="s">
        <v>8</v>
      </c>
      <c r="D23" s="106" t="s">
        <v>68</v>
      </c>
      <c r="E23" s="103">
        <f>E20+E21</f>
        <v>10</v>
      </c>
      <c r="F23" s="103" t="s">
        <v>69</v>
      </c>
      <c r="G23" s="103" t="s">
        <v>70</v>
      </c>
      <c r="H23" s="106" t="s">
        <v>71</v>
      </c>
      <c r="I23" s="103">
        <v>1</v>
      </c>
      <c r="J23" s="103">
        <v>24.95</v>
      </c>
      <c r="K23" s="106" t="s">
        <v>1911</v>
      </c>
      <c r="M23" s="105">
        <f t="shared" si="0"/>
        <v>249.5</v>
      </c>
    </row>
    <row r="24" spans="1:13" x14ac:dyDescent="0.3">
      <c r="A24" s="107" t="s">
        <v>894</v>
      </c>
      <c r="B24" s="107" t="s">
        <v>1896</v>
      </c>
      <c r="C24" s="107" t="s">
        <v>8</v>
      </c>
      <c r="D24" s="106" t="s">
        <v>230</v>
      </c>
      <c r="E24" s="103">
        <v>1</v>
      </c>
      <c r="F24" s="103" t="s">
        <v>231</v>
      </c>
      <c r="G24" s="103" t="s">
        <v>232</v>
      </c>
      <c r="H24" s="106" t="s">
        <v>198</v>
      </c>
      <c r="I24" s="103">
        <v>1</v>
      </c>
      <c r="J24" s="103">
        <v>54.95</v>
      </c>
      <c r="K24" s="106" t="s">
        <v>1910</v>
      </c>
      <c r="M24" s="105">
        <f t="shared" si="0"/>
        <v>54.95</v>
      </c>
    </row>
    <row r="25" spans="1:13" x14ac:dyDescent="0.3">
      <c r="A25" s="107" t="s">
        <v>894</v>
      </c>
      <c r="B25" s="107" t="s">
        <v>1896</v>
      </c>
      <c r="C25" s="107" t="s">
        <v>8</v>
      </c>
      <c r="D25" s="106" t="s">
        <v>1831</v>
      </c>
      <c r="E25" s="103">
        <v>1</v>
      </c>
      <c r="F25" s="103" t="s">
        <v>1832</v>
      </c>
      <c r="G25" s="103" t="s">
        <v>1833</v>
      </c>
      <c r="H25" s="106" t="s">
        <v>1834</v>
      </c>
      <c r="I25" s="103">
        <v>1</v>
      </c>
      <c r="J25" s="103">
        <v>14.95</v>
      </c>
      <c r="K25" s="106" t="s">
        <v>1910</v>
      </c>
      <c r="M25" s="105">
        <f t="shared" si="0"/>
        <v>14.95</v>
      </c>
    </row>
    <row r="26" spans="1:13" x14ac:dyDescent="0.3">
      <c r="A26" s="107" t="s">
        <v>894</v>
      </c>
      <c r="B26" s="107" t="s">
        <v>1896</v>
      </c>
      <c r="C26" s="107" t="s">
        <v>8</v>
      </c>
      <c r="D26" s="106" t="s">
        <v>925</v>
      </c>
      <c r="E26" s="103">
        <v>1</v>
      </c>
      <c r="F26" s="103" t="s">
        <v>926</v>
      </c>
      <c r="G26" s="103" t="s">
        <v>927</v>
      </c>
      <c r="H26" s="106" t="s">
        <v>928</v>
      </c>
      <c r="I26" s="103">
        <v>1</v>
      </c>
      <c r="J26" s="103">
        <v>19.95</v>
      </c>
      <c r="K26" s="106" t="s">
        <v>1914</v>
      </c>
      <c r="M26" s="105">
        <f t="shared" si="0"/>
        <v>19.95</v>
      </c>
    </row>
    <row r="27" spans="1:13" x14ac:dyDescent="0.3">
      <c r="A27" s="107" t="s">
        <v>894</v>
      </c>
      <c r="B27" s="107" t="s">
        <v>1896</v>
      </c>
      <c r="C27" s="107" t="s">
        <v>8</v>
      </c>
      <c r="D27" s="12" t="s">
        <v>2507</v>
      </c>
      <c r="E27" s="12">
        <v>0</v>
      </c>
      <c r="F27" s="12" t="s">
        <v>2508</v>
      </c>
      <c r="G27" s="12" t="s">
        <v>2509</v>
      </c>
      <c r="H27" s="12" t="s">
        <v>2510</v>
      </c>
      <c r="I27" s="12">
        <v>1</v>
      </c>
      <c r="J27" s="12">
        <v>14.95</v>
      </c>
      <c r="K27" s="107" t="s">
        <v>1911</v>
      </c>
      <c r="M27" s="105">
        <f t="shared" si="0"/>
        <v>0</v>
      </c>
    </row>
    <row r="28" spans="1:13" x14ac:dyDescent="0.3">
      <c r="A28" s="107" t="s">
        <v>894</v>
      </c>
      <c r="B28" s="107" t="s">
        <v>1896</v>
      </c>
      <c r="C28" s="107" t="s">
        <v>8</v>
      </c>
      <c r="D28" s="106" t="s">
        <v>286</v>
      </c>
      <c r="E28" s="103">
        <v>0</v>
      </c>
      <c r="F28" s="103" t="s">
        <v>287</v>
      </c>
      <c r="G28" s="103" t="s">
        <v>288</v>
      </c>
      <c r="H28" s="106" t="s">
        <v>203</v>
      </c>
      <c r="I28" s="103">
        <v>1</v>
      </c>
      <c r="J28" s="103">
        <v>9.9499999999999993</v>
      </c>
      <c r="K28" s="106" t="s">
        <v>1911</v>
      </c>
      <c r="M28" s="105">
        <f t="shared" si="0"/>
        <v>0</v>
      </c>
    </row>
    <row r="29" spans="1:13" x14ac:dyDescent="0.3">
      <c r="A29" s="107" t="s">
        <v>894</v>
      </c>
      <c r="B29" s="107" t="s">
        <v>1896</v>
      </c>
      <c r="C29" s="107" t="s">
        <v>8</v>
      </c>
      <c r="D29" s="106" t="s">
        <v>414</v>
      </c>
      <c r="E29" s="103">
        <v>5</v>
      </c>
      <c r="F29" s="103" t="s">
        <v>415</v>
      </c>
      <c r="G29" s="103" t="s">
        <v>416</v>
      </c>
      <c r="H29" s="106" t="s">
        <v>223</v>
      </c>
      <c r="I29" s="103">
        <v>1</v>
      </c>
      <c r="J29" s="103">
        <v>4.95</v>
      </c>
      <c r="K29" s="106" t="s">
        <v>1911</v>
      </c>
      <c r="M29" s="105">
        <f t="shared" si="0"/>
        <v>24.75</v>
      </c>
    </row>
    <row r="30" spans="1:13" x14ac:dyDescent="0.3">
      <c r="A30" s="107" t="s">
        <v>894</v>
      </c>
      <c r="B30" s="107" t="s">
        <v>1896</v>
      </c>
      <c r="C30" s="107" t="s">
        <v>8</v>
      </c>
      <c r="D30" s="106" t="s">
        <v>635</v>
      </c>
      <c r="E30" s="103">
        <v>6</v>
      </c>
      <c r="F30" s="103" t="s">
        <v>636</v>
      </c>
      <c r="G30" s="103" t="s">
        <v>637</v>
      </c>
      <c r="H30" s="106" t="s">
        <v>638</v>
      </c>
      <c r="I30" s="103">
        <v>1</v>
      </c>
      <c r="J30" s="103">
        <v>19.95</v>
      </c>
      <c r="K30" s="106" t="s">
        <v>1910</v>
      </c>
      <c r="M30" s="105">
        <f t="shared" si="0"/>
        <v>119.69999999999999</v>
      </c>
    </row>
    <row r="31" spans="1:13" x14ac:dyDescent="0.3">
      <c r="A31" s="106" t="s">
        <v>894</v>
      </c>
      <c r="B31" s="106" t="s">
        <v>1896</v>
      </c>
      <c r="C31" s="106" t="s">
        <v>1898</v>
      </c>
      <c r="D31" s="106" t="s">
        <v>2267</v>
      </c>
      <c r="E31" s="103">
        <v>2</v>
      </c>
      <c r="F31" s="103"/>
      <c r="G31" s="103"/>
      <c r="H31" s="107" t="s">
        <v>2268</v>
      </c>
      <c r="J31" s="102">
        <v>7.95</v>
      </c>
      <c r="K31" s="107" t="s">
        <v>1910</v>
      </c>
      <c r="M31" s="105">
        <f t="shared" si="0"/>
        <v>15.9</v>
      </c>
    </row>
    <row r="32" spans="1:13" x14ac:dyDescent="0.3">
      <c r="A32" s="106" t="s">
        <v>894</v>
      </c>
      <c r="B32" s="106" t="s">
        <v>1896</v>
      </c>
      <c r="C32" s="106" t="s">
        <v>1898</v>
      </c>
      <c r="D32" s="106" t="s">
        <v>2269</v>
      </c>
      <c r="E32" s="103">
        <v>0</v>
      </c>
      <c r="F32" s="103"/>
      <c r="G32" s="103"/>
      <c r="H32" s="107" t="s">
        <v>2270</v>
      </c>
      <c r="J32" s="102">
        <v>19.95</v>
      </c>
      <c r="K32" s="107" t="s">
        <v>1913</v>
      </c>
      <c r="M32" s="105">
        <f t="shared" si="0"/>
        <v>0</v>
      </c>
    </row>
    <row r="33" spans="1:13" x14ac:dyDescent="0.3">
      <c r="A33" s="106" t="s">
        <v>894</v>
      </c>
      <c r="B33" s="106" t="s">
        <v>1896</v>
      </c>
      <c r="C33" s="106" t="s">
        <v>1898</v>
      </c>
      <c r="D33" s="106" t="s">
        <v>2271</v>
      </c>
      <c r="E33" s="103">
        <v>0</v>
      </c>
      <c r="F33" s="103"/>
      <c r="G33" s="103"/>
      <c r="H33" s="107" t="s">
        <v>2272</v>
      </c>
      <c r="J33" s="102">
        <v>9.9499999999999993</v>
      </c>
      <c r="K33" s="107" t="s">
        <v>1910</v>
      </c>
      <c r="M33" s="105">
        <f t="shared" si="0"/>
        <v>0</v>
      </c>
    </row>
    <row r="34" spans="1:13" x14ac:dyDescent="0.3">
      <c r="A34" s="107" t="s">
        <v>894</v>
      </c>
      <c r="B34" s="107" t="s">
        <v>1896</v>
      </c>
      <c r="C34" s="107" t="s">
        <v>8</v>
      </c>
      <c r="D34" s="106" t="s">
        <v>347</v>
      </c>
      <c r="E34" s="103">
        <v>5</v>
      </c>
      <c r="F34" s="103" t="s">
        <v>348</v>
      </c>
      <c r="G34" s="103" t="s">
        <v>349</v>
      </c>
      <c r="H34" s="106" t="s">
        <v>350</v>
      </c>
      <c r="I34" s="103"/>
      <c r="J34" s="103">
        <v>4.95</v>
      </c>
      <c r="K34" s="106" t="s">
        <v>1911</v>
      </c>
      <c r="M34" s="105">
        <f t="shared" si="0"/>
        <v>24.75</v>
      </c>
    </row>
    <row r="35" spans="1:13" x14ac:dyDescent="0.3">
      <c r="A35" s="107" t="s">
        <v>894</v>
      </c>
      <c r="B35" s="107" t="s">
        <v>1896</v>
      </c>
      <c r="C35" s="107" t="s">
        <v>8</v>
      </c>
      <c r="D35" s="106" t="s">
        <v>233</v>
      </c>
      <c r="E35" s="103">
        <v>1</v>
      </c>
      <c r="F35" s="103" t="s">
        <v>234</v>
      </c>
      <c r="G35" s="103" t="s">
        <v>235</v>
      </c>
      <c r="H35" s="106" t="s">
        <v>205</v>
      </c>
      <c r="I35" s="103">
        <v>1</v>
      </c>
      <c r="J35" s="103">
        <v>9.9499999999999993</v>
      </c>
      <c r="K35" s="106" t="s">
        <v>1914</v>
      </c>
      <c r="M35" s="105">
        <f t="shared" si="0"/>
        <v>9.9499999999999993</v>
      </c>
    </row>
    <row r="36" spans="1:13" x14ac:dyDescent="0.3">
      <c r="A36" s="107" t="s">
        <v>894</v>
      </c>
      <c r="B36" s="107" t="s">
        <v>1896</v>
      </c>
      <c r="C36" s="107" t="s">
        <v>8</v>
      </c>
      <c r="D36" s="106" t="s">
        <v>332</v>
      </c>
      <c r="E36" s="103">
        <v>1</v>
      </c>
      <c r="F36" s="103" t="s">
        <v>333</v>
      </c>
      <c r="G36" s="103" t="s">
        <v>334</v>
      </c>
      <c r="H36" s="106" t="s">
        <v>335</v>
      </c>
      <c r="I36" s="103">
        <v>1</v>
      </c>
      <c r="J36" s="103">
        <v>54.95</v>
      </c>
      <c r="K36" s="106" t="s">
        <v>2490</v>
      </c>
      <c r="M36" s="105">
        <f t="shared" si="0"/>
        <v>54.95</v>
      </c>
    </row>
    <row r="37" spans="1:13" x14ac:dyDescent="0.3">
      <c r="A37" s="106" t="s">
        <v>894</v>
      </c>
      <c r="B37" s="106" t="s">
        <v>1896</v>
      </c>
      <c r="C37" s="106" t="s">
        <v>1898</v>
      </c>
      <c r="D37" s="106" t="s">
        <v>2079</v>
      </c>
      <c r="E37" s="103">
        <v>1</v>
      </c>
      <c r="F37" s="103"/>
      <c r="G37" s="103"/>
      <c r="H37" s="107" t="s">
        <v>2078</v>
      </c>
      <c r="J37" s="102">
        <v>2.95</v>
      </c>
      <c r="K37" s="107" t="s">
        <v>1910</v>
      </c>
      <c r="M37" s="105">
        <f t="shared" si="0"/>
        <v>2.95</v>
      </c>
    </row>
    <row r="38" spans="1:13" x14ac:dyDescent="0.3">
      <c r="A38" s="107" t="s">
        <v>894</v>
      </c>
      <c r="B38" s="107" t="s">
        <v>2030</v>
      </c>
      <c r="C38" s="107" t="s">
        <v>8</v>
      </c>
      <c r="D38" s="106" t="s">
        <v>1140</v>
      </c>
      <c r="E38" s="103">
        <v>1</v>
      </c>
      <c r="F38" s="103" t="s">
        <v>1141</v>
      </c>
      <c r="G38" s="103" t="s">
        <v>1142</v>
      </c>
      <c r="H38" s="106" t="s">
        <v>1143</v>
      </c>
      <c r="I38" s="103">
        <v>1</v>
      </c>
      <c r="J38" s="103">
        <v>3.95</v>
      </c>
      <c r="K38" s="106" t="s">
        <v>1910</v>
      </c>
      <c r="M38" s="105">
        <f t="shared" si="0"/>
        <v>3.95</v>
      </c>
    </row>
    <row r="39" spans="1:13" x14ac:dyDescent="0.3">
      <c r="A39" s="107" t="s">
        <v>894</v>
      </c>
      <c r="B39" s="107" t="s">
        <v>2030</v>
      </c>
      <c r="C39" s="107" t="s">
        <v>8</v>
      </c>
      <c r="D39" s="106" t="s">
        <v>1729</v>
      </c>
      <c r="E39" s="103">
        <v>1</v>
      </c>
      <c r="F39" s="103" t="s">
        <v>1730</v>
      </c>
      <c r="G39" s="103" t="s">
        <v>1731</v>
      </c>
      <c r="H39" s="106" t="s">
        <v>1732</v>
      </c>
      <c r="I39" s="103">
        <v>1</v>
      </c>
      <c r="J39" s="103">
        <v>2.95</v>
      </c>
      <c r="K39" s="106" t="s">
        <v>1910</v>
      </c>
      <c r="M39" s="105">
        <f t="shared" si="0"/>
        <v>2.95</v>
      </c>
    </row>
    <row r="40" spans="1:13" x14ac:dyDescent="0.3">
      <c r="A40" s="107" t="s">
        <v>894</v>
      </c>
      <c r="B40" s="107" t="s">
        <v>2030</v>
      </c>
      <c r="C40" s="107" t="s">
        <v>8</v>
      </c>
      <c r="D40" s="106" t="s">
        <v>1673</v>
      </c>
      <c r="E40" s="103">
        <v>1</v>
      </c>
      <c r="F40" s="103" t="s">
        <v>1674</v>
      </c>
      <c r="G40" s="103" t="s">
        <v>1675</v>
      </c>
      <c r="H40" s="106" t="s">
        <v>1676</v>
      </c>
      <c r="I40" s="103"/>
      <c r="J40" s="103">
        <v>3.95</v>
      </c>
      <c r="K40" s="106" t="s">
        <v>1910</v>
      </c>
      <c r="M40" s="105">
        <f t="shared" si="0"/>
        <v>3.95</v>
      </c>
    </row>
    <row r="41" spans="1:13" x14ac:dyDescent="0.3">
      <c r="A41" s="107" t="s">
        <v>894</v>
      </c>
      <c r="B41" s="107" t="s">
        <v>2030</v>
      </c>
      <c r="C41" s="107" t="s">
        <v>8</v>
      </c>
      <c r="D41" s="106" t="s">
        <v>1445</v>
      </c>
      <c r="E41" s="103">
        <v>10</v>
      </c>
      <c r="F41" s="103" t="s">
        <v>1446</v>
      </c>
      <c r="G41" s="103" t="s">
        <v>1447</v>
      </c>
      <c r="H41" s="106" t="s">
        <v>1448</v>
      </c>
      <c r="I41" s="103">
        <v>1</v>
      </c>
      <c r="J41" s="103">
        <v>1.95</v>
      </c>
      <c r="K41" s="106" t="s">
        <v>1911</v>
      </c>
      <c r="M41" s="105">
        <f t="shared" si="0"/>
        <v>19.5</v>
      </c>
    </row>
    <row r="42" spans="1:13" x14ac:dyDescent="0.3">
      <c r="A42" s="107" t="s">
        <v>894</v>
      </c>
      <c r="B42" s="107" t="s">
        <v>2030</v>
      </c>
      <c r="C42" s="107" t="s">
        <v>8</v>
      </c>
      <c r="D42" s="106" t="s">
        <v>1136</v>
      </c>
      <c r="E42" s="103">
        <v>2</v>
      </c>
      <c r="F42" s="103" t="s">
        <v>1137</v>
      </c>
      <c r="G42" s="103" t="s">
        <v>1138</v>
      </c>
      <c r="H42" s="106" t="s">
        <v>1139</v>
      </c>
      <c r="I42" s="103">
        <v>1</v>
      </c>
      <c r="J42" s="103">
        <v>2.95</v>
      </c>
      <c r="K42" s="106" t="s">
        <v>1910</v>
      </c>
      <c r="M42" s="105">
        <f t="shared" si="0"/>
        <v>5.9</v>
      </c>
    </row>
    <row r="43" spans="1:13" x14ac:dyDescent="0.3">
      <c r="A43" s="107" t="s">
        <v>894</v>
      </c>
      <c r="B43" s="107" t="s">
        <v>2030</v>
      </c>
      <c r="C43" s="107" t="s">
        <v>8</v>
      </c>
      <c r="D43" s="106" t="s">
        <v>1132</v>
      </c>
      <c r="E43" s="103">
        <v>5</v>
      </c>
      <c r="F43" s="103" t="s">
        <v>1133</v>
      </c>
      <c r="G43" s="103" t="s">
        <v>1134</v>
      </c>
      <c r="H43" s="106" t="s">
        <v>1135</v>
      </c>
      <c r="I43" s="103">
        <v>1</v>
      </c>
      <c r="J43" s="103">
        <v>7.95</v>
      </c>
      <c r="K43" s="106" t="s">
        <v>1911</v>
      </c>
      <c r="M43" s="105">
        <f t="shared" si="0"/>
        <v>39.75</v>
      </c>
    </row>
    <row r="44" spans="1:13" x14ac:dyDescent="0.3">
      <c r="A44" s="107" t="s">
        <v>894</v>
      </c>
      <c r="B44" s="107" t="s">
        <v>2030</v>
      </c>
      <c r="C44" s="107" t="s">
        <v>8</v>
      </c>
      <c r="D44" s="106" t="s">
        <v>120</v>
      </c>
      <c r="E44" s="103">
        <v>5</v>
      </c>
      <c r="F44" s="103" t="s">
        <v>121</v>
      </c>
      <c r="G44" s="103" t="s">
        <v>122</v>
      </c>
      <c r="H44" s="106" t="s">
        <v>123</v>
      </c>
      <c r="I44" s="103">
        <v>1</v>
      </c>
      <c r="J44" s="103">
        <v>5.95</v>
      </c>
      <c r="K44" s="106" t="s">
        <v>1911</v>
      </c>
      <c r="M44" s="105">
        <f t="shared" si="0"/>
        <v>29.75</v>
      </c>
    </row>
    <row r="45" spans="1:13" x14ac:dyDescent="0.3">
      <c r="A45" s="107" t="s">
        <v>894</v>
      </c>
      <c r="B45" s="107" t="s">
        <v>2030</v>
      </c>
      <c r="C45" s="107" t="s">
        <v>8</v>
      </c>
      <c r="D45" s="106" t="s">
        <v>124</v>
      </c>
      <c r="E45" s="103">
        <v>3</v>
      </c>
      <c r="F45" s="103" t="s">
        <v>125</v>
      </c>
      <c r="G45" s="103" t="s">
        <v>126</v>
      </c>
      <c r="H45" s="106" t="s">
        <v>127</v>
      </c>
      <c r="I45" s="103">
        <v>1</v>
      </c>
      <c r="J45" s="103">
        <v>4.95</v>
      </c>
      <c r="K45" s="106" t="s">
        <v>1910</v>
      </c>
      <c r="M45" s="105">
        <f t="shared" si="0"/>
        <v>14.850000000000001</v>
      </c>
    </row>
    <row r="46" spans="1:13" x14ac:dyDescent="0.3">
      <c r="A46" s="106" t="s">
        <v>894</v>
      </c>
      <c r="B46" s="106" t="s">
        <v>2030</v>
      </c>
      <c r="C46" s="106" t="s">
        <v>1898</v>
      </c>
      <c r="D46" s="106" t="s">
        <v>2344</v>
      </c>
      <c r="E46" s="103">
        <v>0</v>
      </c>
      <c r="F46" s="103"/>
      <c r="G46" s="103"/>
      <c r="H46" s="107" t="s">
        <v>2345</v>
      </c>
      <c r="J46" s="102">
        <v>2.95</v>
      </c>
      <c r="K46" s="107" t="s">
        <v>1910</v>
      </c>
      <c r="M46" s="105">
        <f t="shared" si="0"/>
        <v>0</v>
      </c>
    </row>
    <row r="47" spans="1:13" x14ac:dyDescent="0.3">
      <c r="A47" s="106" t="s">
        <v>894</v>
      </c>
      <c r="B47" s="106" t="s">
        <v>2030</v>
      </c>
      <c r="C47" s="106" t="s">
        <v>1898</v>
      </c>
      <c r="D47" s="106" t="s">
        <v>2346</v>
      </c>
      <c r="E47" s="103">
        <v>0</v>
      </c>
      <c r="F47" s="103"/>
      <c r="G47" s="103"/>
      <c r="H47" s="107" t="s">
        <v>2347</v>
      </c>
      <c r="J47" s="102">
        <v>2.5</v>
      </c>
      <c r="K47" s="107" t="s">
        <v>1910</v>
      </c>
      <c r="M47" s="105">
        <f t="shared" si="0"/>
        <v>0</v>
      </c>
    </row>
    <row r="48" spans="1:13" x14ac:dyDescent="0.3">
      <c r="A48" s="107" t="s">
        <v>894</v>
      </c>
      <c r="B48" s="107" t="s">
        <v>1616</v>
      </c>
      <c r="C48" s="107" t="s">
        <v>8</v>
      </c>
      <c r="D48" s="106" t="s">
        <v>32</v>
      </c>
      <c r="E48" s="103">
        <v>5</v>
      </c>
      <c r="F48" s="103" t="s">
        <v>33</v>
      </c>
      <c r="G48" s="103" t="s">
        <v>34</v>
      </c>
      <c r="H48" s="106" t="s">
        <v>35</v>
      </c>
      <c r="I48" s="103">
        <v>1</v>
      </c>
      <c r="J48" s="103">
        <v>45.95</v>
      </c>
      <c r="K48" s="106" t="s">
        <v>1911</v>
      </c>
      <c r="M48" s="105">
        <f t="shared" si="0"/>
        <v>229.75</v>
      </c>
    </row>
    <row r="49" spans="1:13" x14ac:dyDescent="0.3">
      <c r="A49" s="107" t="s">
        <v>894</v>
      </c>
      <c r="B49" s="107" t="s">
        <v>2039</v>
      </c>
      <c r="C49" s="107" t="s">
        <v>8</v>
      </c>
      <c r="D49" s="106" t="s">
        <v>791</v>
      </c>
      <c r="E49" s="103">
        <v>0</v>
      </c>
      <c r="F49" s="103" t="s">
        <v>792</v>
      </c>
      <c r="G49" s="103" t="s">
        <v>793</v>
      </c>
      <c r="H49" s="106" t="s">
        <v>794</v>
      </c>
      <c r="I49" s="103">
        <v>1</v>
      </c>
      <c r="J49" s="103">
        <v>5.95</v>
      </c>
      <c r="K49" s="106" t="s">
        <v>1911</v>
      </c>
      <c r="M49" s="105">
        <f t="shared" si="0"/>
        <v>0</v>
      </c>
    </row>
    <row r="50" spans="1:13" x14ac:dyDescent="0.3">
      <c r="A50" s="107" t="s">
        <v>894</v>
      </c>
      <c r="B50" s="107" t="s">
        <v>2039</v>
      </c>
      <c r="C50" s="107" t="s">
        <v>8</v>
      </c>
      <c r="D50" s="106" t="s">
        <v>1779</v>
      </c>
      <c r="E50" s="103">
        <v>0</v>
      </c>
      <c r="F50" s="103" t="s">
        <v>1780</v>
      </c>
      <c r="G50" s="103" t="s">
        <v>1781</v>
      </c>
      <c r="H50" s="106" t="s">
        <v>1782</v>
      </c>
      <c r="I50" s="103">
        <v>1</v>
      </c>
      <c r="J50" s="103">
        <v>5.95</v>
      </c>
      <c r="K50" s="106" t="s">
        <v>1910</v>
      </c>
      <c r="M50" s="105">
        <f t="shared" si="0"/>
        <v>0</v>
      </c>
    </row>
    <row r="51" spans="1:13" x14ac:dyDescent="0.3">
      <c r="A51" s="106" t="s">
        <v>894</v>
      </c>
      <c r="B51" s="106" t="s">
        <v>2039</v>
      </c>
      <c r="C51" s="106" t="s">
        <v>1898</v>
      </c>
      <c r="D51" s="106" t="s">
        <v>2283</v>
      </c>
      <c r="E51" s="103">
        <v>0</v>
      </c>
      <c r="F51" s="103"/>
      <c r="G51" s="103"/>
      <c r="H51" s="107" t="s">
        <v>2284</v>
      </c>
      <c r="J51" s="102">
        <v>7.95</v>
      </c>
      <c r="K51" s="107" t="s">
        <v>1910</v>
      </c>
      <c r="M51" s="105">
        <f t="shared" si="0"/>
        <v>0</v>
      </c>
    </row>
    <row r="52" spans="1:13" x14ac:dyDescent="0.3">
      <c r="A52" s="106" t="s">
        <v>894</v>
      </c>
      <c r="B52" s="106" t="s">
        <v>2039</v>
      </c>
      <c r="C52" s="106" t="s">
        <v>1898</v>
      </c>
      <c r="D52" s="106" t="s">
        <v>2285</v>
      </c>
      <c r="E52" s="103">
        <v>0</v>
      </c>
      <c r="F52" s="103"/>
      <c r="G52" s="103"/>
      <c r="H52" s="107" t="s">
        <v>2286</v>
      </c>
      <c r="J52" s="102">
        <v>14.95</v>
      </c>
      <c r="K52" s="107" t="s">
        <v>1910</v>
      </c>
      <c r="M52" s="105">
        <f t="shared" si="0"/>
        <v>0</v>
      </c>
    </row>
    <row r="53" spans="1:13" x14ac:dyDescent="0.3">
      <c r="A53" s="107" t="s">
        <v>894</v>
      </c>
      <c r="B53" s="107" t="s">
        <v>2043</v>
      </c>
      <c r="C53" s="107" t="s">
        <v>8</v>
      </c>
      <c r="D53" s="106" t="s">
        <v>387</v>
      </c>
      <c r="E53" s="103">
        <v>5</v>
      </c>
      <c r="F53" s="103" t="s">
        <v>388</v>
      </c>
      <c r="G53" s="103" t="s">
        <v>389</v>
      </c>
      <c r="H53" s="106" t="s">
        <v>390</v>
      </c>
      <c r="I53" s="103"/>
      <c r="J53" s="103">
        <v>1.95</v>
      </c>
      <c r="K53" s="106" t="s">
        <v>1910</v>
      </c>
      <c r="M53" s="105">
        <f t="shared" si="0"/>
        <v>9.75</v>
      </c>
    </row>
    <row r="54" spans="1:13" x14ac:dyDescent="0.3">
      <c r="A54" s="107" t="s">
        <v>894</v>
      </c>
      <c r="B54" s="107" t="s">
        <v>2043</v>
      </c>
      <c r="C54" s="107" t="s">
        <v>8</v>
      </c>
      <c r="D54" s="106" t="s">
        <v>803</v>
      </c>
      <c r="E54" s="103">
        <v>5</v>
      </c>
      <c r="F54" s="103" t="s">
        <v>804</v>
      </c>
      <c r="G54" s="103" t="s">
        <v>805</v>
      </c>
      <c r="H54" s="106" t="s">
        <v>806</v>
      </c>
      <c r="I54" s="103">
        <v>1</v>
      </c>
      <c r="J54" s="103">
        <v>2.95</v>
      </c>
      <c r="K54" s="106" t="s">
        <v>1911</v>
      </c>
      <c r="M54" s="105">
        <f t="shared" si="0"/>
        <v>14.75</v>
      </c>
    </row>
    <row r="55" spans="1:13" x14ac:dyDescent="0.3">
      <c r="A55" s="107" t="s">
        <v>894</v>
      </c>
      <c r="B55" s="107" t="s">
        <v>2043</v>
      </c>
      <c r="C55" s="107" t="s">
        <v>8</v>
      </c>
      <c r="D55" s="106" t="s">
        <v>461</v>
      </c>
      <c r="E55" s="103">
        <v>5</v>
      </c>
      <c r="F55" s="103" t="s">
        <v>462</v>
      </c>
      <c r="G55" s="103" t="s">
        <v>463</v>
      </c>
      <c r="H55" s="106" t="s">
        <v>464</v>
      </c>
      <c r="I55" s="103">
        <v>1</v>
      </c>
      <c r="J55" s="103">
        <v>2.95</v>
      </c>
      <c r="K55" s="106" t="s">
        <v>1910</v>
      </c>
      <c r="M55" s="105">
        <f t="shared" si="0"/>
        <v>14.75</v>
      </c>
    </row>
    <row r="56" spans="1:13" x14ac:dyDescent="0.3">
      <c r="A56" s="107" t="s">
        <v>894</v>
      </c>
      <c r="B56" s="107" t="s">
        <v>2043</v>
      </c>
      <c r="C56" s="107" t="s">
        <v>8</v>
      </c>
      <c r="D56" s="106" t="s">
        <v>811</v>
      </c>
      <c r="E56" s="103">
        <v>5</v>
      </c>
      <c r="F56" s="103" t="s">
        <v>812</v>
      </c>
      <c r="G56" s="103" t="s">
        <v>813</v>
      </c>
      <c r="H56" s="106" t="s">
        <v>814</v>
      </c>
      <c r="I56" s="103"/>
      <c r="J56" s="103">
        <v>2.5</v>
      </c>
      <c r="K56" s="106" t="s">
        <v>1911</v>
      </c>
      <c r="M56" s="105">
        <f t="shared" si="0"/>
        <v>12.5</v>
      </c>
    </row>
    <row r="57" spans="1:13" x14ac:dyDescent="0.3">
      <c r="A57" s="106" t="s">
        <v>894</v>
      </c>
      <c r="B57" s="106" t="s">
        <v>2043</v>
      </c>
      <c r="C57" s="106" t="s">
        <v>1898</v>
      </c>
      <c r="D57" s="106" t="s">
        <v>2273</v>
      </c>
      <c r="E57" s="103">
        <v>0</v>
      </c>
      <c r="F57" s="103"/>
      <c r="G57" s="103"/>
      <c r="H57" s="107" t="s">
        <v>2274</v>
      </c>
      <c r="J57" s="102">
        <v>2.95</v>
      </c>
      <c r="K57" s="107" t="s">
        <v>1910</v>
      </c>
      <c r="M57" s="105">
        <f t="shared" si="0"/>
        <v>0</v>
      </c>
    </row>
    <row r="58" spans="1:13" x14ac:dyDescent="0.3">
      <c r="A58" s="106" t="s">
        <v>894</v>
      </c>
      <c r="B58" s="106" t="s">
        <v>2043</v>
      </c>
      <c r="C58" s="106" t="s">
        <v>1898</v>
      </c>
      <c r="D58" s="106" t="s">
        <v>2275</v>
      </c>
      <c r="E58" s="103">
        <v>1</v>
      </c>
      <c r="F58" s="103"/>
      <c r="G58" s="103"/>
      <c r="H58" s="107" t="s">
        <v>2276</v>
      </c>
      <c r="J58" s="102">
        <v>2.5</v>
      </c>
      <c r="K58" s="107" t="s">
        <v>1910</v>
      </c>
      <c r="M58" s="105">
        <f t="shared" si="0"/>
        <v>2.5</v>
      </c>
    </row>
    <row r="59" spans="1:13" x14ac:dyDescent="0.3">
      <c r="A59" s="106" t="s">
        <v>894</v>
      </c>
      <c r="B59" s="106" t="s">
        <v>2043</v>
      </c>
      <c r="C59" s="106" t="s">
        <v>1898</v>
      </c>
      <c r="D59" s="106" t="s">
        <v>2277</v>
      </c>
      <c r="E59" s="103">
        <v>1</v>
      </c>
      <c r="F59" s="103"/>
      <c r="G59" s="103"/>
      <c r="H59" s="107" t="s">
        <v>2278</v>
      </c>
      <c r="J59" s="102">
        <v>0.95</v>
      </c>
      <c r="K59" s="107" t="s">
        <v>1910</v>
      </c>
      <c r="M59" s="105">
        <f t="shared" si="0"/>
        <v>0.95</v>
      </c>
    </row>
    <row r="60" spans="1:13" x14ac:dyDescent="0.3">
      <c r="A60" s="106" t="s">
        <v>894</v>
      </c>
      <c r="B60" s="106" t="s">
        <v>2043</v>
      </c>
      <c r="C60" s="106" t="s">
        <v>1898</v>
      </c>
      <c r="D60" s="106" t="s">
        <v>2279</v>
      </c>
      <c r="E60" s="103">
        <v>1</v>
      </c>
      <c r="F60" s="103"/>
      <c r="G60" s="103"/>
      <c r="H60" s="107" t="s">
        <v>2280</v>
      </c>
      <c r="J60" s="102">
        <v>0.95</v>
      </c>
      <c r="K60" s="107" t="s">
        <v>1910</v>
      </c>
      <c r="M60" s="105">
        <f t="shared" si="0"/>
        <v>0.95</v>
      </c>
    </row>
    <row r="61" spans="1:13" x14ac:dyDescent="0.3">
      <c r="A61" s="107" t="s">
        <v>894</v>
      </c>
      <c r="B61" s="107" t="s">
        <v>2038</v>
      </c>
      <c r="C61" s="107" t="s">
        <v>8</v>
      </c>
      <c r="D61" s="106" t="s">
        <v>1112</v>
      </c>
      <c r="E61" s="103">
        <v>0</v>
      </c>
      <c r="F61" s="103" t="s">
        <v>1113</v>
      </c>
      <c r="G61" s="103" t="s">
        <v>1114</v>
      </c>
      <c r="H61" s="106" t="s">
        <v>1115</v>
      </c>
      <c r="I61" s="103">
        <v>1</v>
      </c>
      <c r="J61" s="103">
        <v>5.95</v>
      </c>
      <c r="K61" s="106" t="s">
        <v>1910</v>
      </c>
      <c r="M61" s="105">
        <f t="shared" si="0"/>
        <v>0</v>
      </c>
    </row>
    <row r="62" spans="1:13" x14ac:dyDescent="0.3">
      <c r="A62" s="106" t="s">
        <v>894</v>
      </c>
      <c r="B62" s="106" t="s">
        <v>2045</v>
      </c>
      <c r="C62" s="106" t="s">
        <v>1898</v>
      </c>
      <c r="D62" s="106" t="s">
        <v>2314</v>
      </c>
      <c r="E62" s="103">
        <v>0</v>
      </c>
      <c r="F62" s="103"/>
      <c r="G62" s="103"/>
      <c r="H62" s="107" t="s">
        <v>2315</v>
      </c>
      <c r="J62" s="102">
        <v>5.95</v>
      </c>
      <c r="K62" s="107" t="s">
        <v>1910</v>
      </c>
      <c r="M62" s="105">
        <f t="shared" si="0"/>
        <v>0</v>
      </c>
    </row>
    <row r="63" spans="1:13" x14ac:dyDescent="0.3">
      <c r="A63" s="106" t="s">
        <v>894</v>
      </c>
      <c r="B63" s="106" t="s">
        <v>2045</v>
      </c>
      <c r="C63" s="106" t="s">
        <v>1898</v>
      </c>
      <c r="D63" s="106" t="s">
        <v>2316</v>
      </c>
      <c r="E63" s="103">
        <v>5</v>
      </c>
      <c r="F63" s="103"/>
      <c r="G63" s="103"/>
      <c r="H63" s="107" t="s">
        <v>2317</v>
      </c>
      <c r="J63" s="102">
        <v>6.95</v>
      </c>
      <c r="K63" s="107" t="s">
        <v>1910</v>
      </c>
      <c r="M63" s="105">
        <f t="shared" si="0"/>
        <v>34.75</v>
      </c>
    </row>
    <row r="64" spans="1:13" x14ac:dyDescent="0.3">
      <c r="A64" s="107" t="s">
        <v>894</v>
      </c>
      <c r="B64" s="106" t="s">
        <v>2036</v>
      </c>
      <c r="C64" s="107" t="s">
        <v>8</v>
      </c>
      <c r="D64" s="12" t="s">
        <v>2491</v>
      </c>
      <c r="E64" s="12">
        <v>5</v>
      </c>
      <c r="F64" s="12" t="s">
        <v>2492</v>
      </c>
      <c r="G64" s="12" t="s">
        <v>2493</v>
      </c>
      <c r="H64" s="12" t="s">
        <v>2494</v>
      </c>
      <c r="I64" s="12">
        <v>1</v>
      </c>
      <c r="J64" s="12">
        <v>3.95</v>
      </c>
      <c r="K64" s="107" t="s">
        <v>1911</v>
      </c>
      <c r="M64" s="105">
        <f t="shared" si="0"/>
        <v>19.75</v>
      </c>
    </row>
    <row r="65" spans="1:13" x14ac:dyDescent="0.3">
      <c r="A65" s="107" t="s">
        <v>895</v>
      </c>
      <c r="B65" s="106" t="s">
        <v>2041</v>
      </c>
      <c r="C65" s="107" t="s">
        <v>8</v>
      </c>
      <c r="D65" s="12" t="s">
        <v>1507</v>
      </c>
      <c r="E65" s="12">
        <v>1</v>
      </c>
      <c r="F65" s="12" t="s">
        <v>1508</v>
      </c>
      <c r="G65" s="12" t="s">
        <v>1509</v>
      </c>
      <c r="H65" s="12" t="s">
        <v>1510</v>
      </c>
      <c r="I65" s="12">
        <v>1</v>
      </c>
      <c r="J65" s="12">
        <v>4.95</v>
      </c>
      <c r="K65" s="107" t="s">
        <v>1910</v>
      </c>
      <c r="M65" s="105">
        <f t="shared" si="0"/>
        <v>4.95</v>
      </c>
    </row>
    <row r="66" spans="1:13" x14ac:dyDescent="0.3">
      <c r="A66" s="107" t="s">
        <v>895</v>
      </c>
      <c r="B66" s="106" t="s">
        <v>2041</v>
      </c>
      <c r="C66" s="107" t="s">
        <v>8</v>
      </c>
      <c r="D66" s="12" t="s">
        <v>1511</v>
      </c>
      <c r="E66" s="12">
        <v>0</v>
      </c>
      <c r="F66" s="12" t="s">
        <v>1512</v>
      </c>
      <c r="G66" s="12" t="s">
        <v>1513</v>
      </c>
      <c r="H66" s="12" t="s">
        <v>1514</v>
      </c>
      <c r="I66" s="12">
        <v>1</v>
      </c>
      <c r="J66" s="12">
        <v>1.95</v>
      </c>
      <c r="K66" s="107" t="s">
        <v>1913</v>
      </c>
      <c r="M66" s="105">
        <f t="shared" si="0"/>
        <v>0</v>
      </c>
    </row>
    <row r="67" spans="1:13" x14ac:dyDescent="0.3">
      <c r="A67" s="107" t="s">
        <v>895</v>
      </c>
      <c r="B67" s="106" t="s">
        <v>2041</v>
      </c>
      <c r="C67" s="107" t="s">
        <v>8</v>
      </c>
      <c r="D67" s="12" t="s">
        <v>248</v>
      </c>
      <c r="E67" s="12">
        <v>1</v>
      </c>
      <c r="F67" s="12" t="s">
        <v>249</v>
      </c>
      <c r="G67" s="12" t="s">
        <v>250</v>
      </c>
      <c r="H67" s="12" t="s">
        <v>251</v>
      </c>
      <c r="I67" s="12">
        <v>1</v>
      </c>
      <c r="J67" s="12">
        <v>4.95</v>
      </c>
      <c r="K67" s="107" t="s">
        <v>1910</v>
      </c>
      <c r="M67" s="105">
        <f t="shared" ref="M67:M130" si="1">E67*J67</f>
        <v>4.95</v>
      </c>
    </row>
    <row r="68" spans="1:13" x14ac:dyDescent="0.3">
      <c r="A68" s="107" t="s">
        <v>894</v>
      </c>
      <c r="B68" s="106" t="s">
        <v>2036</v>
      </c>
      <c r="C68" s="107" t="s">
        <v>8</v>
      </c>
      <c r="D68" s="12" t="s">
        <v>2495</v>
      </c>
      <c r="E68" s="12">
        <v>5</v>
      </c>
      <c r="F68" s="12" t="s">
        <v>2496</v>
      </c>
      <c r="G68" s="12" t="s">
        <v>2497</v>
      </c>
      <c r="H68" s="12" t="s">
        <v>2498</v>
      </c>
      <c r="I68" s="12">
        <v>1</v>
      </c>
      <c r="J68" s="12">
        <v>3.95</v>
      </c>
      <c r="K68" s="107" t="s">
        <v>1911</v>
      </c>
      <c r="M68" s="105">
        <f t="shared" si="1"/>
        <v>19.75</v>
      </c>
    </row>
    <row r="69" spans="1:13" x14ac:dyDescent="0.3">
      <c r="A69" s="107" t="s">
        <v>894</v>
      </c>
      <c r="B69" s="106" t="s">
        <v>2036</v>
      </c>
      <c r="C69" s="107" t="s">
        <v>8</v>
      </c>
      <c r="D69" s="12" t="s">
        <v>2499</v>
      </c>
      <c r="E69" s="12">
        <v>0</v>
      </c>
      <c r="F69" s="12" t="s">
        <v>2500</v>
      </c>
      <c r="G69" s="12" t="s">
        <v>2501</v>
      </c>
      <c r="H69" s="12" t="s">
        <v>2502</v>
      </c>
      <c r="I69" s="12">
        <v>1</v>
      </c>
      <c r="J69" s="12">
        <v>1.95</v>
      </c>
      <c r="K69" s="107" t="s">
        <v>1911</v>
      </c>
      <c r="M69" s="105">
        <f t="shared" si="1"/>
        <v>0</v>
      </c>
    </row>
    <row r="70" spans="1:13" x14ac:dyDescent="0.3">
      <c r="A70" s="107" t="s">
        <v>894</v>
      </c>
      <c r="B70" s="106" t="s">
        <v>2036</v>
      </c>
      <c r="C70" s="107" t="s">
        <v>8</v>
      </c>
      <c r="D70" s="12" t="s">
        <v>2503</v>
      </c>
      <c r="E70" s="12">
        <v>1</v>
      </c>
      <c r="F70" s="12" t="s">
        <v>2504</v>
      </c>
      <c r="G70" s="12" t="s">
        <v>2505</v>
      </c>
      <c r="H70" s="12" t="s">
        <v>2506</v>
      </c>
      <c r="I70" s="12">
        <v>1</v>
      </c>
      <c r="J70" s="12">
        <v>2.95</v>
      </c>
      <c r="K70" s="107" t="s">
        <v>1911</v>
      </c>
      <c r="M70" s="105">
        <f t="shared" si="1"/>
        <v>2.95</v>
      </c>
    </row>
    <row r="71" spans="1:13" x14ac:dyDescent="0.3">
      <c r="A71" s="106" t="s">
        <v>894</v>
      </c>
      <c r="B71" s="106" t="s">
        <v>2064</v>
      </c>
      <c r="C71" s="106" t="s">
        <v>1898</v>
      </c>
      <c r="D71" s="106" t="s">
        <v>2301</v>
      </c>
      <c r="E71" s="104">
        <v>0</v>
      </c>
      <c r="F71" s="103"/>
      <c r="G71" s="103"/>
      <c r="H71" s="107" t="s">
        <v>2302</v>
      </c>
      <c r="J71" s="102">
        <v>1.95</v>
      </c>
      <c r="K71" s="107" t="s">
        <v>1910</v>
      </c>
      <c r="M71" s="105">
        <f t="shared" si="1"/>
        <v>0</v>
      </c>
    </row>
    <row r="72" spans="1:13" x14ac:dyDescent="0.3">
      <c r="A72" s="106" t="s">
        <v>894</v>
      </c>
      <c r="B72" s="106" t="s">
        <v>2064</v>
      </c>
      <c r="C72" s="106" t="s">
        <v>1898</v>
      </c>
      <c r="D72" s="106" t="s">
        <v>2303</v>
      </c>
      <c r="E72" s="104">
        <v>0</v>
      </c>
      <c r="F72" s="103"/>
      <c r="G72" s="103"/>
      <c r="H72" s="107" t="s">
        <v>2304</v>
      </c>
      <c r="J72" s="102">
        <v>2.95</v>
      </c>
      <c r="K72" s="107" t="s">
        <v>1910</v>
      </c>
      <c r="M72" s="105">
        <f t="shared" si="1"/>
        <v>0</v>
      </c>
    </row>
    <row r="73" spans="1:13" x14ac:dyDescent="0.3">
      <c r="A73" s="106" t="s">
        <v>894</v>
      </c>
      <c r="B73" s="106" t="s">
        <v>2064</v>
      </c>
      <c r="C73" s="106" t="s">
        <v>1898</v>
      </c>
      <c r="D73" s="106" t="s">
        <v>2305</v>
      </c>
      <c r="E73" s="104">
        <v>2</v>
      </c>
      <c r="F73" s="103"/>
      <c r="G73" s="103"/>
      <c r="H73" s="107" t="s">
        <v>2306</v>
      </c>
      <c r="J73" s="102">
        <v>6.5</v>
      </c>
      <c r="K73" s="107" t="s">
        <v>1910</v>
      </c>
      <c r="M73" s="105">
        <f t="shared" si="1"/>
        <v>13</v>
      </c>
    </row>
    <row r="74" spans="1:13" x14ac:dyDescent="0.3">
      <c r="A74" s="106" t="s">
        <v>894</v>
      </c>
      <c r="B74" s="106" t="s">
        <v>2064</v>
      </c>
      <c r="C74" s="106" t="s">
        <v>1898</v>
      </c>
      <c r="D74" s="106" t="s">
        <v>2307</v>
      </c>
      <c r="E74" s="104">
        <v>0</v>
      </c>
      <c r="F74" s="103"/>
      <c r="G74" s="103"/>
      <c r="H74" s="107" t="s">
        <v>2308</v>
      </c>
      <c r="J74" s="102">
        <v>6.5</v>
      </c>
      <c r="K74" s="107" t="s">
        <v>1910</v>
      </c>
      <c r="M74" s="105">
        <f t="shared" si="1"/>
        <v>0</v>
      </c>
    </row>
    <row r="75" spans="1:13" x14ac:dyDescent="0.3">
      <c r="A75" s="106" t="s">
        <v>894</v>
      </c>
      <c r="B75" s="106" t="s">
        <v>2064</v>
      </c>
      <c r="C75" s="106" t="s">
        <v>1898</v>
      </c>
      <c r="D75" s="106" t="s">
        <v>2309</v>
      </c>
      <c r="E75" s="104">
        <v>0</v>
      </c>
      <c r="F75" s="103"/>
      <c r="G75" s="103"/>
      <c r="H75" s="107" t="s">
        <v>2310</v>
      </c>
      <c r="J75" s="102">
        <v>2.75</v>
      </c>
      <c r="K75" s="107" t="s">
        <v>1910</v>
      </c>
      <c r="M75" s="105">
        <f t="shared" si="1"/>
        <v>0</v>
      </c>
    </row>
    <row r="76" spans="1:13" x14ac:dyDescent="0.3">
      <c r="A76" s="106" t="s">
        <v>894</v>
      </c>
      <c r="B76" s="106" t="s">
        <v>2311</v>
      </c>
      <c r="C76" s="106" t="s">
        <v>1898</v>
      </c>
      <c r="D76" s="106" t="s">
        <v>2312</v>
      </c>
      <c r="E76" s="104">
        <v>5</v>
      </c>
      <c r="F76" s="103"/>
      <c r="G76" s="103"/>
      <c r="H76" s="107" t="s">
        <v>2313</v>
      </c>
      <c r="J76" s="102">
        <v>1.95</v>
      </c>
      <c r="K76" s="107" t="s">
        <v>1911</v>
      </c>
      <c r="M76" s="105">
        <f t="shared" si="1"/>
        <v>9.75</v>
      </c>
    </row>
    <row r="77" spans="1:13" x14ac:dyDescent="0.3">
      <c r="A77" s="107" t="s">
        <v>894</v>
      </c>
      <c r="B77" s="107" t="s">
        <v>2040</v>
      </c>
      <c r="C77" s="107" t="s">
        <v>8</v>
      </c>
      <c r="D77" s="106" t="s">
        <v>36</v>
      </c>
      <c r="E77" s="103">
        <v>5</v>
      </c>
      <c r="F77" s="103" t="s">
        <v>37</v>
      </c>
      <c r="G77" s="103" t="s">
        <v>38</v>
      </c>
      <c r="H77" s="106" t="s">
        <v>39</v>
      </c>
      <c r="I77" s="103">
        <v>1</v>
      </c>
      <c r="J77" s="103">
        <v>29.95</v>
      </c>
      <c r="K77" s="106" t="s">
        <v>1911</v>
      </c>
      <c r="M77" s="105">
        <f t="shared" si="1"/>
        <v>149.75</v>
      </c>
    </row>
    <row r="78" spans="1:13" x14ac:dyDescent="0.3">
      <c r="A78" s="107" t="s">
        <v>894</v>
      </c>
      <c r="B78" s="107" t="s">
        <v>2040</v>
      </c>
      <c r="C78" s="107" t="s">
        <v>8</v>
      </c>
      <c r="D78" s="106" t="s">
        <v>40</v>
      </c>
      <c r="E78" s="103">
        <v>5</v>
      </c>
      <c r="F78" s="103" t="s">
        <v>41</v>
      </c>
      <c r="G78" s="103" t="s">
        <v>42</v>
      </c>
      <c r="H78" s="106" t="s">
        <v>43</v>
      </c>
      <c r="I78" s="103">
        <v>1</v>
      </c>
      <c r="J78" s="103">
        <v>14.95</v>
      </c>
      <c r="K78" s="106" t="s">
        <v>1911</v>
      </c>
      <c r="M78" s="105">
        <f t="shared" si="1"/>
        <v>74.75</v>
      </c>
    </row>
    <row r="79" spans="1:13" x14ac:dyDescent="0.3">
      <c r="A79" s="107" t="s">
        <v>894</v>
      </c>
      <c r="B79" s="107" t="s">
        <v>2040</v>
      </c>
      <c r="C79" s="107" t="s">
        <v>8</v>
      </c>
      <c r="D79" s="106" t="s">
        <v>48</v>
      </c>
      <c r="E79" s="103">
        <v>1</v>
      </c>
      <c r="F79" s="103" t="s">
        <v>49</v>
      </c>
      <c r="G79" s="103" t="s">
        <v>50</v>
      </c>
      <c r="H79" s="106" t="s">
        <v>51</v>
      </c>
      <c r="I79" s="103">
        <v>1</v>
      </c>
      <c r="J79" s="103">
        <v>19.95</v>
      </c>
      <c r="K79" s="106" t="s">
        <v>1910</v>
      </c>
      <c r="M79" s="105">
        <f t="shared" si="1"/>
        <v>19.95</v>
      </c>
    </row>
    <row r="80" spans="1:13" x14ac:dyDescent="0.3">
      <c r="A80" s="107" t="s">
        <v>894</v>
      </c>
      <c r="B80" s="107" t="s">
        <v>2040</v>
      </c>
      <c r="C80" s="107" t="s">
        <v>8</v>
      </c>
      <c r="D80" s="106" t="s">
        <v>52</v>
      </c>
      <c r="E80" s="103">
        <v>6</v>
      </c>
      <c r="F80" s="103" t="s">
        <v>53</v>
      </c>
      <c r="G80" s="103" t="s">
        <v>54</v>
      </c>
      <c r="H80" s="106" t="s">
        <v>55</v>
      </c>
      <c r="I80" s="103">
        <v>1</v>
      </c>
      <c r="J80" s="103">
        <v>29.95</v>
      </c>
      <c r="K80" s="106" t="s">
        <v>1910</v>
      </c>
      <c r="M80" s="105">
        <f t="shared" si="1"/>
        <v>179.7</v>
      </c>
    </row>
    <row r="81" spans="1:13" x14ac:dyDescent="0.3">
      <c r="A81" s="107" t="s">
        <v>894</v>
      </c>
      <c r="B81" s="107" t="s">
        <v>2040</v>
      </c>
      <c r="C81" s="107" t="s">
        <v>8</v>
      </c>
      <c r="D81" s="106" t="s">
        <v>795</v>
      </c>
      <c r="E81" s="103">
        <v>2</v>
      </c>
      <c r="F81" s="103" t="s">
        <v>796</v>
      </c>
      <c r="G81" s="103" t="s">
        <v>797</v>
      </c>
      <c r="H81" s="106" t="s">
        <v>798</v>
      </c>
      <c r="I81" s="103">
        <v>1</v>
      </c>
      <c r="J81" s="103">
        <v>12.95</v>
      </c>
      <c r="K81" s="106" t="s">
        <v>1910</v>
      </c>
      <c r="M81" s="105">
        <f t="shared" si="1"/>
        <v>25.9</v>
      </c>
    </row>
    <row r="82" spans="1:13" x14ac:dyDescent="0.3">
      <c r="A82" s="107" t="s">
        <v>894</v>
      </c>
      <c r="B82" s="107" t="s">
        <v>2034</v>
      </c>
      <c r="C82" s="107" t="s">
        <v>8</v>
      </c>
      <c r="D82" s="106" t="s">
        <v>44</v>
      </c>
      <c r="E82" s="103">
        <v>5</v>
      </c>
      <c r="F82" s="103" t="s">
        <v>45</v>
      </c>
      <c r="G82" s="103" t="s">
        <v>46</v>
      </c>
      <c r="H82" s="106" t="s">
        <v>47</v>
      </c>
      <c r="I82" s="103">
        <v>1</v>
      </c>
      <c r="J82" s="103">
        <v>9.9499999999999993</v>
      </c>
      <c r="K82" s="106" t="s">
        <v>1911</v>
      </c>
      <c r="M82" s="105">
        <f t="shared" si="1"/>
        <v>49.75</v>
      </c>
    </row>
    <row r="83" spans="1:13" x14ac:dyDescent="0.3">
      <c r="A83" s="107" t="s">
        <v>894</v>
      </c>
      <c r="B83" s="107" t="s">
        <v>2034</v>
      </c>
      <c r="C83" s="107" t="s">
        <v>8</v>
      </c>
      <c r="D83" s="106" t="s">
        <v>1205</v>
      </c>
      <c r="E83" s="103">
        <v>2</v>
      </c>
      <c r="F83" s="103" t="s">
        <v>1206</v>
      </c>
      <c r="G83" s="103" t="s">
        <v>1207</v>
      </c>
      <c r="H83" s="106" t="s">
        <v>1208</v>
      </c>
      <c r="I83" s="103">
        <v>1</v>
      </c>
      <c r="J83" s="103">
        <v>9.9499999999999993</v>
      </c>
      <c r="K83" s="106" t="s">
        <v>1913</v>
      </c>
      <c r="M83" s="105">
        <f t="shared" si="1"/>
        <v>19.899999999999999</v>
      </c>
    </row>
    <row r="84" spans="1:13" x14ac:dyDescent="0.3">
      <c r="A84" s="106" t="s">
        <v>894</v>
      </c>
      <c r="B84" s="106" t="s">
        <v>2034</v>
      </c>
      <c r="C84" s="106" t="s">
        <v>1898</v>
      </c>
      <c r="D84" s="106" t="s">
        <v>2287</v>
      </c>
      <c r="E84" s="103">
        <v>0</v>
      </c>
      <c r="F84" s="103"/>
      <c r="G84" s="103"/>
      <c r="H84" s="107" t="s">
        <v>2288</v>
      </c>
      <c r="J84" s="102">
        <v>14.95</v>
      </c>
      <c r="K84" s="107" t="s">
        <v>1910</v>
      </c>
      <c r="M84" s="105">
        <f t="shared" si="1"/>
        <v>0</v>
      </c>
    </row>
    <row r="85" spans="1:13" x14ac:dyDescent="0.3">
      <c r="A85" s="102" t="s">
        <v>897</v>
      </c>
      <c r="B85" s="102" t="s">
        <v>2034</v>
      </c>
      <c r="C85" s="102" t="s">
        <v>8</v>
      </c>
      <c r="D85" s="103" t="s">
        <v>571</v>
      </c>
      <c r="E85" s="104">
        <v>6</v>
      </c>
      <c r="F85" s="103" t="s">
        <v>572</v>
      </c>
      <c r="G85" s="103" t="s">
        <v>573</v>
      </c>
      <c r="H85" s="103" t="s">
        <v>574</v>
      </c>
      <c r="I85" s="103"/>
      <c r="J85" s="104">
        <v>0.95</v>
      </c>
      <c r="K85" s="107" t="s">
        <v>1911</v>
      </c>
      <c r="L85" s="103"/>
      <c r="M85" s="105">
        <f t="shared" si="1"/>
        <v>5.6999999999999993</v>
      </c>
    </row>
    <row r="86" spans="1:13" x14ac:dyDescent="0.3">
      <c r="A86" s="103" t="s">
        <v>897</v>
      </c>
      <c r="B86" s="103" t="s">
        <v>2034</v>
      </c>
      <c r="C86" s="103" t="s">
        <v>1898</v>
      </c>
      <c r="D86" s="103" t="s">
        <v>2221</v>
      </c>
      <c r="E86" s="104">
        <v>0</v>
      </c>
      <c r="F86" s="103"/>
      <c r="G86" s="103"/>
      <c r="H86" s="102" t="s">
        <v>2222</v>
      </c>
      <c r="J86" s="111">
        <v>0.95</v>
      </c>
      <c r="K86" s="102" t="s">
        <v>1910</v>
      </c>
      <c r="M86" s="105">
        <f t="shared" si="1"/>
        <v>0</v>
      </c>
    </row>
    <row r="87" spans="1:13" x14ac:dyDescent="0.3">
      <c r="A87" s="107" t="s">
        <v>894</v>
      </c>
      <c r="B87" s="107" t="s">
        <v>2042</v>
      </c>
      <c r="C87" s="107" t="s">
        <v>8</v>
      </c>
      <c r="D87" s="106" t="s">
        <v>807</v>
      </c>
      <c r="E87" s="103">
        <v>5</v>
      </c>
      <c r="F87" s="103" t="s">
        <v>808</v>
      </c>
      <c r="G87" s="103" t="s">
        <v>809</v>
      </c>
      <c r="H87" s="106" t="s">
        <v>810</v>
      </c>
      <c r="I87" s="103">
        <v>1</v>
      </c>
      <c r="J87" s="103">
        <v>6.95</v>
      </c>
      <c r="K87" s="106" t="s">
        <v>1911</v>
      </c>
      <c r="M87" s="105">
        <f t="shared" si="1"/>
        <v>34.75</v>
      </c>
    </row>
    <row r="88" spans="1:13" x14ac:dyDescent="0.3">
      <c r="A88" s="106" t="s">
        <v>894</v>
      </c>
      <c r="B88" s="106" t="s">
        <v>2042</v>
      </c>
      <c r="C88" s="106" t="s">
        <v>1898</v>
      </c>
      <c r="D88" s="106" t="s">
        <v>2281</v>
      </c>
      <c r="E88" s="103">
        <v>0</v>
      </c>
      <c r="F88" s="103"/>
      <c r="G88" s="103"/>
      <c r="H88" s="107" t="s">
        <v>2282</v>
      </c>
      <c r="J88" s="102">
        <v>2.5</v>
      </c>
      <c r="K88" s="107" t="s">
        <v>1910</v>
      </c>
      <c r="M88" s="105">
        <f t="shared" si="1"/>
        <v>0</v>
      </c>
    </row>
    <row r="89" spans="1:13" x14ac:dyDescent="0.3">
      <c r="A89" s="106" t="s">
        <v>894</v>
      </c>
      <c r="B89" s="106" t="s">
        <v>2037</v>
      </c>
      <c r="C89" s="106" t="s">
        <v>1898</v>
      </c>
      <c r="D89" s="106" t="s">
        <v>2089</v>
      </c>
      <c r="E89" s="103">
        <v>6</v>
      </c>
      <c r="F89" s="103"/>
      <c r="G89" s="103"/>
      <c r="H89" s="107" t="s">
        <v>2088</v>
      </c>
      <c r="J89" s="102">
        <v>2.5</v>
      </c>
      <c r="K89" s="107" t="s">
        <v>1911</v>
      </c>
      <c r="M89" s="105">
        <f t="shared" si="1"/>
        <v>15</v>
      </c>
    </row>
    <row r="90" spans="1:13" x14ac:dyDescent="0.3">
      <c r="A90" s="102" t="s">
        <v>897</v>
      </c>
      <c r="B90" s="102" t="s">
        <v>2037</v>
      </c>
      <c r="C90" s="102" t="s">
        <v>8</v>
      </c>
      <c r="D90" s="103" t="s">
        <v>1027</v>
      </c>
      <c r="E90" s="104">
        <v>0</v>
      </c>
      <c r="F90" s="103" t="s">
        <v>1028</v>
      </c>
      <c r="G90" s="103" t="s">
        <v>1029</v>
      </c>
      <c r="H90" s="103" t="s">
        <v>1030</v>
      </c>
      <c r="I90" s="103"/>
      <c r="J90" s="104">
        <v>2.95</v>
      </c>
      <c r="K90" s="103" t="s">
        <v>1912</v>
      </c>
      <c r="L90" s="103"/>
      <c r="M90" s="105">
        <f t="shared" si="1"/>
        <v>0</v>
      </c>
    </row>
    <row r="91" spans="1:13" x14ac:dyDescent="0.3">
      <c r="A91" s="102" t="s">
        <v>897</v>
      </c>
      <c r="B91" s="102" t="s">
        <v>2037</v>
      </c>
      <c r="C91" s="102" t="s">
        <v>8</v>
      </c>
      <c r="D91" s="103" t="s">
        <v>815</v>
      </c>
      <c r="E91" s="104">
        <v>0</v>
      </c>
      <c r="F91" s="103" t="s">
        <v>816</v>
      </c>
      <c r="G91" s="103" t="s">
        <v>817</v>
      </c>
      <c r="H91" s="103" t="s">
        <v>818</v>
      </c>
      <c r="I91" s="103"/>
      <c r="J91" s="104">
        <v>2.95</v>
      </c>
      <c r="K91" s="103" t="s">
        <v>1912</v>
      </c>
      <c r="L91" s="103"/>
      <c r="M91" s="105">
        <f t="shared" si="1"/>
        <v>0</v>
      </c>
    </row>
    <row r="92" spans="1:13" x14ac:dyDescent="0.3">
      <c r="A92" s="103" t="s">
        <v>897</v>
      </c>
      <c r="B92" s="103" t="s">
        <v>2037</v>
      </c>
      <c r="C92" s="103" t="s">
        <v>1898</v>
      </c>
      <c r="D92" s="103" t="s">
        <v>2223</v>
      </c>
      <c r="E92" s="104">
        <v>0</v>
      </c>
      <c r="F92" s="103"/>
      <c r="G92" s="103"/>
      <c r="H92" s="102" t="s">
        <v>2224</v>
      </c>
      <c r="J92" s="111">
        <v>2</v>
      </c>
      <c r="K92" s="102" t="s">
        <v>1910</v>
      </c>
      <c r="M92" s="105">
        <f t="shared" si="1"/>
        <v>0</v>
      </c>
    </row>
    <row r="93" spans="1:13" x14ac:dyDescent="0.3">
      <c r="A93" s="103" t="s">
        <v>897</v>
      </c>
      <c r="B93" s="103" t="s">
        <v>2037</v>
      </c>
      <c r="C93" s="103" t="s">
        <v>1898</v>
      </c>
      <c r="D93" s="103" t="s">
        <v>2225</v>
      </c>
      <c r="E93" s="104">
        <v>0</v>
      </c>
      <c r="F93" s="103"/>
      <c r="G93" s="103"/>
      <c r="H93" s="102" t="s">
        <v>2226</v>
      </c>
      <c r="J93" s="111">
        <v>2</v>
      </c>
      <c r="K93" s="102" t="s">
        <v>1910</v>
      </c>
      <c r="M93" s="105">
        <f t="shared" si="1"/>
        <v>0</v>
      </c>
    </row>
    <row r="94" spans="1:13" x14ac:dyDescent="0.3">
      <c r="A94" s="102" t="s">
        <v>897</v>
      </c>
      <c r="B94" s="102" t="s">
        <v>2037</v>
      </c>
      <c r="C94" s="102" t="s">
        <v>8</v>
      </c>
      <c r="D94" s="103" t="s">
        <v>965</v>
      </c>
      <c r="E94" s="104">
        <v>2</v>
      </c>
      <c r="F94" s="103" t="s">
        <v>966</v>
      </c>
      <c r="G94" s="103" t="s">
        <v>967</v>
      </c>
      <c r="H94" s="103" t="s">
        <v>968</v>
      </c>
      <c r="I94" s="103">
        <v>1</v>
      </c>
      <c r="J94" s="104">
        <v>0.95</v>
      </c>
      <c r="K94" s="107" t="s">
        <v>1911</v>
      </c>
      <c r="L94" s="103"/>
      <c r="M94" s="105">
        <f t="shared" si="1"/>
        <v>1.9</v>
      </c>
    </row>
    <row r="95" spans="1:13" x14ac:dyDescent="0.3">
      <c r="A95" s="102" t="s">
        <v>897</v>
      </c>
      <c r="B95" s="102" t="s">
        <v>2037</v>
      </c>
      <c r="C95" s="102" t="s">
        <v>8</v>
      </c>
      <c r="D95" s="103" t="s">
        <v>1023</v>
      </c>
      <c r="E95" s="104">
        <v>6</v>
      </c>
      <c r="F95" s="103" t="s">
        <v>1024</v>
      </c>
      <c r="G95" s="103" t="s">
        <v>1025</v>
      </c>
      <c r="H95" s="103" t="s">
        <v>1026</v>
      </c>
      <c r="I95" s="103">
        <v>1</v>
      </c>
      <c r="J95" s="104">
        <v>0.95</v>
      </c>
      <c r="K95" s="107" t="s">
        <v>1911</v>
      </c>
      <c r="L95" s="103"/>
      <c r="M95" s="105">
        <f t="shared" si="1"/>
        <v>5.6999999999999993</v>
      </c>
    </row>
    <row r="96" spans="1:13" x14ac:dyDescent="0.3">
      <c r="A96" s="102" t="s">
        <v>897</v>
      </c>
      <c r="B96" s="102" t="s">
        <v>2037</v>
      </c>
      <c r="C96" s="102" t="s">
        <v>8</v>
      </c>
      <c r="D96" s="103" t="s">
        <v>2422</v>
      </c>
      <c r="E96" s="103">
        <v>4</v>
      </c>
      <c r="F96" s="103" t="s">
        <v>2423</v>
      </c>
      <c r="G96" s="103" t="s">
        <v>2424</v>
      </c>
      <c r="H96" s="103" t="s">
        <v>2425</v>
      </c>
      <c r="I96" s="103">
        <v>1</v>
      </c>
      <c r="J96" s="103">
        <v>0.3</v>
      </c>
      <c r="K96" s="107" t="s">
        <v>1910</v>
      </c>
      <c r="M96" s="105">
        <f t="shared" si="1"/>
        <v>1.2</v>
      </c>
    </row>
    <row r="97" spans="1:16" x14ac:dyDescent="0.3">
      <c r="A97" s="106" t="s">
        <v>894</v>
      </c>
      <c r="B97" s="106" t="s">
        <v>2037</v>
      </c>
      <c r="C97" s="106" t="s">
        <v>1898</v>
      </c>
      <c r="D97" s="106" t="s">
        <v>2289</v>
      </c>
      <c r="E97" s="103">
        <v>0</v>
      </c>
      <c r="F97" s="103"/>
      <c r="G97" s="103"/>
      <c r="H97" s="107" t="s">
        <v>2290</v>
      </c>
      <c r="J97" s="102">
        <v>0.95</v>
      </c>
      <c r="K97" s="107" t="s">
        <v>1910</v>
      </c>
      <c r="M97" s="105">
        <f t="shared" si="1"/>
        <v>0</v>
      </c>
    </row>
    <row r="98" spans="1:16" x14ac:dyDescent="0.3">
      <c r="A98" s="106" t="s">
        <v>894</v>
      </c>
      <c r="B98" s="106" t="s">
        <v>2037</v>
      </c>
      <c r="C98" s="106" t="s">
        <v>1898</v>
      </c>
      <c r="D98" s="106" t="s">
        <v>2291</v>
      </c>
      <c r="E98" s="103">
        <v>0</v>
      </c>
      <c r="F98" s="103"/>
      <c r="G98" s="103"/>
      <c r="H98" s="107" t="s">
        <v>2292</v>
      </c>
      <c r="J98" s="102">
        <v>0.95</v>
      </c>
      <c r="K98" s="107" t="s">
        <v>1910</v>
      </c>
      <c r="M98" s="105">
        <f t="shared" si="1"/>
        <v>0</v>
      </c>
    </row>
    <row r="99" spans="1:16" x14ac:dyDescent="0.3">
      <c r="A99" s="106" t="s">
        <v>894</v>
      </c>
      <c r="B99" s="106" t="s">
        <v>2037</v>
      </c>
      <c r="C99" s="106" t="s">
        <v>1898</v>
      </c>
      <c r="D99" s="106" t="s">
        <v>2293</v>
      </c>
      <c r="E99" s="103">
        <v>0</v>
      </c>
      <c r="F99" s="103"/>
      <c r="G99" s="103"/>
      <c r="H99" s="107" t="s">
        <v>2294</v>
      </c>
      <c r="J99" s="102">
        <v>0.95</v>
      </c>
      <c r="K99" s="107" t="s">
        <v>1910</v>
      </c>
      <c r="M99" s="105">
        <f t="shared" si="1"/>
        <v>0</v>
      </c>
    </row>
    <row r="100" spans="1:16" x14ac:dyDescent="0.3">
      <c r="A100" s="106" t="s">
        <v>894</v>
      </c>
      <c r="B100" s="106" t="s">
        <v>2037</v>
      </c>
      <c r="C100" s="106" t="s">
        <v>1898</v>
      </c>
      <c r="D100" s="106" t="s">
        <v>2295</v>
      </c>
      <c r="E100" s="103">
        <v>0</v>
      </c>
      <c r="F100" s="103"/>
      <c r="G100" s="103"/>
      <c r="H100" s="107" t="s">
        <v>2296</v>
      </c>
      <c r="J100" s="102">
        <v>0.95</v>
      </c>
      <c r="K100" s="107" t="s">
        <v>1910</v>
      </c>
      <c r="M100" s="105">
        <f t="shared" si="1"/>
        <v>0</v>
      </c>
    </row>
    <row r="101" spans="1:16" x14ac:dyDescent="0.3">
      <c r="A101" s="106" t="s">
        <v>894</v>
      </c>
      <c r="B101" s="106" t="s">
        <v>2037</v>
      </c>
      <c r="C101" s="106" t="s">
        <v>1898</v>
      </c>
      <c r="D101" s="106" t="s">
        <v>2297</v>
      </c>
      <c r="E101" s="103">
        <v>0</v>
      </c>
      <c r="F101" s="103"/>
      <c r="G101" s="103"/>
      <c r="H101" s="107" t="s">
        <v>2298</v>
      </c>
      <c r="J101" s="102">
        <v>0.95</v>
      </c>
      <c r="K101" s="107" t="s">
        <v>1910</v>
      </c>
      <c r="M101" s="105">
        <f t="shared" si="1"/>
        <v>0</v>
      </c>
    </row>
    <row r="102" spans="1:16" x14ac:dyDescent="0.3">
      <c r="A102" s="106" t="s">
        <v>894</v>
      </c>
      <c r="B102" s="106" t="s">
        <v>2037</v>
      </c>
      <c r="C102" s="106" t="s">
        <v>1898</v>
      </c>
      <c r="D102" s="106" t="s">
        <v>2299</v>
      </c>
      <c r="E102" s="103">
        <v>0</v>
      </c>
      <c r="F102" s="103"/>
      <c r="G102" s="103"/>
      <c r="H102" s="107" t="s">
        <v>2300</v>
      </c>
      <c r="J102" s="102">
        <v>0.95</v>
      </c>
      <c r="K102" s="107" t="s">
        <v>1910</v>
      </c>
      <c r="M102" s="105">
        <f t="shared" si="1"/>
        <v>0</v>
      </c>
    </row>
    <row r="103" spans="1:16" x14ac:dyDescent="0.3">
      <c r="A103" s="107" t="s">
        <v>894</v>
      </c>
      <c r="B103" s="107" t="s">
        <v>14</v>
      </c>
      <c r="C103" s="107" t="s">
        <v>8</v>
      </c>
      <c r="D103" s="106" t="s">
        <v>72</v>
      </c>
      <c r="E103" s="103">
        <v>5</v>
      </c>
      <c r="F103" s="103" t="s">
        <v>73</v>
      </c>
      <c r="G103" s="103" t="s">
        <v>74</v>
      </c>
      <c r="H103" s="106" t="s">
        <v>75</v>
      </c>
      <c r="I103" s="103">
        <v>1</v>
      </c>
      <c r="J103" s="103">
        <v>0.95</v>
      </c>
      <c r="K103" s="106" t="s">
        <v>1911</v>
      </c>
      <c r="M103" s="105">
        <f t="shared" si="1"/>
        <v>4.75</v>
      </c>
      <c r="N103" s="105">
        <v>5</v>
      </c>
      <c r="O103" s="105">
        <f t="shared" ref="O103:O119" si="2">E103*J103</f>
        <v>4.75</v>
      </c>
      <c r="P103" s="105">
        <f t="shared" ref="P103:P112" si="3">J103*N103</f>
        <v>4.75</v>
      </c>
    </row>
    <row r="104" spans="1:16" x14ac:dyDescent="0.3">
      <c r="A104" s="107" t="s">
        <v>894</v>
      </c>
      <c r="B104" s="107" t="s">
        <v>14</v>
      </c>
      <c r="C104" s="107" t="s">
        <v>8</v>
      </c>
      <c r="D104" s="106" t="s">
        <v>76</v>
      </c>
      <c r="E104" s="103">
        <v>20</v>
      </c>
      <c r="F104" s="103" t="s">
        <v>77</v>
      </c>
      <c r="G104" s="103" t="s">
        <v>78</v>
      </c>
      <c r="H104" s="106" t="s">
        <v>79</v>
      </c>
      <c r="I104" s="103">
        <v>1</v>
      </c>
      <c r="J104" s="103">
        <v>1.95</v>
      </c>
      <c r="K104" s="106" t="s">
        <v>1911</v>
      </c>
      <c r="M104" s="105">
        <f t="shared" si="1"/>
        <v>39</v>
      </c>
      <c r="N104" s="105">
        <v>20</v>
      </c>
      <c r="O104" s="105">
        <f t="shared" si="2"/>
        <v>39</v>
      </c>
      <c r="P104" s="105">
        <f t="shared" si="3"/>
        <v>39</v>
      </c>
    </row>
    <row r="105" spans="1:16" x14ac:dyDescent="0.3">
      <c r="A105" s="107" t="s">
        <v>894</v>
      </c>
      <c r="B105" s="107" t="s">
        <v>14</v>
      </c>
      <c r="C105" s="107" t="s">
        <v>8</v>
      </c>
      <c r="D105" s="106" t="s">
        <v>80</v>
      </c>
      <c r="E105" s="103">
        <v>5</v>
      </c>
      <c r="F105" s="103" t="s">
        <v>81</v>
      </c>
      <c r="G105" s="103" t="s">
        <v>82</v>
      </c>
      <c r="H105" s="106" t="s">
        <v>83</v>
      </c>
      <c r="I105" s="103"/>
      <c r="J105" s="103">
        <v>14.95</v>
      </c>
      <c r="K105" s="124" t="s">
        <v>1911</v>
      </c>
      <c r="M105" s="105">
        <f t="shared" si="1"/>
        <v>74.75</v>
      </c>
      <c r="N105" s="105">
        <v>5</v>
      </c>
      <c r="O105" s="105">
        <f t="shared" si="2"/>
        <v>74.75</v>
      </c>
      <c r="P105" s="105">
        <f t="shared" si="3"/>
        <v>74.75</v>
      </c>
    </row>
    <row r="106" spans="1:16" x14ac:dyDescent="0.3">
      <c r="A106" s="107" t="s">
        <v>894</v>
      </c>
      <c r="B106" s="107" t="s">
        <v>14</v>
      </c>
      <c r="C106" s="107" t="s">
        <v>8</v>
      </c>
      <c r="D106" s="106" t="s">
        <v>84</v>
      </c>
      <c r="E106" s="103">
        <v>10</v>
      </c>
      <c r="F106" s="103" t="s">
        <v>85</v>
      </c>
      <c r="G106" s="103" t="s">
        <v>86</v>
      </c>
      <c r="H106" s="106" t="s">
        <v>87</v>
      </c>
      <c r="I106" s="103">
        <v>1</v>
      </c>
      <c r="J106" s="103">
        <v>3.95</v>
      </c>
      <c r="K106" s="106" t="s">
        <v>1911</v>
      </c>
      <c r="M106" s="105">
        <f t="shared" si="1"/>
        <v>39.5</v>
      </c>
      <c r="N106" s="105">
        <v>10</v>
      </c>
      <c r="O106" s="105">
        <f t="shared" si="2"/>
        <v>39.5</v>
      </c>
      <c r="P106" s="105">
        <f t="shared" si="3"/>
        <v>39.5</v>
      </c>
    </row>
    <row r="107" spans="1:16" x14ac:dyDescent="0.3">
      <c r="A107" s="107" t="s">
        <v>894</v>
      </c>
      <c r="B107" s="107" t="s">
        <v>14</v>
      </c>
      <c r="C107" s="107" t="s">
        <v>8</v>
      </c>
      <c r="D107" s="106" t="s">
        <v>88</v>
      </c>
      <c r="E107" s="103">
        <v>0</v>
      </c>
      <c r="F107" s="103" t="s">
        <v>89</v>
      </c>
      <c r="G107" s="103" t="s">
        <v>90</v>
      </c>
      <c r="H107" s="106" t="s">
        <v>91</v>
      </c>
      <c r="I107" s="103">
        <v>1</v>
      </c>
      <c r="J107" s="103">
        <v>24.95</v>
      </c>
      <c r="K107" s="106" t="s">
        <v>1911</v>
      </c>
      <c r="M107" s="105">
        <f t="shared" si="1"/>
        <v>0</v>
      </c>
      <c r="N107" s="105">
        <v>5</v>
      </c>
      <c r="O107" s="105">
        <f t="shared" si="2"/>
        <v>0</v>
      </c>
      <c r="P107" s="105">
        <f t="shared" si="3"/>
        <v>124.75</v>
      </c>
    </row>
    <row r="108" spans="1:16" x14ac:dyDescent="0.3">
      <c r="A108" s="107" t="s">
        <v>894</v>
      </c>
      <c r="B108" s="107" t="s">
        <v>14</v>
      </c>
      <c r="C108" s="107" t="s">
        <v>8</v>
      </c>
      <c r="D108" s="106" t="s">
        <v>92</v>
      </c>
      <c r="E108" s="103">
        <v>5</v>
      </c>
      <c r="F108" s="103" t="s">
        <v>93</v>
      </c>
      <c r="G108" s="103" t="s">
        <v>94</v>
      </c>
      <c r="H108" s="106" t="s">
        <v>95</v>
      </c>
      <c r="I108" s="103"/>
      <c r="J108" s="103">
        <v>24.95</v>
      </c>
      <c r="K108" s="106" t="s">
        <v>1911</v>
      </c>
      <c r="M108" s="105">
        <f t="shared" si="1"/>
        <v>124.75</v>
      </c>
      <c r="N108" s="105">
        <v>10</v>
      </c>
      <c r="O108" s="105">
        <f t="shared" si="2"/>
        <v>124.75</v>
      </c>
      <c r="P108" s="105">
        <f t="shared" si="3"/>
        <v>249.5</v>
      </c>
    </row>
    <row r="109" spans="1:16" x14ac:dyDescent="0.3">
      <c r="A109" s="107" t="s">
        <v>894</v>
      </c>
      <c r="B109" s="107" t="s">
        <v>14</v>
      </c>
      <c r="C109" s="107" t="s">
        <v>8</v>
      </c>
      <c r="D109" s="106" t="s">
        <v>96</v>
      </c>
      <c r="E109" s="103">
        <v>0</v>
      </c>
      <c r="F109" s="103" t="s">
        <v>97</v>
      </c>
      <c r="G109" s="103" t="s">
        <v>98</v>
      </c>
      <c r="H109" s="106" t="s">
        <v>99</v>
      </c>
      <c r="I109" s="103">
        <v>1</v>
      </c>
      <c r="J109" s="103">
        <v>14.95</v>
      </c>
      <c r="K109" s="106" t="s">
        <v>1911</v>
      </c>
      <c r="M109" s="105">
        <f t="shared" si="1"/>
        <v>0</v>
      </c>
      <c r="N109" s="105">
        <v>5</v>
      </c>
      <c r="O109" s="105">
        <f t="shared" si="2"/>
        <v>0</v>
      </c>
      <c r="P109" s="105">
        <f t="shared" si="3"/>
        <v>74.75</v>
      </c>
    </row>
    <row r="110" spans="1:16" x14ac:dyDescent="0.3">
      <c r="A110" s="107" t="s">
        <v>894</v>
      </c>
      <c r="B110" s="107" t="s">
        <v>14</v>
      </c>
      <c r="C110" s="107" t="s">
        <v>8</v>
      </c>
      <c r="D110" s="106" t="s">
        <v>100</v>
      </c>
      <c r="E110" s="103">
        <v>3</v>
      </c>
      <c r="F110" s="103" t="s">
        <v>101</v>
      </c>
      <c r="G110" s="103" t="s">
        <v>102</v>
      </c>
      <c r="H110" s="106" t="s">
        <v>103</v>
      </c>
      <c r="I110" s="103">
        <v>1</v>
      </c>
      <c r="J110" s="103">
        <v>19.95</v>
      </c>
      <c r="K110" s="106" t="s">
        <v>1912</v>
      </c>
      <c r="M110" s="105">
        <f t="shared" si="1"/>
        <v>59.849999999999994</v>
      </c>
      <c r="N110" s="105">
        <v>3</v>
      </c>
      <c r="O110" s="105">
        <f t="shared" si="2"/>
        <v>59.849999999999994</v>
      </c>
      <c r="P110" s="105">
        <f t="shared" si="3"/>
        <v>59.849999999999994</v>
      </c>
    </row>
    <row r="111" spans="1:16" x14ac:dyDescent="0.3">
      <c r="A111" s="107" t="s">
        <v>894</v>
      </c>
      <c r="B111" s="107" t="s">
        <v>14</v>
      </c>
      <c r="C111" s="107" t="s">
        <v>8</v>
      </c>
      <c r="D111" s="106" t="s">
        <v>104</v>
      </c>
      <c r="E111" s="103">
        <v>0</v>
      </c>
      <c r="F111" s="103" t="s">
        <v>105</v>
      </c>
      <c r="G111" s="103" t="s">
        <v>106</v>
      </c>
      <c r="H111" s="106" t="s">
        <v>107</v>
      </c>
      <c r="I111" s="103">
        <v>1</v>
      </c>
      <c r="J111" s="103">
        <v>13.95</v>
      </c>
      <c r="K111" s="106" t="s">
        <v>1911</v>
      </c>
      <c r="M111" s="105">
        <f t="shared" si="1"/>
        <v>0</v>
      </c>
      <c r="N111" s="105">
        <v>10</v>
      </c>
      <c r="O111" s="105">
        <f t="shared" si="2"/>
        <v>0</v>
      </c>
      <c r="P111" s="105">
        <f t="shared" si="3"/>
        <v>139.5</v>
      </c>
    </row>
    <row r="112" spans="1:16" x14ac:dyDescent="0.3">
      <c r="A112" s="107" t="s">
        <v>894</v>
      </c>
      <c r="B112" s="107" t="s">
        <v>14</v>
      </c>
      <c r="C112" s="107" t="s">
        <v>8</v>
      </c>
      <c r="D112" s="106" t="s">
        <v>1092</v>
      </c>
      <c r="E112" s="103">
        <v>0</v>
      </c>
      <c r="F112" s="103" t="s">
        <v>1093</v>
      </c>
      <c r="G112" s="103" t="s">
        <v>1094</v>
      </c>
      <c r="H112" s="106" t="s">
        <v>1095</v>
      </c>
      <c r="I112" s="103">
        <v>1</v>
      </c>
      <c r="J112" s="103">
        <v>1.5</v>
      </c>
      <c r="K112" s="106" t="s">
        <v>1911</v>
      </c>
      <c r="M112" s="105">
        <f t="shared" si="1"/>
        <v>0</v>
      </c>
      <c r="N112" s="105">
        <v>0</v>
      </c>
      <c r="O112" s="105">
        <f t="shared" si="2"/>
        <v>0</v>
      </c>
      <c r="P112" s="105">
        <f t="shared" si="3"/>
        <v>0</v>
      </c>
    </row>
    <row r="113" spans="1:16" x14ac:dyDescent="0.3">
      <c r="A113" s="106" t="s">
        <v>894</v>
      </c>
      <c r="B113" s="106" t="s">
        <v>14</v>
      </c>
      <c r="C113" s="106" t="s">
        <v>1898</v>
      </c>
      <c r="D113" s="106" t="s">
        <v>2318</v>
      </c>
      <c r="E113" s="103">
        <v>0</v>
      </c>
      <c r="F113" s="103"/>
      <c r="G113" s="103"/>
      <c r="H113" s="107" t="s">
        <v>2319</v>
      </c>
      <c r="J113" s="102">
        <v>39.950000000000003</v>
      </c>
      <c r="K113" s="107" t="s">
        <v>1910</v>
      </c>
      <c r="M113" s="105">
        <f t="shared" si="1"/>
        <v>0</v>
      </c>
      <c r="O113" s="105">
        <f t="shared" si="2"/>
        <v>0</v>
      </c>
      <c r="P113" s="105">
        <f>SUM(P103:P112)</f>
        <v>806.35</v>
      </c>
    </row>
    <row r="114" spans="1:16" x14ac:dyDescent="0.3">
      <c r="A114" s="106" t="s">
        <v>894</v>
      </c>
      <c r="B114" s="106" t="s">
        <v>14</v>
      </c>
      <c r="C114" s="106" t="s">
        <v>1898</v>
      </c>
      <c r="D114" s="106" t="s">
        <v>2320</v>
      </c>
      <c r="E114" s="103">
        <v>10</v>
      </c>
      <c r="F114" s="103"/>
      <c r="G114" s="103"/>
      <c r="H114" s="107" t="s">
        <v>2321</v>
      </c>
      <c r="J114" s="102">
        <v>14.95</v>
      </c>
      <c r="K114" s="107" t="s">
        <v>1911</v>
      </c>
      <c r="M114" s="105">
        <f t="shared" si="1"/>
        <v>149.5</v>
      </c>
      <c r="O114" s="105">
        <f t="shared" si="2"/>
        <v>149.5</v>
      </c>
    </row>
    <row r="115" spans="1:16" x14ac:dyDescent="0.3">
      <c r="A115" s="106" t="s">
        <v>894</v>
      </c>
      <c r="B115" s="106" t="s">
        <v>14</v>
      </c>
      <c r="C115" s="106" t="s">
        <v>1898</v>
      </c>
      <c r="D115" s="106" t="s">
        <v>2322</v>
      </c>
      <c r="E115" s="103">
        <v>0</v>
      </c>
      <c r="F115" s="103"/>
      <c r="G115" s="103"/>
      <c r="H115" s="107" t="s">
        <v>2323</v>
      </c>
      <c r="J115" s="102">
        <v>13.95</v>
      </c>
      <c r="K115" s="107" t="s">
        <v>1910</v>
      </c>
      <c r="M115" s="105">
        <f t="shared" si="1"/>
        <v>0</v>
      </c>
      <c r="O115" s="105">
        <f t="shared" si="2"/>
        <v>0</v>
      </c>
    </row>
    <row r="116" spans="1:16" x14ac:dyDescent="0.3">
      <c r="A116" s="106" t="s">
        <v>894</v>
      </c>
      <c r="B116" s="106" t="s">
        <v>14</v>
      </c>
      <c r="C116" s="106" t="s">
        <v>1898</v>
      </c>
      <c r="D116" s="106" t="s">
        <v>2324</v>
      </c>
      <c r="E116" s="103">
        <v>0</v>
      </c>
      <c r="F116" s="103"/>
      <c r="G116" s="103"/>
      <c r="H116" s="107" t="s">
        <v>2325</v>
      </c>
      <c r="J116" s="102">
        <v>24.95</v>
      </c>
      <c r="K116" s="107" t="s">
        <v>1910</v>
      </c>
      <c r="M116" s="105">
        <f t="shared" si="1"/>
        <v>0</v>
      </c>
      <c r="O116" s="105">
        <f t="shared" si="2"/>
        <v>0</v>
      </c>
    </row>
    <row r="117" spans="1:16" x14ac:dyDescent="0.3">
      <c r="A117" s="106" t="s">
        <v>894</v>
      </c>
      <c r="B117" s="106" t="s">
        <v>14</v>
      </c>
      <c r="C117" s="106" t="s">
        <v>1898</v>
      </c>
      <c r="D117" s="106" t="s">
        <v>2326</v>
      </c>
      <c r="E117" s="103">
        <v>0</v>
      </c>
      <c r="F117" s="103"/>
      <c r="G117" s="103"/>
      <c r="H117" s="107" t="s">
        <v>2327</v>
      </c>
      <c r="J117" s="102">
        <v>14.95</v>
      </c>
      <c r="K117" s="107" t="s">
        <v>1910</v>
      </c>
      <c r="M117" s="105">
        <f t="shared" si="1"/>
        <v>0</v>
      </c>
      <c r="O117" s="105">
        <f t="shared" si="2"/>
        <v>0</v>
      </c>
    </row>
    <row r="118" spans="1:16" x14ac:dyDescent="0.3">
      <c r="A118" s="106" t="s">
        <v>894</v>
      </c>
      <c r="B118" s="106" t="s">
        <v>14</v>
      </c>
      <c r="C118" s="106" t="s">
        <v>1898</v>
      </c>
      <c r="D118" s="106" t="s">
        <v>2328</v>
      </c>
      <c r="E118" s="103">
        <v>0</v>
      </c>
      <c r="F118" s="103"/>
      <c r="G118" s="103"/>
      <c r="H118" s="107" t="s">
        <v>2329</v>
      </c>
      <c r="J118" s="102">
        <v>15.95</v>
      </c>
      <c r="K118" s="107" t="s">
        <v>1910</v>
      </c>
      <c r="M118" s="105">
        <f t="shared" si="1"/>
        <v>0</v>
      </c>
      <c r="O118" s="105">
        <f t="shared" si="2"/>
        <v>0</v>
      </c>
    </row>
    <row r="119" spans="1:16" x14ac:dyDescent="0.3">
      <c r="A119" s="106" t="s">
        <v>894</v>
      </c>
      <c r="B119" s="106" t="s">
        <v>14</v>
      </c>
      <c r="C119" s="106" t="s">
        <v>2552</v>
      </c>
      <c r="D119" s="106" t="s">
        <v>2551</v>
      </c>
      <c r="E119" s="103">
        <v>0</v>
      </c>
      <c r="F119" s="103"/>
      <c r="G119" s="103"/>
      <c r="H119" s="107" t="s">
        <v>2553</v>
      </c>
      <c r="J119" s="102">
        <v>18.13</v>
      </c>
      <c r="K119" s="107" t="s">
        <v>1910</v>
      </c>
      <c r="M119" s="105">
        <f t="shared" si="1"/>
        <v>0</v>
      </c>
      <c r="O119" s="105">
        <f t="shared" si="2"/>
        <v>0</v>
      </c>
    </row>
    <row r="120" spans="1:16" x14ac:dyDescent="0.3">
      <c r="A120" s="106" t="s">
        <v>894</v>
      </c>
      <c r="B120" s="106" t="s">
        <v>14</v>
      </c>
      <c r="C120" s="106" t="s">
        <v>1906</v>
      </c>
      <c r="D120" s="106" t="s">
        <v>2550</v>
      </c>
      <c r="E120" s="103">
        <v>5</v>
      </c>
      <c r="F120" s="103"/>
      <c r="G120" s="103"/>
      <c r="H120" s="107" t="s">
        <v>2553</v>
      </c>
      <c r="J120" s="102">
        <v>18.5</v>
      </c>
      <c r="K120" s="107" t="s">
        <v>1911</v>
      </c>
      <c r="M120" s="105">
        <f t="shared" si="1"/>
        <v>92.5</v>
      </c>
    </row>
    <row r="121" spans="1:16" x14ac:dyDescent="0.3">
      <c r="A121" s="107" t="s">
        <v>894</v>
      </c>
      <c r="B121" s="107" t="s">
        <v>15</v>
      </c>
      <c r="C121" s="107" t="s">
        <v>8</v>
      </c>
      <c r="D121" s="106" t="s">
        <v>108</v>
      </c>
      <c r="E121" s="103">
        <v>5</v>
      </c>
      <c r="F121" s="103" t="s">
        <v>109</v>
      </c>
      <c r="G121" s="103" t="s">
        <v>110</v>
      </c>
      <c r="H121" s="106" t="s">
        <v>111</v>
      </c>
      <c r="I121" s="103">
        <v>1</v>
      </c>
      <c r="J121" s="103">
        <v>2.95</v>
      </c>
      <c r="K121" s="106" t="s">
        <v>1911</v>
      </c>
      <c r="M121" s="105">
        <f t="shared" si="1"/>
        <v>14.75</v>
      </c>
      <c r="O121" s="105">
        <f>SUM(O103:O119)</f>
        <v>492.1</v>
      </c>
    </row>
    <row r="122" spans="1:16" x14ac:dyDescent="0.3">
      <c r="A122" s="107" t="s">
        <v>894</v>
      </c>
      <c r="B122" s="107" t="s">
        <v>15</v>
      </c>
      <c r="C122" s="107" t="s">
        <v>8</v>
      </c>
      <c r="D122" s="106" t="s">
        <v>1338</v>
      </c>
      <c r="E122" s="103">
        <v>0</v>
      </c>
      <c r="F122" s="103" t="s">
        <v>1339</v>
      </c>
      <c r="G122" s="103" t="s">
        <v>1340</v>
      </c>
      <c r="H122" s="106" t="s">
        <v>1341</v>
      </c>
      <c r="I122" s="103">
        <v>1</v>
      </c>
      <c r="J122" s="103">
        <v>2.95</v>
      </c>
      <c r="K122" s="106" t="s">
        <v>1910</v>
      </c>
      <c r="M122" s="105">
        <f t="shared" si="1"/>
        <v>0</v>
      </c>
    </row>
    <row r="123" spans="1:16" x14ac:dyDescent="0.3">
      <c r="A123" s="107" t="s">
        <v>894</v>
      </c>
      <c r="B123" s="107" t="s">
        <v>15</v>
      </c>
      <c r="C123" s="107" t="s">
        <v>8</v>
      </c>
      <c r="D123" s="106" t="s">
        <v>1342</v>
      </c>
      <c r="E123" s="103">
        <v>0</v>
      </c>
      <c r="F123" s="103" t="s">
        <v>1343</v>
      </c>
      <c r="G123" s="103" t="s">
        <v>1344</v>
      </c>
      <c r="H123" s="106" t="s">
        <v>1345</v>
      </c>
      <c r="I123" s="103">
        <v>1</v>
      </c>
      <c r="J123" s="103">
        <v>2.95</v>
      </c>
      <c r="K123" s="106" t="s">
        <v>1910</v>
      </c>
      <c r="M123" s="105">
        <f t="shared" si="1"/>
        <v>0</v>
      </c>
    </row>
    <row r="124" spans="1:16" x14ac:dyDescent="0.3">
      <c r="A124" s="107" t="s">
        <v>894</v>
      </c>
      <c r="B124" s="107" t="s">
        <v>15</v>
      </c>
      <c r="C124" s="107" t="s">
        <v>8</v>
      </c>
      <c r="D124" s="106" t="s">
        <v>1346</v>
      </c>
      <c r="E124" s="103">
        <v>0</v>
      </c>
      <c r="F124" s="103" t="s">
        <v>1347</v>
      </c>
      <c r="G124" s="103" t="s">
        <v>1348</v>
      </c>
      <c r="H124" s="106" t="s">
        <v>1349</v>
      </c>
      <c r="I124" s="103">
        <v>1</v>
      </c>
      <c r="J124" s="103">
        <v>2.95</v>
      </c>
      <c r="K124" s="106" t="s">
        <v>1910</v>
      </c>
      <c r="M124" s="105">
        <f t="shared" si="1"/>
        <v>0</v>
      </c>
    </row>
    <row r="125" spans="1:16" x14ac:dyDescent="0.3">
      <c r="A125" s="106" t="s">
        <v>894</v>
      </c>
      <c r="B125" s="106" t="s">
        <v>15</v>
      </c>
      <c r="C125" s="106" t="s">
        <v>1898</v>
      </c>
      <c r="D125" s="106" t="s">
        <v>2332</v>
      </c>
      <c r="E125" s="103">
        <v>0</v>
      </c>
      <c r="F125" s="103"/>
      <c r="G125" s="103"/>
      <c r="H125" s="107" t="s">
        <v>2333</v>
      </c>
      <c r="J125" s="102">
        <v>17.95</v>
      </c>
      <c r="K125" s="107" t="s">
        <v>1910</v>
      </c>
      <c r="M125" s="105">
        <f t="shared" si="1"/>
        <v>0</v>
      </c>
    </row>
    <row r="126" spans="1:16" x14ac:dyDescent="0.3">
      <c r="A126" s="107" t="s">
        <v>894</v>
      </c>
      <c r="B126" s="107" t="s">
        <v>15</v>
      </c>
      <c r="C126" s="107" t="s">
        <v>8</v>
      </c>
      <c r="D126" s="106" t="s">
        <v>1429</v>
      </c>
      <c r="E126" s="103">
        <v>0</v>
      </c>
      <c r="F126" s="103" t="s">
        <v>1430</v>
      </c>
      <c r="G126" s="103" t="s">
        <v>1431</v>
      </c>
      <c r="H126" s="106" t="s">
        <v>1432</v>
      </c>
      <c r="I126" s="103">
        <v>1</v>
      </c>
      <c r="J126" s="103">
        <v>20.95</v>
      </c>
      <c r="K126" s="106" t="s">
        <v>1910</v>
      </c>
      <c r="M126" s="105">
        <f t="shared" si="1"/>
        <v>0</v>
      </c>
    </row>
    <row r="127" spans="1:16" x14ac:dyDescent="0.3">
      <c r="A127" s="107" t="s">
        <v>894</v>
      </c>
      <c r="B127" s="107" t="s">
        <v>15</v>
      </c>
      <c r="C127" s="107" t="s">
        <v>8</v>
      </c>
      <c r="D127" s="106" t="s">
        <v>1433</v>
      </c>
      <c r="E127" s="103">
        <v>0</v>
      </c>
      <c r="F127" s="103" t="s">
        <v>1434</v>
      </c>
      <c r="G127" s="103" t="s">
        <v>1435</v>
      </c>
      <c r="H127" s="106" t="s">
        <v>1436</v>
      </c>
      <c r="I127" s="103">
        <v>1</v>
      </c>
      <c r="J127" s="103">
        <v>5.95</v>
      </c>
      <c r="K127" s="106" t="s">
        <v>1910</v>
      </c>
      <c r="M127" s="105">
        <f t="shared" si="1"/>
        <v>0</v>
      </c>
    </row>
    <row r="128" spans="1:16" x14ac:dyDescent="0.3">
      <c r="A128" s="107" t="s">
        <v>894</v>
      </c>
      <c r="B128" s="107" t="s">
        <v>15</v>
      </c>
      <c r="C128" s="107" t="s">
        <v>8</v>
      </c>
      <c r="D128" s="106" t="s">
        <v>675</v>
      </c>
      <c r="E128" s="103">
        <v>0</v>
      </c>
      <c r="F128" s="103" t="s">
        <v>676</v>
      </c>
      <c r="G128" s="103" t="s">
        <v>677</v>
      </c>
      <c r="H128" s="106" t="s">
        <v>678</v>
      </c>
      <c r="I128" s="103">
        <v>1</v>
      </c>
      <c r="J128" s="103">
        <v>9.9499999999999993</v>
      </c>
      <c r="K128" s="106" t="s">
        <v>1910</v>
      </c>
      <c r="M128" s="105">
        <f t="shared" si="1"/>
        <v>0</v>
      </c>
    </row>
    <row r="129" spans="1:13" x14ac:dyDescent="0.3">
      <c r="A129" s="106" t="s">
        <v>894</v>
      </c>
      <c r="B129" s="106" t="s">
        <v>15</v>
      </c>
      <c r="C129" s="106" t="s">
        <v>1898</v>
      </c>
      <c r="D129" s="106" t="s">
        <v>2338</v>
      </c>
      <c r="E129" s="103">
        <v>4</v>
      </c>
      <c r="F129" s="103"/>
      <c r="G129" s="103"/>
      <c r="H129" s="107" t="s">
        <v>2339</v>
      </c>
      <c r="J129" s="102">
        <v>7.95</v>
      </c>
      <c r="K129" s="107" t="s">
        <v>1910</v>
      </c>
      <c r="M129" s="105">
        <f t="shared" si="1"/>
        <v>31.8</v>
      </c>
    </row>
    <row r="130" spans="1:13" x14ac:dyDescent="0.3">
      <c r="A130" s="107" t="s">
        <v>894</v>
      </c>
      <c r="B130" s="107" t="s">
        <v>15</v>
      </c>
      <c r="C130" s="107" t="s">
        <v>8</v>
      </c>
      <c r="D130" s="106" t="s">
        <v>1421</v>
      </c>
      <c r="E130" s="103">
        <v>0</v>
      </c>
      <c r="F130" s="103" t="s">
        <v>1422</v>
      </c>
      <c r="G130" s="103" t="s">
        <v>1423</v>
      </c>
      <c r="H130" s="106" t="s">
        <v>1424</v>
      </c>
      <c r="I130" s="103">
        <v>1</v>
      </c>
      <c r="J130" s="103">
        <v>6.95</v>
      </c>
      <c r="K130" s="106" t="s">
        <v>1910</v>
      </c>
      <c r="M130" s="105">
        <f t="shared" si="1"/>
        <v>0</v>
      </c>
    </row>
    <row r="131" spans="1:13" x14ac:dyDescent="0.3">
      <c r="A131" s="107" t="s">
        <v>894</v>
      </c>
      <c r="B131" s="107" t="s">
        <v>15</v>
      </c>
      <c r="C131" s="107" t="s">
        <v>8</v>
      </c>
      <c r="D131" s="106" t="s">
        <v>1425</v>
      </c>
      <c r="E131" s="103">
        <v>0</v>
      </c>
      <c r="F131" s="103" t="s">
        <v>1426</v>
      </c>
      <c r="G131" s="103" t="s">
        <v>1427</v>
      </c>
      <c r="H131" s="106" t="s">
        <v>1428</v>
      </c>
      <c r="I131" s="103">
        <v>1</v>
      </c>
      <c r="J131" s="103">
        <v>12.95</v>
      </c>
      <c r="K131" s="106" t="s">
        <v>1910</v>
      </c>
      <c r="M131" s="105">
        <f t="shared" ref="M131:M153" si="4">E131*J131</f>
        <v>0</v>
      </c>
    </row>
    <row r="132" spans="1:13" x14ac:dyDescent="0.3">
      <c r="A132" s="107" t="s">
        <v>894</v>
      </c>
      <c r="B132" s="107" t="s">
        <v>15</v>
      </c>
      <c r="C132" s="107" t="s">
        <v>8</v>
      </c>
      <c r="D132" s="106" t="s">
        <v>719</v>
      </c>
      <c r="E132" s="103">
        <v>0</v>
      </c>
      <c r="F132" s="103" t="s">
        <v>720</v>
      </c>
      <c r="G132" s="103" t="s">
        <v>721</v>
      </c>
      <c r="H132" s="106" t="s">
        <v>722</v>
      </c>
      <c r="I132" s="103">
        <v>1</v>
      </c>
      <c r="J132" s="103">
        <v>1.5</v>
      </c>
      <c r="K132" s="106" t="s">
        <v>1910</v>
      </c>
      <c r="M132" s="105">
        <f t="shared" si="4"/>
        <v>0</v>
      </c>
    </row>
    <row r="133" spans="1:13" x14ac:dyDescent="0.3">
      <c r="A133" s="106" t="s">
        <v>894</v>
      </c>
      <c r="B133" s="106" t="s">
        <v>15</v>
      </c>
      <c r="C133" s="106" t="s">
        <v>1898</v>
      </c>
      <c r="D133" s="106" t="s">
        <v>2334</v>
      </c>
      <c r="E133" s="103">
        <v>0</v>
      </c>
      <c r="F133" s="103"/>
      <c r="G133" s="103"/>
      <c r="H133" s="107" t="s">
        <v>2335</v>
      </c>
      <c r="J133" s="102">
        <v>0.95</v>
      </c>
      <c r="K133" s="107" t="s">
        <v>1910</v>
      </c>
      <c r="M133" s="105">
        <f t="shared" si="4"/>
        <v>0</v>
      </c>
    </row>
    <row r="134" spans="1:13" x14ac:dyDescent="0.3">
      <c r="A134" s="107" t="s">
        <v>894</v>
      </c>
      <c r="B134" s="107" t="s">
        <v>15</v>
      </c>
      <c r="C134" s="107" t="s">
        <v>8</v>
      </c>
      <c r="D134" s="106" t="s">
        <v>289</v>
      </c>
      <c r="E134" s="103">
        <v>5</v>
      </c>
      <c r="F134" s="103" t="s">
        <v>290</v>
      </c>
      <c r="G134" s="103" t="s">
        <v>291</v>
      </c>
      <c r="H134" s="106" t="s">
        <v>292</v>
      </c>
      <c r="I134" s="103">
        <v>1</v>
      </c>
      <c r="J134" s="103">
        <v>1.95</v>
      </c>
      <c r="K134" s="106" t="s">
        <v>1911</v>
      </c>
      <c r="M134" s="105">
        <f t="shared" si="4"/>
        <v>9.75</v>
      </c>
    </row>
    <row r="135" spans="1:13" x14ac:dyDescent="0.3">
      <c r="A135" s="106" t="s">
        <v>894</v>
      </c>
      <c r="B135" s="106" t="s">
        <v>15</v>
      </c>
      <c r="C135" s="106" t="s">
        <v>1898</v>
      </c>
      <c r="D135" s="106" t="s">
        <v>2330</v>
      </c>
      <c r="E135" s="103">
        <v>0</v>
      </c>
      <c r="F135" s="103"/>
      <c r="G135" s="103"/>
      <c r="H135" s="107" t="s">
        <v>2331</v>
      </c>
      <c r="J135" s="102">
        <v>18</v>
      </c>
      <c r="K135" s="107" t="s">
        <v>1910</v>
      </c>
      <c r="M135" s="105">
        <f t="shared" si="4"/>
        <v>0</v>
      </c>
    </row>
    <row r="136" spans="1:13" x14ac:dyDescent="0.3">
      <c r="A136" s="106" t="s">
        <v>894</v>
      </c>
      <c r="B136" s="106" t="s">
        <v>15</v>
      </c>
      <c r="C136" s="106" t="s">
        <v>1898</v>
      </c>
      <c r="D136" s="106" t="s">
        <v>2336</v>
      </c>
      <c r="E136" s="103">
        <v>1</v>
      </c>
      <c r="F136" s="103"/>
      <c r="G136" s="103"/>
      <c r="H136" s="107" t="s">
        <v>2337</v>
      </c>
      <c r="J136" s="102">
        <v>3.95</v>
      </c>
      <c r="K136" s="107" t="s">
        <v>1910</v>
      </c>
      <c r="M136" s="105">
        <f t="shared" si="4"/>
        <v>3.95</v>
      </c>
    </row>
    <row r="137" spans="1:13" x14ac:dyDescent="0.3">
      <c r="A137" s="107" t="s">
        <v>894</v>
      </c>
      <c r="B137" s="107" t="s">
        <v>15</v>
      </c>
      <c r="C137" s="107" t="s">
        <v>8</v>
      </c>
      <c r="D137" s="106" t="s">
        <v>112</v>
      </c>
      <c r="E137" s="103">
        <v>2</v>
      </c>
      <c r="F137" s="103" t="s">
        <v>113</v>
      </c>
      <c r="G137" s="103" t="s">
        <v>114</v>
      </c>
      <c r="H137" s="106" t="s">
        <v>115</v>
      </c>
      <c r="I137" s="103">
        <v>1</v>
      </c>
      <c r="J137" s="103">
        <v>24.95</v>
      </c>
      <c r="K137" s="106" t="s">
        <v>1910</v>
      </c>
      <c r="M137" s="105">
        <f t="shared" si="4"/>
        <v>49.9</v>
      </c>
    </row>
    <row r="138" spans="1:13" x14ac:dyDescent="0.3">
      <c r="A138" s="106" t="s">
        <v>894</v>
      </c>
      <c r="B138" s="106" t="s">
        <v>15</v>
      </c>
      <c r="C138" s="106" t="s">
        <v>1898</v>
      </c>
      <c r="D138" s="106" t="s">
        <v>2340</v>
      </c>
      <c r="E138" s="103">
        <v>1</v>
      </c>
      <c r="F138" s="103"/>
      <c r="G138" s="103"/>
      <c r="H138" s="107" t="s">
        <v>2341</v>
      </c>
      <c r="J138" s="102">
        <v>4.95</v>
      </c>
      <c r="K138" s="107" t="s">
        <v>1910</v>
      </c>
      <c r="M138" s="105">
        <f t="shared" si="4"/>
        <v>4.95</v>
      </c>
    </row>
    <row r="139" spans="1:13" x14ac:dyDescent="0.3">
      <c r="A139" s="107" t="s">
        <v>894</v>
      </c>
      <c r="B139" s="107" t="s">
        <v>2031</v>
      </c>
      <c r="C139" s="107" t="s">
        <v>8</v>
      </c>
      <c r="D139" s="106" t="s">
        <v>116</v>
      </c>
      <c r="E139" s="103">
        <v>5</v>
      </c>
      <c r="F139" s="103" t="s">
        <v>117</v>
      </c>
      <c r="G139" s="103" t="s">
        <v>118</v>
      </c>
      <c r="H139" s="106" t="s">
        <v>119</v>
      </c>
      <c r="I139" s="103">
        <v>1</v>
      </c>
      <c r="J139" s="103">
        <v>12.95</v>
      </c>
      <c r="K139" s="106" t="s">
        <v>1911</v>
      </c>
      <c r="M139" s="105">
        <f t="shared" si="4"/>
        <v>64.75</v>
      </c>
    </row>
    <row r="140" spans="1:13" x14ac:dyDescent="0.3">
      <c r="A140" s="107" t="s">
        <v>894</v>
      </c>
      <c r="B140" s="107" t="s">
        <v>2031</v>
      </c>
      <c r="C140" s="107" t="s">
        <v>8</v>
      </c>
      <c r="D140" s="106" t="s">
        <v>1181</v>
      </c>
      <c r="E140" s="103">
        <v>1</v>
      </c>
      <c r="F140" s="103" t="s">
        <v>1182</v>
      </c>
      <c r="G140" s="103" t="s">
        <v>1183</v>
      </c>
      <c r="H140" s="106" t="s">
        <v>1184</v>
      </c>
      <c r="I140" s="103">
        <v>1</v>
      </c>
      <c r="J140" s="103">
        <v>19.95</v>
      </c>
      <c r="K140" s="106" t="s">
        <v>1910</v>
      </c>
      <c r="M140" s="105">
        <f t="shared" si="4"/>
        <v>19.95</v>
      </c>
    </row>
    <row r="141" spans="1:13" x14ac:dyDescent="0.3">
      <c r="A141" s="107" t="s">
        <v>894</v>
      </c>
      <c r="B141" s="107" t="s">
        <v>2031</v>
      </c>
      <c r="C141" s="107" t="s">
        <v>8</v>
      </c>
      <c r="D141" s="106" t="s">
        <v>1523</v>
      </c>
      <c r="E141" s="103">
        <v>0</v>
      </c>
      <c r="F141" s="103" t="s">
        <v>1524</v>
      </c>
      <c r="G141" s="103" t="s">
        <v>1525</v>
      </c>
      <c r="H141" s="106" t="s">
        <v>1526</v>
      </c>
      <c r="I141" s="103">
        <v>1</v>
      </c>
      <c r="J141" s="103">
        <v>29.95</v>
      </c>
      <c r="K141" s="106" t="s">
        <v>1910</v>
      </c>
      <c r="M141" s="105">
        <f t="shared" si="4"/>
        <v>0</v>
      </c>
    </row>
    <row r="142" spans="1:13" x14ac:dyDescent="0.3">
      <c r="A142" s="106" t="s">
        <v>894</v>
      </c>
      <c r="B142" s="106" t="s">
        <v>2031</v>
      </c>
      <c r="C142" s="106" t="s">
        <v>1898</v>
      </c>
      <c r="D142" s="106" t="s">
        <v>2075</v>
      </c>
      <c r="E142" s="103">
        <v>0</v>
      </c>
      <c r="F142" s="103"/>
      <c r="G142" s="103"/>
      <c r="H142" s="107" t="s">
        <v>2074</v>
      </c>
      <c r="J142" s="102">
        <v>17.95</v>
      </c>
      <c r="K142" s="107" t="s">
        <v>1910</v>
      </c>
      <c r="M142" s="105">
        <f t="shared" si="4"/>
        <v>0</v>
      </c>
    </row>
    <row r="143" spans="1:13" x14ac:dyDescent="0.3">
      <c r="A143" s="106" t="s">
        <v>894</v>
      </c>
      <c r="B143" s="106" t="s">
        <v>2031</v>
      </c>
      <c r="C143" s="106" t="s">
        <v>1898</v>
      </c>
      <c r="D143" s="106" t="s">
        <v>2342</v>
      </c>
      <c r="E143" s="103">
        <v>0</v>
      </c>
      <c r="F143" s="103"/>
      <c r="G143" s="103"/>
      <c r="H143" s="107" t="s">
        <v>2343</v>
      </c>
      <c r="J143" s="102">
        <v>7.5</v>
      </c>
      <c r="K143" s="107" t="s">
        <v>1910</v>
      </c>
      <c r="M143" s="105">
        <f t="shared" si="4"/>
        <v>0</v>
      </c>
    </row>
    <row r="144" spans="1:13" x14ac:dyDescent="0.3">
      <c r="A144" s="106" t="s">
        <v>894</v>
      </c>
      <c r="B144" s="106" t="s">
        <v>2029</v>
      </c>
      <c r="C144" s="106" t="s">
        <v>1898</v>
      </c>
      <c r="D144" s="106" t="s">
        <v>2372</v>
      </c>
      <c r="E144" s="103">
        <v>5</v>
      </c>
      <c r="F144" s="103"/>
      <c r="G144" s="103"/>
      <c r="H144" s="107" t="s">
        <v>2373</v>
      </c>
      <c r="J144" s="102">
        <v>2.95</v>
      </c>
      <c r="K144" s="107" t="s">
        <v>1910</v>
      </c>
      <c r="M144" s="105">
        <f t="shared" si="4"/>
        <v>14.75</v>
      </c>
    </row>
    <row r="145" spans="1:13" x14ac:dyDescent="0.3">
      <c r="A145" s="106" t="s">
        <v>894</v>
      </c>
      <c r="B145" s="106" t="s">
        <v>2029</v>
      </c>
      <c r="C145" s="106" t="s">
        <v>1898</v>
      </c>
      <c r="D145" s="106" t="s">
        <v>2374</v>
      </c>
      <c r="E145" s="103">
        <v>1</v>
      </c>
      <c r="F145" s="103"/>
      <c r="G145" s="103"/>
      <c r="H145" s="107" t="s">
        <v>2375</v>
      </c>
      <c r="J145" s="102">
        <v>3.95</v>
      </c>
      <c r="K145" s="107" t="s">
        <v>1910</v>
      </c>
      <c r="M145" s="105">
        <f t="shared" si="4"/>
        <v>3.95</v>
      </c>
    </row>
    <row r="146" spans="1:13" x14ac:dyDescent="0.3">
      <c r="A146" s="107" t="s">
        <v>894</v>
      </c>
      <c r="B146" s="107" t="s">
        <v>898</v>
      </c>
      <c r="C146" s="107" t="s">
        <v>8</v>
      </c>
      <c r="D146" s="106" t="s">
        <v>683</v>
      </c>
      <c r="E146" s="103">
        <v>1</v>
      </c>
      <c r="F146" s="103" t="s">
        <v>684</v>
      </c>
      <c r="G146" s="103" t="s">
        <v>685</v>
      </c>
      <c r="H146" s="106" t="s">
        <v>686</v>
      </c>
      <c r="I146" s="103">
        <v>1</v>
      </c>
      <c r="J146" s="103">
        <v>34.950000000000003</v>
      </c>
      <c r="K146" s="106" t="s">
        <v>1910</v>
      </c>
      <c r="M146" s="105">
        <f t="shared" si="4"/>
        <v>34.950000000000003</v>
      </c>
    </row>
    <row r="147" spans="1:13" x14ac:dyDescent="0.3">
      <c r="A147" s="107" t="s">
        <v>894</v>
      </c>
      <c r="B147" s="107" t="s">
        <v>898</v>
      </c>
      <c r="C147" s="107" t="s">
        <v>8</v>
      </c>
      <c r="D147" s="106" t="s">
        <v>687</v>
      </c>
      <c r="E147" s="103">
        <v>1</v>
      </c>
      <c r="F147" s="103" t="s">
        <v>688</v>
      </c>
      <c r="G147" s="103" t="s">
        <v>689</v>
      </c>
      <c r="H147" s="106" t="s">
        <v>690</v>
      </c>
      <c r="I147" s="103"/>
      <c r="J147" s="103">
        <v>12.95</v>
      </c>
      <c r="K147" s="106" t="s">
        <v>1910</v>
      </c>
      <c r="M147" s="105">
        <f t="shared" si="4"/>
        <v>12.95</v>
      </c>
    </row>
    <row r="148" spans="1:13" x14ac:dyDescent="0.3">
      <c r="A148" s="107" t="s">
        <v>894</v>
      </c>
      <c r="B148" s="107" t="s">
        <v>898</v>
      </c>
      <c r="C148" s="107" t="s">
        <v>8</v>
      </c>
      <c r="D148" s="106" t="s">
        <v>691</v>
      </c>
      <c r="E148" s="103">
        <v>1</v>
      </c>
      <c r="F148" s="103" t="s">
        <v>692</v>
      </c>
      <c r="G148" s="103" t="s">
        <v>693</v>
      </c>
      <c r="H148" s="106" t="s">
        <v>694</v>
      </c>
      <c r="I148" s="103">
        <v>1</v>
      </c>
      <c r="J148" s="103">
        <v>0.95</v>
      </c>
      <c r="K148" s="106" t="s">
        <v>1910</v>
      </c>
      <c r="M148" s="105">
        <f t="shared" si="4"/>
        <v>0.95</v>
      </c>
    </row>
    <row r="149" spans="1:13" x14ac:dyDescent="0.3">
      <c r="A149" s="107" t="s">
        <v>894</v>
      </c>
      <c r="B149" s="107" t="s">
        <v>898</v>
      </c>
      <c r="C149" s="107" t="s">
        <v>8</v>
      </c>
      <c r="D149" s="106" t="s">
        <v>695</v>
      </c>
      <c r="E149" s="103">
        <v>1</v>
      </c>
      <c r="F149" s="103" t="s">
        <v>696</v>
      </c>
      <c r="G149" s="103" t="s">
        <v>697</v>
      </c>
      <c r="H149" s="106" t="s">
        <v>698</v>
      </c>
      <c r="I149" s="103">
        <v>1</v>
      </c>
      <c r="J149" s="103">
        <v>7.25</v>
      </c>
      <c r="K149" s="106" t="s">
        <v>1910</v>
      </c>
      <c r="M149" s="105">
        <f t="shared" si="4"/>
        <v>7.25</v>
      </c>
    </row>
    <row r="150" spans="1:13" x14ac:dyDescent="0.3">
      <c r="A150" s="107" t="s">
        <v>894</v>
      </c>
      <c r="B150" s="107" t="s">
        <v>898</v>
      </c>
      <c r="C150" s="107" t="s">
        <v>8</v>
      </c>
      <c r="D150" s="106" t="s">
        <v>827</v>
      </c>
      <c r="E150" s="103">
        <v>0</v>
      </c>
      <c r="F150" s="103" t="s">
        <v>828</v>
      </c>
      <c r="G150" s="103" t="s">
        <v>829</v>
      </c>
      <c r="H150" s="106" t="s">
        <v>212</v>
      </c>
      <c r="I150" s="103">
        <v>1</v>
      </c>
      <c r="J150" s="103">
        <v>5.95</v>
      </c>
      <c r="K150" s="106" t="s">
        <v>2487</v>
      </c>
      <c r="M150" s="105">
        <f t="shared" si="4"/>
        <v>0</v>
      </c>
    </row>
    <row r="151" spans="1:13" x14ac:dyDescent="0.3">
      <c r="A151" s="107" t="s">
        <v>894</v>
      </c>
      <c r="B151" s="107" t="s">
        <v>898</v>
      </c>
      <c r="C151" s="107" t="s">
        <v>8</v>
      </c>
      <c r="D151" s="106" t="s">
        <v>830</v>
      </c>
      <c r="E151" s="103">
        <v>2</v>
      </c>
      <c r="F151" s="103" t="s">
        <v>831</v>
      </c>
      <c r="G151" s="103" t="s">
        <v>832</v>
      </c>
      <c r="H151" s="106" t="s">
        <v>220</v>
      </c>
      <c r="I151" s="103">
        <v>1</v>
      </c>
      <c r="J151" s="103">
        <v>3.95</v>
      </c>
      <c r="K151" s="106" t="s">
        <v>1910</v>
      </c>
      <c r="M151" s="105">
        <f t="shared" si="4"/>
        <v>7.9</v>
      </c>
    </row>
    <row r="152" spans="1:13" x14ac:dyDescent="0.3">
      <c r="A152" s="107" t="s">
        <v>894</v>
      </c>
      <c r="B152" s="107" t="s">
        <v>13</v>
      </c>
      <c r="C152" s="107" t="s">
        <v>8</v>
      </c>
      <c r="D152" s="106" t="s">
        <v>256</v>
      </c>
      <c r="E152" s="103">
        <v>3</v>
      </c>
      <c r="F152" s="103" t="s">
        <v>257</v>
      </c>
      <c r="G152" s="103" t="s">
        <v>258</v>
      </c>
      <c r="H152" s="106" t="s">
        <v>259</v>
      </c>
      <c r="I152" s="103">
        <v>1</v>
      </c>
      <c r="J152" s="103">
        <v>14.95</v>
      </c>
      <c r="K152" s="106" t="s">
        <v>1910</v>
      </c>
      <c r="M152" s="105">
        <f t="shared" si="4"/>
        <v>44.849999999999994</v>
      </c>
    </row>
    <row r="153" spans="1:13" x14ac:dyDescent="0.3">
      <c r="A153" s="107" t="s">
        <v>894</v>
      </c>
      <c r="B153" s="107" t="s">
        <v>13</v>
      </c>
      <c r="C153" s="107" t="s">
        <v>8</v>
      </c>
      <c r="D153" s="106" t="s">
        <v>260</v>
      </c>
      <c r="E153" s="103">
        <v>5</v>
      </c>
      <c r="F153" s="103" t="s">
        <v>261</v>
      </c>
      <c r="G153" s="103" t="s">
        <v>262</v>
      </c>
      <c r="H153" s="106" t="s">
        <v>263</v>
      </c>
      <c r="I153" s="103">
        <v>1</v>
      </c>
      <c r="J153" s="103">
        <v>6.95</v>
      </c>
      <c r="K153" s="106" t="s">
        <v>1911</v>
      </c>
      <c r="M153" s="105">
        <f t="shared" si="4"/>
        <v>34.75</v>
      </c>
    </row>
    <row r="154" spans="1:13" x14ac:dyDescent="0.3">
      <c r="A154" s="107">
        <f>COUNTA(A2:A153)</f>
        <v>152</v>
      </c>
      <c r="E154" s="103"/>
      <c r="J154" s="103"/>
    </row>
    <row r="161" spans="4:11" x14ac:dyDescent="0.3">
      <c r="D161" s="106"/>
      <c r="E161" s="103"/>
      <c r="F161" s="103"/>
      <c r="G161" s="103"/>
      <c r="H161" s="106"/>
      <c r="I161" s="103"/>
      <c r="J161" s="103"/>
      <c r="K161" s="106"/>
    </row>
    <row r="162" spans="4:11" x14ac:dyDescent="0.3">
      <c r="D162" s="106"/>
      <c r="E162" s="103"/>
      <c r="F162" s="103"/>
      <c r="G162" s="103"/>
      <c r="H162" s="106"/>
      <c r="I162" s="103"/>
      <c r="J162" s="103"/>
      <c r="K162" s="106"/>
    </row>
    <row r="163" spans="4:11" x14ac:dyDescent="0.3">
      <c r="D163" s="106"/>
      <c r="E163" s="103"/>
      <c r="F163" s="103"/>
      <c r="G163" s="103"/>
      <c r="H163" s="106"/>
      <c r="I163" s="103"/>
      <c r="J163" s="103"/>
      <c r="K163" s="106"/>
    </row>
  </sheetData>
  <sortState ref="B2:J153">
    <sortCondition ref="B2:B153"/>
  </sortState>
  <conditionalFormatting sqref="A1:M1048576">
    <cfRule type="expression" dxfId="222" priority="34">
      <formula>AND(($E1=0),NOT(ISBLANK($E1)))</formula>
    </cfRule>
  </conditionalFormatting>
  <pageMargins left="0.7" right="0.7" top="0.75" bottom="0.75" header="0.3" footer="0.3"/>
  <pageSetup orientation="portrait" horizontalDpi="4294967294" verticalDpi="0" r:id="rId1"/>
  <extLst>
    <ext xmlns:x14="http://schemas.microsoft.com/office/spreadsheetml/2009/9/main" uri="{78C0D931-6437-407d-A8EE-F0AAD7539E65}">
      <x14:conditionalFormattings>
        <x14:conditionalFormatting xmlns:xm="http://schemas.microsoft.com/office/excel/2006/main">
          <x14:cfRule type="expression" priority="1" id="{816F1C01-4C75-4E26-AAF0-72C3C6D9B244}">
            <xm:f>$K1=FilterSpecs!$F$13</xm:f>
            <x14:dxf>
              <font>
                <b/>
                <i val="0"/>
                <color theme="0"/>
              </font>
              <fill>
                <patternFill>
                  <bgColor theme="9" tint="-0.499984740745262"/>
                </patternFill>
              </fill>
            </x14:dxf>
          </x14:cfRule>
          <x14:cfRule type="expression" priority="2" id="{9EEFC03A-4C31-43B3-ABB8-5F391368CA37}">
            <xm:f>$K1=FilterSpecs!$F$12</xm:f>
            <x14:dxf>
              <font>
                <b/>
                <i val="0"/>
                <color theme="0"/>
              </font>
              <fill>
                <patternFill>
                  <bgColor rgb="FFFF4F4F"/>
                </patternFill>
              </fill>
            </x14:dxf>
          </x14:cfRule>
          <x14:cfRule type="expression" priority="32" id="{46536EC7-231A-4803-8D4F-C2D77D372B83}">
            <xm:f>$K1=FilterSpecs!$F$9</xm:f>
            <x14:dxf>
              <font>
                <b/>
                <i val="0"/>
                <color theme="0"/>
              </font>
              <fill>
                <patternFill>
                  <bgColor rgb="FFFF0000"/>
                </patternFill>
              </fill>
            </x14:dxf>
          </x14:cfRule>
          <x14:cfRule type="expression" priority="35" id="{85EDBEE4-1DD5-4BA8-8909-07998BBB8991}">
            <xm:f>$K1=FilterSpecs!$F$10</xm:f>
            <x14:dxf>
              <font>
                <b/>
                <i val="0"/>
                <color theme="0"/>
              </font>
              <fill>
                <patternFill>
                  <bgColor rgb="FF002060"/>
                </patternFill>
              </fill>
            </x14:dxf>
          </x14:cfRule>
          <x14:cfRule type="expression" priority="36" id="{08FAB9F8-F255-4700-9089-4CCD353E884C}">
            <xm:f>$K1=FilterSpecs!$F$8</xm:f>
            <x14:dxf>
              <font>
                <b/>
                <i val="0"/>
                <color theme="0"/>
              </font>
              <fill>
                <patternFill>
                  <bgColor rgb="FFFFC000"/>
                </patternFill>
              </fill>
            </x14:dxf>
          </x14:cfRule>
          <x14:cfRule type="expression" priority="37" id="{E1AA9FF3-626E-48B6-93FC-2F7C8E10DB01}">
            <xm:f>$K1=FilterSpecs!$F$7</xm:f>
            <x14:dxf>
              <font>
                <b/>
                <i val="0"/>
                <color theme="0"/>
              </font>
              <fill>
                <patternFill>
                  <bgColor rgb="FF00B0F0"/>
                </patternFill>
              </fill>
            </x14:dxf>
          </x14:cfRule>
          <xm:sqref>A1:M1048576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80912-1BFB-4396-8CDF-86D33D1CC854}">
  <sheetPr codeName="Sheet8"/>
  <dimension ref="A1:XFD161"/>
  <sheetViews>
    <sheetView topLeftCell="B1" workbookViewId="0">
      <selection activeCell="B5" sqref="A5:XFD7"/>
    </sheetView>
  </sheetViews>
  <sheetFormatPr defaultRowHeight="14.4" x14ac:dyDescent="0.3"/>
  <cols>
    <col min="1" max="1" width="44.33203125" style="102" customWidth="1"/>
    <col min="2" max="2" width="39" style="102" bestFit="1" customWidth="1"/>
    <col min="3" max="3" width="10.21875" style="102" bestFit="1" customWidth="1"/>
    <col min="4" max="4" width="10.77734375" style="102" bestFit="1" customWidth="1"/>
    <col min="5" max="5" width="8.33203125" style="102" customWidth="1"/>
    <col min="6" max="6" width="2.33203125" style="105" hidden="1" customWidth="1"/>
    <col min="7" max="7" width="0.77734375" style="105" hidden="1" customWidth="1"/>
    <col min="8" max="8" width="58.6640625" style="102" customWidth="1"/>
    <col min="9" max="9" width="8.88671875" style="105" hidden="1" customWidth="1"/>
    <col min="10" max="10" width="8.88671875" style="140"/>
    <col min="11" max="11" width="8.88671875" style="107"/>
    <col min="12" max="12" width="67.77734375" style="105" customWidth="1"/>
    <col min="13" max="16384" width="8.88671875" style="105"/>
  </cols>
  <sheetData>
    <row r="1" spans="1:16384" s="77" customFormat="1" ht="15.6" thickTop="1" thickBot="1" x14ac:dyDescent="0.35">
      <c r="A1" s="88" t="s">
        <v>893</v>
      </c>
      <c r="B1" s="88" t="s">
        <v>163</v>
      </c>
      <c r="C1" s="88" t="s">
        <v>7</v>
      </c>
      <c r="D1" s="88" t="s">
        <v>25</v>
      </c>
      <c r="E1" s="88" t="s">
        <v>26</v>
      </c>
      <c r="F1" s="77" t="s">
        <v>27</v>
      </c>
      <c r="G1" s="77" t="s">
        <v>28</v>
      </c>
      <c r="H1" s="88" t="s">
        <v>29</v>
      </c>
      <c r="I1" s="77" t="s">
        <v>30</v>
      </c>
      <c r="J1" s="138" t="s">
        <v>31</v>
      </c>
      <c r="K1" s="84"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2" t="s">
        <v>895</v>
      </c>
      <c r="B2" s="102" t="s">
        <v>1606</v>
      </c>
      <c r="C2" s="102" t="s">
        <v>8</v>
      </c>
      <c r="D2" s="103" t="s">
        <v>1547</v>
      </c>
      <c r="E2" s="103">
        <v>1</v>
      </c>
      <c r="F2" s="103" t="s">
        <v>1548</v>
      </c>
      <c r="G2" s="103" t="s">
        <v>1549</v>
      </c>
      <c r="H2" s="103" t="s">
        <v>1550</v>
      </c>
      <c r="I2" s="103">
        <v>1</v>
      </c>
      <c r="J2" s="139">
        <v>9.9499999999999993</v>
      </c>
      <c r="K2" s="106" t="s">
        <v>1913</v>
      </c>
      <c r="M2" s="105">
        <f t="shared" ref="M2:M7" si="0">E2*J2</f>
        <v>9.9499999999999993</v>
      </c>
    </row>
    <row r="3" spans="1:16384" x14ac:dyDescent="0.3">
      <c r="A3" s="102" t="s">
        <v>895</v>
      </c>
      <c r="B3" s="102" t="s">
        <v>1606</v>
      </c>
      <c r="C3" s="102" t="s">
        <v>8</v>
      </c>
      <c r="D3" s="103" t="s">
        <v>1543</v>
      </c>
      <c r="E3" s="103">
        <v>1</v>
      </c>
      <c r="F3" s="103" t="s">
        <v>1544</v>
      </c>
      <c r="G3" s="103" t="s">
        <v>1545</v>
      </c>
      <c r="H3" s="103" t="s">
        <v>1546</v>
      </c>
      <c r="I3" s="103">
        <v>1</v>
      </c>
      <c r="J3" s="139">
        <v>1.95</v>
      </c>
      <c r="K3" s="106" t="s">
        <v>1910</v>
      </c>
      <c r="M3" s="105">
        <f t="shared" si="0"/>
        <v>1.95</v>
      </c>
    </row>
    <row r="4" spans="1:16384" x14ac:dyDescent="0.3">
      <c r="A4" s="102" t="s">
        <v>895</v>
      </c>
      <c r="B4" s="102" t="s">
        <v>16</v>
      </c>
      <c r="C4" s="102" t="s">
        <v>8</v>
      </c>
      <c r="D4" s="103" t="s">
        <v>264</v>
      </c>
      <c r="E4" s="103">
        <v>10</v>
      </c>
      <c r="F4" s="103" t="s">
        <v>265</v>
      </c>
      <c r="G4" s="103" t="s">
        <v>266</v>
      </c>
      <c r="H4" s="103" t="s">
        <v>267</v>
      </c>
      <c r="I4" s="103">
        <v>1</v>
      </c>
      <c r="J4" s="139">
        <v>2.8</v>
      </c>
      <c r="K4" s="106" t="s">
        <v>1911</v>
      </c>
      <c r="M4" s="105">
        <f t="shared" si="0"/>
        <v>28</v>
      </c>
    </row>
    <row r="5" spans="1:16384" x14ac:dyDescent="0.3">
      <c r="A5" s="102" t="s">
        <v>895</v>
      </c>
      <c r="B5" s="102" t="s">
        <v>16</v>
      </c>
      <c r="C5" s="102" t="s">
        <v>8</v>
      </c>
      <c r="D5" s="103" t="s">
        <v>293</v>
      </c>
      <c r="E5" s="103">
        <v>2</v>
      </c>
      <c r="F5" s="103" t="s">
        <v>294</v>
      </c>
      <c r="G5" s="103" t="s">
        <v>295</v>
      </c>
      <c r="H5" s="103" t="s">
        <v>296</v>
      </c>
      <c r="I5" s="103">
        <v>1</v>
      </c>
      <c r="J5" s="139">
        <v>6.95</v>
      </c>
      <c r="K5" s="106" t="s">
        <v>1910</v>
      </c>
      <c r="M5" s="105">
        <f t="shared" si="0"/>
        <v>13.9</v>
      </c>
    </row>
    <row r="6" spans="1:16384" x14ac:dyDescent="0.3">
      <c r="A6" s="102" t="s">
        <v>895</v>
      </c>
      <c r="B6" s="102" t="s">
        <v>16</v>
      </c>
      <c r="C6" s="102" t="s">
        <v>8</v>
      </c>
      <c r="D6" s="103" t="s">
        <v>297</v>
      </c>
      <c r="E6" s="103">
        <v>3</v>
      </c>
      <c r="F6" s="103" t="s">
        <v>298</v>
      </c>
      <c r="G6" s="103" t="s">
        <v>299</v>
      </c>
      <c r="H6" s="103" t="s">
        <v>216</v>
      </c>
      <c r="I6" s="103">
        <v>1</v>
      </c>
      <c r="J6" s="139">
        <v>3.95</v>
      </c>
      <c r="K6" s="106" t="s">
        <v>1910</v>
      </c>
      <c r="M6" s="105">
        <f t="shared" si="0"/>
        <v>11.850000000000001</v>
      </c>
    </row>
    <row r="7" spans="1:16384" x14ac:dyDescent="0.3">
      <c r="A7" s="102" t="s">
        <v>895</v>
      </c>
      <c r="B7" s="102" t="s">
        <v>16</v>
      </c>
      <c r="C7" s="102" t="s">
        <v>8</v>
      </c>
      <c r="D7" s="103" t="s">
        <v>344</v>
      </c>
      <c r="E7" s="103">
        <v>5</v>
      </c>
      <c r="F7" s="103" t="s">
        <v>345</v>
      </c>
      <c r="G7" s="103" t="s">
        <v>346</v>
      </c>
      <c r="H7" s="103" t="s">
        <v>213</v>
      </c>
      <c r="I7" s="103">
        <v>1</v>
      </c>
      <c r="J7" s="139">
        <v>4.95</v>
      </c>
      <c r="K7" s="106" t="s">
        <v>1911</v>
      </c>
      <c r="L7" s="105" t="s">
        <v>2530</v>
      </c>
      <c r="M7" s="105">
        <f t="shared" si="0"/>
        <v>24.75</v>
      </c>
    </row>
    <row r="8" spans="1:16384" x14ac:dyDescent="0.3">
      <c r="A8" s="103" t="s">
        <v>897</v>
      </c>
      <c r="B8" s="102" t="s">
        <v>1617</v>
      </c>
      <c r="C8" s="103" t="s">
        <v>1898</v>
      </c>
      <c r="D8" s="103" t="s">
        <v>2155</v>
      </c>
      <c r="E8" s="103">
        <v>0</v>
      </c>
      <c r="F8" s="103"/>
      <c r="G8" s="103"/>
      <c r="H8" s="102" t="s">
        <v>2156</v>
      </c>
      <c r="J8" s="140">
        <v>4.95</v>
      </c>
      <c r="K8" s="107" t="s">
        <v>1910</v>
      </c>
    </row>
    <row r="9" spans="1:16384" x14ac:dyDescent="0.3">
      <c r="A9" s="103" t="s">
        <v>895</v>
      </c>
      <c r="B9" s="102" t="s">
        <v>16</v>
      </c>
      <c r="C9" s="103" t="s">
        <v>1898</v>
      </c>
      <c r="D9" s="103" t="s">
        <v>2360</v>
      </c>
      <c r="E9" s="103">
        <v>0</v>
      </c>
      <c r="F9" s="103"/>
      <c r="G9" s="103"/>
      <c r="H9" s="102" t="s">
        <v>2361</v>
      </c>
      <c r="J9" s="140">
        <v>14.95</v>
      </c>
      <c r="K9" s="107" t="s">
        <v>1910</v>
      </c>
    </row>
    <row r="10" spans="1:16384" x14ac:dyDescent="0.3">
      <c r="A10" s="103" t="s">
        <v>895</v>
      </c>
      <c r="B10" s="102" t="s">
        <v>16</v>
      </c>
      <c r="C10" s="103" t="s">
        <v>1898</v>
      </c>
      <c r="D10" s="103" t="s">
        <v>2362</v>
      </c>
      <c r="E10" s="103">
        <v>0</v>
      </c>
      <c r="F10" s="103"/>
      <c r="G10" s="103"/>
      <c r="H10" s="102" t="s">
        <v>2363</v>
      </c>
      <c r="J10" s="140">
        <v>3.75</v>
      </c>
      <c r="K10" s="107" t="s">
        <v>1910</v>
      </c>
    </row>
    <row r="11" spans="1:16384" x14ac:dyDescent="0.3">
      <c r="A11" s="102" t="s">
        <v>895</v>
      </c>
      <c r="B11" s="102" t="s">
        <v>899</v>
      </c>
      <c r="C11" s="102" t="s">
        <v>8</v>
      </c>
      <c r="D11" s="103" t="s">
        <v>236</v>
      </c>
      <c r="E11" s="103">
        <v>15</v>
      </c>
      <c r="F11" s="103" t="s">
        <v>237</v>
      </c>
      <c r="G11" s="103" t="s">
        <v>238</v>
      </c>
      <c r="H11" s="103" t="s">
        <v>239</v>
      </c>
      <c r="I11" s="103"/>
      <c r="J11" s="139">
        <v>1.5</v>
      </c>
      <c r="K11" s="106" t="s">
        <v>1911</v>
      </c>
      <c r="L11" s="103"/>
      <c r="M11" s="103">
        <v>22.5</v>
      </c>
    </row>
    <row r="12" spans="1:16384" x14ac:dyDescent="0.3">
      <c r="A12" s="102" t="s">
        <v>895</v>
      </c>
      <c r="B12" s="102" t="s">
        <v>899</v>
      </c>
      <c r="C12" s="102" t="s">
        <v>8</v>
      </c>
      <c r="D12" s="103" t="s">
        <v>240</v>
      </c>
      <c r="E12" s="103">
        <v>1</v>
      </c>
      <c r="F12" s="103" t="s">
        <v>241</v>
      </c>
      <c r="G12" s="103" t="s">
        <v>242</v>
      </c>
      <c r="H12" s="103" t="s">
        <v>243</v>
      </c>
      <c r="I12" s="103">
        <v>1</v>
      </c>
      <c r="J12" s="139">
        <v>14.95</v>
      </c>
      <c r="K12" s="106" t="s">
        <v>1912</v>
      </c>
      <c r="M12" s="105">
        <v>14.95</v>
      </c>
    </row>
    <row r="13" spans="1:16384" x14ac:dyDescent="0.3">
      <c r="A13" s="102" t="s">
        <v>895</v>
      </c>
      <c r="B13" s="102" t="s">
        <v>899</v>
      </c>
      <c r="C13" s="102" t="s">
        <v>8</v>
      </c>
      <c r="D13" s="103" t="s">
        <v>363</v>
      </c>
      <c r="E13" s="103">
        <v>0</v>
      </c>
      <c r="F13" s="103" t="s">
        <v>364</v>
      </c>
      <c r="G13" s="103" t="s">
        <v>365</v>
      </c>
      <c r="H13" s="103" t="s">
        <v>366</v>
      </c>
      <c r="I13" s="103">
        <v>1</v>
      </c>
      <c r="J13" s="139">
        <v>2.95</v>
      </c>
      <c r="K13" s="106" t="s">
        <v>2487</v>
      </c>
      <c r="L13" s="103"/>
      <c r="M13" s="103">
        <v>0</v>
      </c>
    </row>
    <row r="14" spans="1:16384" x14ac:dyDescent="0.3">
      <c r="A14" s="102" t="s">
        <v>895</v>
      </c>
      <c r="B14" s="102" t="s">
        <v>899</v>
      </c>
      <c r="C14" s="102" t="s">
        <v>8</v>
      </c>
      <c r="D14" s="103" t="s">
        <v>1185</v>
      </c>
      <c r="E14" s="103">
        <v>0</v>
      </c>
      <c r="F14" s="103" t="s">
        <v>1186</v>
      </c>
      <c r="G14" s="103" t="s">
        <v>1187</v>
      </c>
      <c r="H14" s="103" t="s">
        <v>1188</v>
      </c>
      <c r="I14" s="103">
        <v>1</v>
      </c>
      <c r="J14" s="139">
        <v>9.9499999999999993</v>
      </c>
      <c r="K14" s="106" t="s">
        <v>2487</v>
      </c>
      <c r="L14" s="103"/>
      <c r="M14" s="103">
        <v>0</v>
      </c>
    </row>
    <row r="15" spans="1:16384" x14ac:dyDescent="0.3">
      <c r="A15" s="102" t="s">
        <v>895</v>
      </c>
      <c r="B15" s="102" t="s">
        <v>899</v>
      </c>
      <c r="C15" s="102" t="s">
        <v>8</v>
      </c>
      <c r="D15" s="103" t="s">
        <v>1189</v>
      </c>
      <c r="E15" s="103">
        <v>1</v>
      </c>
      <c r="F15" s="103" t="s">
        <v>1190</v>
      </c>
      <c r="G15" s="103" t="s">
        <v>1191</v>
      </c>
      <c r="H15" s="103" t="s">
        <v>1192</v>
      </c>
      <c r="I15" s="103">
        <v>1</v>
      </c>
      <c r="J15" s="139">
        <v>14.95</v>
      </c>
      <c r="K15" s="106" t="s">
        <v>1912</v>
      </c>
      <c r="M15" s="105">
        <v>14.95</v>
      </c>
    </row>
    <row r="16" spans="1:16384" x14ac:dyDescent="0.3">
      <c r="A16" s="102" t="s">
        <v>895</v>
      </c>
      <c r="B16" s="102" t="s">
        <v>899</v>
      </c>
      <c r="C16" s="102" t="s">
        <v>8</v>
      </c>
      <c r="D16" s="103" t="s">
        <v>1827</v>
      </c>
      <c r="E16" s="103">
        <v>0</v>
      </c>
      <c r="F16" s="103" t="s">
        <v>1828</v>
      </c>
      <c r="G16" s="103" t="s">
        <v>1829</v>
      </c>
      <c r="H16" s="103" t="s">
        <v>1830</v>
      </c>
      <c r="I16" s="103">
        <v>1</v>
      </c>
      <c r="J16" s="139">
        <v>39.950000000000003</v>
      </c>
      <c r="K16" s="106" t="s">
        <v>2487</v>
      </c>
    </row>
    <row r="17" spans="1:13" x14ac:dyDescent="0.3">
      <c r="A17" s="102" t="s">
        <v>895</v>
      </c>
      <c r="B17" s="102" t="s">
        <v>899</v>
      </c>
      <c r="C17" s="102" t="s">
        <v>8</v>
      </c>
      <c r="D17" s="103" t="s">
        <v>1787</v>
      </c>
      <c r="E17" s="103">
        <v>0</v>
      </c>
      <c r="F17" s="103" t="s">
        <v>1788</v>
      </c>
      <c r="G17" s="103" t="s">
        <v>1789</v>
      </c>
      <c r="H17" s="103" t="s">
        <v>1790</v>
      </c>
      <c r="I17" s="103">
        <v>1</v>
      </c>
      <c r="J17" s="139">
        <v>14.95</v>
      </c>
      <c r="K17" s="106" t="s">
        <v>2487</v>
      </c>
    </row>
    <row r="18" spans="1:13" x14ac:dyDescent="0.3">
      <c r="A18" s="102" t="s">
        <v>895</v>
      </c>
      <c r="B18" s="102" t="s">
        <v>899</v>
      </c>
      <c r="C18" s="102" t="s">
        <v>8</v>
      </c>
      <c r="D18" s="103" t="s">
        <v>272</v>
      </c>
      <c r="E18" s="103">
        <v>10</v>
      </c>
      <c r="F18" s="103" t="s">
        <v>273</v>
      </c>
      <c r="G18" s="103" t="s">
        <v>274</v>
      </c>
      <c r="H18" s="103" t="s">
        <v>275</v>
      </c>
      <c r="I18" s="103"/>
      <c r="J18" s="139">
        <v>0.95</v>
      </c>
      <c r="K18" s="106" t="s">
        <v>1911</v>
      </c>
      <c r="M18" s="105">
        <v>9.5</v>
      </c>
    </row>
    <row r="19" spans="1:13" x14ac:dyDescent="0.3">
      <c r="A19" s="102" t="s">
        <v>895</v>
      </c>
      <c r="B19" s="102" t="s">
        <v>899</v>
      </c>
      <c r="C19" s="102" t="s">
        <v>8</v>
      </c>
      <c r="D19" s="103" t="s">
        <v>276</v>
      </c>
      <c r="E19" s="103">
        <v>5</v>
      </c>
      <c r="F19" s="103" t="s">
        <v>277</v>
      </c>
      <c r="G19" s="103" t="s">
        <v>278</v>
      </c>
      <c r="H19" s="103" t="s">
        <v>279</v>
      </c>
      <c r="I19" s="103"/>
      <c r="J19" s="139">
        <v>1.5</v>
      </c>
      <c r="K19" s="106" t="s">
        <v>1911</v>
      </c>
      <c r="M19" s="105">
        <v>7.5</v>
      </c>
    </row>
    <row r="20" spans="1:13" x14ac:dyDescent="0.3">
      <c r="A20" s="102" t="s">
        <v>895</v>
      </c>
      <c r="B20" s="102" t="s">
        <v>899</v>
      </c>
      <c r="C20" s="102" t="s">
        <v>8</v>
      </c>
      <c r="D20" s="103" t="s">
        <v>268</v>
      </c>
      <c r="E20" s="103">
        <v>5</v>
      </c>
      <c r="F20" s="103" t="s">
        <v>269</v>
      </c>
      <c r="G20" s="103" t="s">
        <v>270</v>
      </c>
      <c r="H20" s="103" t="s">
        <v>271</v>
      </c>
      <c r="I20" s="103"/>
      <c r="J20" s="139">
        <v>1.5</v>
      </c>
      <c r="K20" s="106" t="s">
        <v>1911</v>
      </c>
      <c r="M20" s="105">
        <v>7.5</v>
      </c>
    </row>
    <row r="21" spans="1:13" x14ac:dyDescent="0.3">
      <c r="A21" s="102" t="s">
        <v>895</v>
      </c>
      <c r="B21" s="102" t="s">
        <v>899</v>
      </c>
      <c r="C21" s="102" t="s">
        <v>8</v>
      </c>
      <c r="D21" s="103" t="s">
        <v>1823</v>
      </c>
      <c r="E21" s="103">
        <v>1</v>
      </c>
      <c r="F21" s="103" t="s">
        <v>1824</v>
      </c>
      <c r="G21" s="103" t="s">
        <v>1825</v>
      </c>
      <c r="H21" s="103" t="s">
        <v>1826</v>
      </c>
      <c r="I21" s="103"/>
      <c r="J21" s="139">
        <v>1.95</v>
      </c>
      <c r="K21" s="106" t="s">
        <v>1910</v>
      </c>
    </row>
    <row r="22" spans="1:13" x14ac:dyDescent="0.3">
      <c r="A22" s="102" t="s">
        <v>895</v>
      </c>
      <c r="B22" s="102" t="s">
        <v>899</v>
      </c>
      <c r="C22" s="102" t="s">
        <v>8</v>
      </c>
      <c r="D22" s="103" t="s">
        <v>735</v>
      </c>
      <c r="E22" s="103">
        <v>2</v>
      </c>
      <c r="F22" s="103" t="s">
        <v>736</v>
      </c>
      <c r="G22" s="103" t="s">
        <v>737</v>
      </c>
      <c r="H22" s="103" t="s">
        <v>738</v>
      </c>
      <c r="I22" s="103"/>
      <c r="J22" s="139">
        <v>2.95</v>
      </c>
      <c r="K22" s="106" t="s">
        <v>1912</v>
      </c>
      <c r="L22" s="103"/>
      <c r="M22" s="103">
        <v>5.9</v>
      </c>
    </row>
    <row r="23" spans="1:13" x14ac:dyDescent="0.3">
      <c r="A23" s="102" t="s">
        <v>895</v>
      </c>
      <c r="B23" s="102" t="s">
        <v>899</v>
      </c>
      <c r="C23" s="102" t="s">
        <v>8</v>
      </c>
      <c r="D23" s="103" t="s">
        <v>1807</v>
      </c>
      <c r="E23" s="103">
        <v>1</v>
      </c>
      <c r="F23" s="103" t="s">
        <v>1808</v>
      </c>
      <c r="G23" s="103" t="s">
        <v>1809</v>
      </c>
      <c r="H23" s="103" t="s">
        <v>1810</v>
      </c>
      <c r="I23" s="103"/>
      <c r="J23" s="139">
        <v>2.95</v>
      </c>
      <c r="K23" s="106" t="s">
        <v>1910</v>
      </c>
      <c r="L23" s="103"/>
      <c r="M23" s="103"/>
    </row>
    <row r="24" spans="1:13" x14ac:dyDescent="0.3">
      <c r="A24" s="102" t="s">
        <v>895</v>
      </c>
      <c r="B24" s="102" t="s">
        <v>1607</v>
      </c>
      <c r="C24" s="102" t="s">
        <v>8</v>
      </c>
      <c r="D24" s="103" t="s">
        <v>1108</v>
      </c>
      <c r="E24" s="103">
        <v>1</v>
      </c>
      <c r="F24" s="103" t="s">
        <v>1109</v>
      </c>
      <c r="G24" s="103" t="s">
        <v>1110</v>
      </c>
      <c r="H24" s="103" t="s">
        <v>1111</v>
      </c>
      <c r="I24" s="103"/>
      <c r="J24" s="139">
        <v>24.95</v>
      </c>
      <c r="K24" s="106" t="s">
        <v>1910</v>
      </c>
      <c r="M24" s="105">
        <f>E24*J24</f>
        <v>24.95</v>
      </c>
    </row>
    <row r="25" spans="1:13" x14ac:dyDescent="0.3">
      <c r="A25" s="102" t="s">
        <v>895</v>
      </c>
      <c r="B25" s="102" t="s">
        <v>1607</v>
      </c>
      <c r="C25" s="102" t="s">
        <v>8</v>
      </c>
      <c r="D25" s="103" t="s">
        <v>493</v>
      </c>
      <c r="E25" s="103">
        <v>5</v>
      </c>
      <c r="F25" s="103" t="s">
        <v>494</v>
      </c>
      <c r="G25" s="103" t="s">
        <v>495</v>
      </c>
      <c r="H25" s="103" t="s">
        <v>218</v>
      </c>
      <c r="I25" s="103">
        <v>1</v>
      </c>
      <c r="J25" s="139">
        <v>4.95</v>
      </c>
      <c r="K25" s="106" t="s">
        <v>1910</v>
      </c>
      <c r="M25" s="105">
        <f>E25*J25</f>
        <v>24.75</v>
      </c>
    </row>
    <row r="26" spans="1:13" x14ac:dyDescent="0.3">
      <c r="A26" s="103" t="s">
        <v>895</v>
      </c>
      <c r="B26" s="103" t="s">
        <v>1607</v>
      </c>
      <c r="C26" s="103" t="s">
        <v>1898</v>
      </c>
      <c r="D26" s="103" t="s">
        <v>2364</v>
      </c>
      <c r="E26" s="103">
        <v>0</v>
      </c>
      <c r="F26" s="103"/>
      <c r="G26" s="103"/>
      <c r="H26" s="102" t="s">
        <v>2365</v>
      </c>
      <c r="J26" s="140">
        <v>6.95</v>
      </c>
      <c r="K26" s="107" t="s">
        <v>1910</v>
      </c>
    </row>
    <row r="27" spans="1:13" x14ac:dyDescent="0.3">
      <c r="A27" s="102" t="s">
        <v>895</v>
      </c>
      <c r="B27" s="102" t="s">
        <v>1607</v>
      </c>
      <c r="C27" s="102" t="s">
        <v>8</v>
      </c>
      <c r="D27" s="103" t="s">
        <v>496</v>
      </c>
      <c r="E27" s="103">
        <v>8</v>
      </c>
      <c r="F27" s="103" t="s">
        <v>497</v>
      </c>
      <c r="G27" s="103" t="s">
        <v>498</v>
      </c>
      <c r="H27" s="103" t="s">
        <v>214</v>
      </c>
      <c r="I27" s="103">
        <v>1</v>
      </c>
      <c r="J27" s="139">
        <v>4.95</v>
      </c>
      <c r="K27" s="106" t="s">
        <v>1910</v>
      </c>
      <c r="M27" s="105">
        <f>E27*J27</f>
        <v>39.6</v>
      </c>
    </row>
    <row r="28" spans="1:13" x14ac:dyDescent="0.3">
      <c r="A28" s="103" t="s">
        <v>895</v>
      </c>
      <c r="B28" s="103" t="s">
        <v>1607</v>
      </c>
      <c r="C28" s="103" t="s">
        <v>1898</v>
      </c>
      <c r="D28" s="103" t="s">
        <v>2356</v>
      </c>
      <c r="E28" s="103">
        <v>0</v>
      </c>
      <c r="F28" s="103"/>
      <c r="G28" s="103"/>
      <c r="H28" s="102" t="s">
        <v>2357</v>
      </c>
      <c r="J28" s="140">
        <v>9.9499999999999993</v>
      </c>
      <c r="K28" s="107" t="s">
        <v>1910</v>
      </c>
    </row>
    <row r="29" spans="1:13" x14ac:dyDescent="0.3">
      <c r="A29" s="103" t="s">
        <v>895</v>
      </c>
      <c r="B29" s="103" t="s">
        <v>1607</v>
      </c>
      <c r="C29" s="103" t="s">
        <v>1898</v>
      </c>
      <c r="D29" s="103" t="s">
        <v>2358</v>
      </c>
      <c r="E29" s="103">
        <v>0</v>
      </c>
      <c r="F29" s="103"/>
      <c r="G29" s="103"/>
      <c r="H29" s="102" t="s">
        <v>2359</v>
      </c>
      <c r="J29" s="140">
        <v>5.95</v>
      </c>
      <c r="K29" s="107" t="s">
        <v>1910</v>
      </c>
    </row>
    <row r="30" spans="1:13" x14ac:dyDescent="0.3">
      <c r="A30" s="102" t="s">
        <v>895</v>
      </c>
      <c r="B30" s="102" t="s">
        <v>2041</v>
      </c>
      <c r="C30" s="102" t="s">
        <v>8</v>
      </c>
      <c r="D30" s="103" t="s">
        <v>1503</v>
      </c>
      <c r="E30" s="103">
        <v>0</v>
      </c>
      <c r="F30" s="103" t="s">
        <v>1504</v>
      </c>
      <c r="G30" s="103" t="s">
        <v>1505</v>
      </c>
      <c r="H30" s="103" t="s">
        <v>1506</v>
      </c>
      <c r="I30" s="103">
        <v>1</v>
      </c>
      <c r="J30" s="139">
        <v>2.95</v>
      </c>
      <c r="K30" s="106" t="s">
        <v>1910</v>
      </c>
      <c r="M30" s="105">
        <f>E30*J30</f>
        <v>0</v>
      </c>
    </row>
    <row r="31" spans="1:13" x14ac:dyDescent="0.3">
      <c r="A31" s="102" t="s">
        <v>895</v>
      </c>
      <c r="B31" s="102" t="s">
        <v>2041</v>
      </c>
      <c r="C31" s="102" t="s">
        <v>8</v>
      </c>
      <c r="D31" s="103" t="s">
        <v>1515</v>
      </c>
      <c r="E31" s="103">
        <v>0</v>
      </c>
      <c r="F31" s="103" t="s">
        <v>1516</v>
      </c>
      <c r="G31" s="103" t="s">
        <v>1517</v>
      </c>
      <c r="H31" s="103" t="s">
        <v>1518</v>
      </c>
      <c r="I31" s="103"/>
      <c r="J31" s="139">
        <v>2.95</v>
      </c>
      <c r="K31" s="106" t="s">
        <v>1910</v>
      </c>
      <c r="M31" s="105">
        <f>E31*J31</f>
        <v>0</v>
      </c>
    </row>
    <row r="32" spans="1:13" x14ac:dyDescent="0.3">
      <c r="A32" s="103" t="s">
        <v>895</v>
      </c>
      <c r="B32" s="103" t="s">
        <v>2041</v>
      </c>
      <c r="C32" s="103" t="s">
        <v>1898</v>
      </c>
      <c r="D32" s="103" t="s">
        <v>2370</v>
      </c>
      <c r="E32" s="103">
        <v>0</v>
      </c>
      <c r="F32" s="103"/>
      <c r="G32" s="103"/>
      <c r="H32" s="102" t="s">
        <v>2371</v>
      </c>
      <c r="J32" s="140">
        <v>2.5</v>
      </c>
      <c r="K32" s="107" t="s">
        <v>1910</v>
      </c>
    </row>
    <row r="33" spans="1:13" x14ac:dyDescent="0.3">
      <c r="A33" s="103" t="s">
        <v>895</v>
      </c>
      <c r="B33" s="103" t="s">
        <v>2041</v>
      </c>
      <c r="C33" s="103" t="s">
        <v>1898</v>
      </c>
      <c r="D33" s="103" t="s">
        <v>2366</v>
      </c>
      <c r="E33" s="103">
        <v>5</v>
      </c>
      <c r="F33" s="103"/>
      <c r="G33" s="103"/>
      <c r="H33" s="102" t="s">
        <v>2367</v>
      </c>
      <c r="J33" s="140">
        <v>2.95</v>
      </c>
      <c r="K33" s="107" t="s">
        <v>1910</v>
      </c>
    </row>
    <row r="34" spans="1:13" x14ac:dyDescent="0.3">
      <c r="A34" s="102" t="s">
        <v>895</v>
      </c>
      <c r="B34" s="102" t="s">
        <v>2041</v>
      </c>
      <c r="C34" s="102" t="s">
        <v>8</v>
      </c>
      <c r="D34" s="103" t="s">
        <v>244</v>
      </c>
      <c r="E34" s="103">
        <v>1</v>
      </c>
      <c r="F34" s="103" t="s">
        <v>245</v>
      </c>
      <c r="G34" s="103" t="s">
        <v>246</v>
      </c>
      <c r="H34" s="103" t="s">
        <v>247</v>
      </c>
      <c r="I34" s="103"/>
      <c r="J34" s="139">
        <v>9.9499999999999993</v>
      </c>
      <c r="K34" s="106" t="s">
        <v>1910</v>
      </c>
      <c r="M34" s="105">
        <f>E34*J34</f>
        <v>9.9499999999999993</v>
      </c>
    </row>
    <row r="35" spans="1:13" x14ac:dyDescent="0.3">
      <c r="A35" s="103" t="s">
        <v>895</v>
      </c>
      <c r="B35" s="103" t="s">
        <v>2041</v>
      </c>
      <c r="C35" s="103" t="s">
        <v>1898</v>
      </c>
      <c r="D35" s="103" t="s">
        <v>2368</v>
      </c>
      <c r="E35" s="103">
        <v>0</v>
      </c>
      <c r="F35" s="103"/>
      <c r="G35" s="103"/>
      <c r="H35" s="102" t="s">
        <v>2369</v>
      </c>
      <c r="J35" s="140">
        <v>2.95</v>
      </c>
      <c r="K35" s="107" t="s">
        <v>1910</v>
      </c>
    </row>
    <row r="36" spans="1:13" x14ac:dyDescent="0.3">
      <c r="A36" s="102" t="s">
        <v>895</v>
      </c>
      <c r="B36" s="102" t="s">
        <v>2041</v>
      </c>
      <c r="C36" s="102" t="s">
        <v>8</v>
      </c>
      <c r="D36" s="103" t="s">
        <v>252</v>
      </c>
      <c r="E36" s="103">
        <v>1</v>
      </c>
      <c r="F36" s="103" t="s">
        <v>253</v>
      </c>
      <c r="G36" s="103" t="s">
        <v>254</v>
      </c>
      <c r="H36" s="103" t="s">
        <v>255</v>
      </c>
      <c r="I36" s="103"/>
      <c r="J36" s="139">
        <v>6.97</v>
      </c>
      <c r="K36" s="106" t="s">
        <v>1910</v>
      </c>
      <c r="M36" s="105">
        <f t="shared" ref="M36:M41" si="1">E36*J36</f>
        <v>6.97</v>
      </c>
    </row>
    <row r="37" spans="1:13" x14ac:dyDescent="0.3">
      <c r="A37" s="102" t="s">
        <v>895</v>
      </c>
      <c r="B37" s="102" t="s">
        <v>1604</v>
      </c>
      <c r="C37" s="102" t="s">
        <v>8</v>
      </c>
      <c r="D37" s="103" t="s">
        <v>280</v>
      </c>
      <c r="E37" s="103">
        <v>5</v>
      </c>
      <c r="F37" s="103" t="s">
        <v>281</v>
      </c>
      <c r="G37" s="103" t="s">
        <v>282</v>
      </c>
      <c r="H37" s="103" t="s">
        <v>224</v>
      </c>
      <c r="I37" s="103"/>
      <c r="J37" s="139">
        <v>6.95</v>
      </c>
      <c r="K37" s="106" t="s">
        <v>1911</v>
      </c>
      <c r="M37" s="105">
        <f t="shared" si="1"/>
        <v>34.75</v>
      </c>
    </row>
    <row r="38" spans="1:13" x14ac:dyDescent="0.3">
      <c r="A38" s="102" t="s">
        <v>895</v>
      </c>
      <c r="B38" s="102" t="s">
        <v>1604</v>
      </c>
      <c r="C38" s="102" t="s">
        <v>8</v>
      </c>
      <c r="D38" s="103" t="s">
        <v>283</v>
      </c>
      <c r="E38" s="103">
        <v>5</v>
      </c>
      <c r="F38" s="103" t="s">
        <v>284</v>
      </c>
      <c r="G38" s="103" t="s">
        <v>285</v>
      </c>
      <c r="H38" s="103" t="s">
        <v>210</v>
      </c>
      <c r="I38" s="103">
        <v>1</v>
      </c>
      <c r="J38" s="139">
        <v>12.95</v>
      </c>
      <c r="K38" s="106" t="s">
        <v>1911</v>
      </c>
      <c r="M38" s="105">
        <f t="shared" si="1"/>
        <v>64.75</v>
      </c>
    </row>
    <row r="39" spans="1:13" x14ac:dyDescent="0.3">
      <c r="A39" s="102" t="s">
        <v>895</v>
      </c>
      <c r="B39" s="117" t="s">
        <v>1604</v>
      </c>
      <c r="C39" s="117" t="s">
        <v>8</v>
      </c>
      <c r="D39" s="103" t="s">
        <v>929</v>
      </c>
      <c r="E39" s="103">
        <v>0</v>
      </c>
      <c r="F39" s="103" t="s">
        <v>930</v>
      </c>
      <c r="G39" s="103" t="s">
        <v>931</v>
      </c>
      <c r="H39" s="103" t="s">
        <v>932</v>
      </c>
      <c r="I39" s="103">
        <v>1</v>
      </c>
      <c r="J39" s="139">
        <v>14.95</v>
      </c>
      <c r="K39" s="106" t="s">
        <v>1910</v>
      </c>
      <c r="M39" s="105">
        <f t="shared" si="1"/>
        <v>0</v>
      </c>
    </row>
    <row r="40" spans="1:13" x14ac:dyDescent="0.3">
      <c r="A40" s="102" t="s">
        <v>895</v>
      </c>
      <c r="B40" s="117" t="s">
        <v>1604</v>
      </c>
      <c r="C40" s="117" t="s">
        <v>8</v>
      </c>
      <c r="D40" s="103" t="s">
        <v>1015</v>
      </c>
      <c r="E40" s="103">
        <v>1</v>
      </c>
      <c r="F40" s="103" t="s">
        <v>1016</v>
      </c>
      <c r="G40" s="103" t="s">
        <v>1017</v>
      </c>
      <c r="H40" s="103" t="s">
        <v>1018</v>
      </c>
      <c r="I40" s="103">
        <v>1</v>
      </c>
      <c r="J40" s="139">
        <v>11.95</v>
      </c>
      <c r="K40" s="106" t="s">
        <v>1910</v>
      </c>
      <c r="M40" s="105">
        <f t="shared" si="1"/>
        <v>11.95</v>
      </c>
    </row>
    <row r="41" spans="1:13" x14ac:dyDescent="0.3">
      <c r="A41" s="102" t="s">
        <v>895</v>
      </c>
      <c r="B41" s="102" t="s">
        <v>1604</v>
      </c>
      <c r="C41" s="102" t="s">
        <v>8</v>
      </c>
      <c r="D41" s="103" t="s">
        <v>1015</v>
      </c>
      <c r="E41" s="103">
        <v>1</v>
      </c>
      <c r="F41" s="103" t="s">
        <v>1020</v>
      </c>
      <c r="G41" s="103" t="s">
        <v>1021</v>
      </c>
      <c r="H41" s="103" t="s">
        <v>1022</v>
      </c>
      <c r="I41" s="103">
        <v>1</v>
      </c>
      <c r="J41" s="139">
        <v>19.95</v>
      </c>
      <c r="K41" s="106" t="s">
        <v>1910</v>
      </c>
      <c r="M41" s="105">
        <f t="shared" si="1"/>
        <v>19.95</v>
      </c>
    </row>
    <row r="42" spans="1:13" x14ac:dyDescent="0.3">
      <c r="A42" s="102">
        <f>COUNTA(A2:A41)</f>
        <v>40</v>
      </c>
      <c r="D42" s="103"/>
      <c r="E42" s="103">
        <f>SUM(E4:E27)</f>
        <v>75</v>
      </c>
      <c r="F42" s="103"/>
      <c r="G42" s="103"/>
      <c r="H42" s="103"/>
      <c r="I42" s="103"/>
      <c r="J42" s="139">
        <f>AVERAGE(J4:J27)</f>
        <v>8.1291666666666629</v>
      </c>
      <c r="K42" s="106"/>
      <c r="M42" s="105">
        <f>SUM(M4:M27)</f>
        <v>250.6</v>
      </c>
    </row>
    <row r="43" spans="1:13" x14ac:dyDescent="0.3">
      <c r="D43" s="103"/>
      <c r="E43" s="103"/>
      <c r="F43" s="103"/>
      <c r="G43" s="103"/>
      <c r="H43" s="103"/>
      <c r="I43" s="103"/>
      <c r="J43" s="139"/>
      <c r="K43" s="106"/>
    </row>
    <row r="44" spans="1:13" x14ac:dyDescent="0.3">
      <c r="D44" s="103"/>
      <c r="E44" s="103"/>
      <c r="F44" s="103"/>
      <c r="G44" s="103"/>
      <c r="H44" s="103"/>
      <c r="I44" s="103"/>
      <c r="J44" s="139"/>
      <c r="K44" s="106"/>
    </row>
    <row r="45" spans="1:13" x14ac:dyDescent="0.3">
      <c r="D45" s="103"/>
      <c r="E45" s="103"/>
      <c r="F45" s="103"/>
      <c r="G45" s="103"/>
      <c r="H45" s="103"/>
      <c r="I45" s="103"/>
      <c r="J45" s="139"/>
      <c r="K45" s="106"/>
    </row>
    <row r="48" spans="1:13" x14ac:dyDescent="0.3">
      <c r="D48" s="103"/>
      <c r="E48" s="103"/>
      <c r="F48" s="103"/>
      <c r="G48" s="103"/>
      <c r="H48" s="103"/>
      <c r="I48" s="103"/>
      <c r="J48" s="139"/>
      <c r="K48" s="106"/>
    </row>
    <row r="49" spans="4:11" x14ac:dyDescent="0.3">
      <c r="D49" s="103"/>
      <c r="E49" s="103"/>
      <c r="F49" s="103"/>
      <c r="G49" s="103"/>
      <c r="H49" s="103"/>
      <c r="I49" s="103"/>
      <c r="J49" s="139"/>
      <c r="K49" s="106"/>
    </row>
    <row r="50" spans="4:11" x14ac:dyDescent="0.3">
      <c r="D50" s="103"/>
      <c r="E50" s="103"/>
      <c r="F50" s="103"/>
      <c r="G50" s="103"/>
      <c r="H50" s="103"/>
      <c r="I50" s="103"/>
      <c r="J50" s="139"/>
      <c r="K50" s="106"/>
    </row>
    <row r="51" spans="4:11" x14ac:dyDescent="0.3">
      <c r="D51" s="103"/>
      <c r="E51" s="103"/>
      <c r="F51" s="103"/>
      <c r="G51" s="103"/>
      <c r="H51" s="103"/>
      <c r="I51" s="103"/>
      <c r="J51" s="139"/>
      <c r="K51" s="106"/>
    </row>
    <row r="52" spans="4:11" x14ac:dyDescent="0.3">
      <c r="D52" s="103"/>
      <c r="E52" s="103"/>
      <c r="F52" s="103"/>
      <c r="G52" s="103"/>
      <c r="H52" s="103"/>
      <c r="I52" s="103"/>
      <c r="J52" s="139"/>
      <c r="K52" s="106"/>
    </row>
    <row r="53" spans="4:11" x14ac:dyDescent="0.3">
      <c r="D53" s="103"/>
      <c r="E53" s="103"/>
      <c r="F53" s="103"/>
      <c r="G53" s="103"/>
      <c r="H53" s="103"/>
      <c r="I53" s="103"/>
      <c r="J53" s="139"/>
      <c r="K53" s="106"/>
    </row>
    <row r="54" spans="4:11" x14ac:dyDescent="0.3">
      <c r="D54" s="103"/>
      <c r="E54" s="103"/>
      <c r="F54" s="103"/>
      <c r="G54" s="103"/>
      <c r="H54" s="103"/>
      <c r="I54" s="103"/>
      <c r="J54" s="139"/>
      <c r="K54" s="106"/>
    </row>
    <row r="55" spans="4:11" x14ac:dyDescent="0.3">
      <c r="D55" s="103"/>
      <c r="E55" s="103"/>
      <c r="F55" s="103"/>
      <c r="G55" s="103"/>
      <c r="H55" s="103"/>
      <c r="I55" s="103"/>
      <c r="J55" s="139"/>
      <c r="K55" s="106"/>
    </row>
    <row r="56" spans="4:11" x14ac:dyDescent="0.3">
      <c r="D56" s="103"/>
      <c r="E56" s="103"/>
      <c r="F56" s="103"/>
      <c r="G56" s="103"/>
      <c r="H56" s="103"/>
      <c r="I56" s="103"/>
      <c r="J56" s="139"/>
      <c r="K56" s="106"/>
    </row>
    <row r="57" spans="4:11" x14ac:dyDescent="0.3">
      <c r="D57" s="103"/>
      <c r="E57" s="103"/>
      <c r="F57" s="103"/>
      <c r="G57" s="103"/>
      <c r="H57" s="103"/>
      <c r="I57" s="103"/>
      <c r="J57" s="139"/>
      <c r="K57" s="106"/>
    </row>
    <row r="58" spans="4:11" x14ac:dyDescent="0.3">
      <c r="D58" s="103"/>
      <c r="E58" s="103"/>
      <c r="F58" s="103"/>
      <c r="G58" s="103"/>
      <c r="H58" s="103"/>
      <c r="I58" s="103"/>
      <c r="J58" s="139"/>
      <c r="K58" s="106"/>
    </row>
    <row r="59" spans="4:11" x14ac:dyDescent="0.3">
      <c r="D59" s="103"/>
      <c r="E59" s="103"/>
      <c r="F59" s="103"/>
      <c r="G59" s="103"/>
      <c r="H59" s="103"/>
      <c r="I59" s="103"/>
      <c r="J59" s="139"/>
      <c r="K59" s="106"/>
    </row>
    <row r="60" spans="4:11" x14ac:dyDescent="0.3">
      <c r="D60" s="103"/>
      <c r="E60" s="103"/>
      <c r="F60" s="103"/>
      <c r="G60" s="103"/>
      <c r="H60" s="103"/>
      <c r="I60" s="103"/>
      <c r="J60" s="139"/>
      <c r="K60" s="106"/>
    </row>
    <row r="61" spans="4:11" x14ac:dyDescent="0.3">
      <c r="D61" s="103"/>
      <c r="E61" s="103"/>
      <c r="F61" s="103"/>
      <c r="G61" s="103"/>
      <c r="H61" s="103"/>
      <c r="I61" s="103"/>
      <c r="J61" s="139"/>
      <c r="K61" s="106"/>
    </row>
    <row r="62" spans="4:11" x14ac:dyDescent="0.3">
      <c r="D62" s="103"/>
      <c r="E62" s="103"/>
      <c r="F62" s="103"/>
      <c r="G62" s="103"/>
      <c r="H62" s="103"/>
      <c r="I62" s="103"/>
      <c r="J62" s="139"/>
      <c r="K62" s="106"/>
    </row>
    <row r="63" spans="4:11" x14ac:dyDescent="0.3">
      <c r="D63" s="103"/>
      <c r="E63" s="103"/>
      <c r="F63" s="103"/>
      <c r="G63" s="103"/>
      <c r="H63" s="103"/>
      <c r="I63" s="103"/>
      <c r="J63" s="139"/>
      <c r="K63" s="106"/>
    </row>
    <row r="64" spans="4:11" x14ac:dyDescent="0.3">
      <c r="D64" s="103"/>
      <c r="E64" s="103"/>
      <c r="F64" s="103"/>
      <c r="G64" s="103"/>
      <c r="H64" s="103"/>
      <c r="I64" s="103"/>
      <c r="J64" s="139"/>
      <c r="K64" s="106"/>
    </row>
    <row r="65" spans="4:11" x14ac:dyDescent="0.3">
      <c r="D65" s="103"/>
      <c r="E65" s="103"/>
      <c r="F65" s="103"/>
      <c r="G65" s="103"/>
      <c r="H65" s="103"/>
      <c r="I65" s="103"/>
      <c r="J65" s="139"/>
      <c r="K65" s="106"/>
    </row>
    <row r="66" spans="4:11" x14ac:dyDescent="0.3">
      <c r="D66" s="103"/>
      <c r="E66" s="103"/>
      <c r="F66" s="103"/>
      <c r="G66" s="103"/>
      <c r="H66" s="103"/>
      <c r="I66" s="103"/>
      <c r="J66" s="139"/>
      <c r="K66" s="106"/>
    </row>
    <row r="67" spans="4:11" x14ac:dyDescent="0.3">
      <c r="D67" s="103"/>
      <c r="E67" s="103"/>
      <c r="F67" s="103"/>
      <c r="G67" s="103"/>
      <c r="H67" s="103"/>
      <c r="I67" s="103"/>
      <c r="J67" s="139"/>
      <c r="K67" s="106"/>
    </row>
    <row r="68" spans="4:11" x14ac:dyDescent="0.3">
      <c r="D68" s="103"/>
      <c r="E68" s="103"/>
      <c r="F68" s="103"/>
      <c r="G68" s="103"/>
      <c r="H68" s="103"/>
      <c r="I68" s="103"/>
      <c r="J68" s="139"/>
      <c r="K68" s="106"/>
    </row>
    <row r="69" spans="4:11" x14ac:dyDescent="0.3">
      <c r="D69" s="103"/>
      <c r="E69" s="103"/>
      <c r="F69" s="103"/>
      <c r="G69" s="103"/>
      <c r="H69" s="103"/>
      <c r="I69" s="103"/>
      <c r="J69" s="139"/>
      <c r="K69" s="106"/>
    </row>
    <row r="70" spans="4:11" x14ac:dyDescent="0.3">
      <c r="D70" s="103"/>
      <c r="E70" s="103"/>
      <c r="F70" s="103"/>
      <c r="G70" s="103"/>
      <c r="H70" s="103"/>
      <c r="I70" s="103"/>
      <c r="J70" s="139"/>
      <c r="K70" s="106"/>
    </row>
    <row r="71" spans="4:11" x14ac:dyDescent="0.3">
      <c r="D71" s="103"/>
      <c r="E71" s="103"/>
      <c r="F71" s="103"/>
      <c r="G71" s="103"/>
      <c r="H71" s="103"/>
      <c r="I71" s="103"/>
      <c r="J71" s="139"/>
      <c r="K71" s="106"/>
    </row>
    <row r="72" spans="4:11" x14ac:dyDescent="0.3">
      <c r="D72" s="103"/>
      <c r="E72" s="103"/>
      <c r="F72" s="103"/>
      <c r="G72" s="103"/>
      <c r="H72" s="103"/>
      <c r="I72" s="103"/>
      <c r="J72" s="139"/>
      <c r="K72" s="106"/>
    </row>
    <row r="73" spans="4:11" x14ac:dyDescent="0.3">
      <c r="D73" s="103"/>
      <c r="E73" s="103"/>
      <c r="F73" s="103"/>
      <c r="G73" s="103"/>
      <c r="H73" s="103"/>
      <c r="I73" s="103"/>
      <c r="J73" s="139"/>
      <c r="K73" s="106"/>
    </row>
    <row r="74" spans="4:11" x14ac:dyDescent="0.3">
      <c r="D74" s="103"/>
      <c r="E74" s="103"/>
      <c r="F74" s="103"/>
      <c r="G74" s="103"/>
      <c r="H74" s="103"/>
      <c r="I74" s="103"/>
      <c r="J74" s="139"/>
      <c r="K74" s="106"/>
    </row>
    <row r="75" spans="4:11" x14ac:dyDescent="0.3">
      <c r="D75" s="103"/>
      <c r="E75" s="103"/>
      <c r="F75" s="103"/>
      <c r="G75" s="103"/>
      <c r="H75" s="103"/>
      <c r="I75" s="103"/>
      <c r="J75" s="139"/>
      <c r="K75" s="106"/>
    </row>
    <row r="76" spans="4:11" x14ac:dyDescent="0.3">
      <c r="D76" s="103"/>
      <c r="E76" s="103"/>
      <c r="F76" s="103"/>
      <c r="G76" s="103"/>
      <c r="H76" s="103"/>
      <c r="I76" s="103"/>
      <c r="J76" s="139"/>
      <c r="K76" s="106"/>
    </row>
    <row r="77" spans="4:11" x14ac:dyDescent="0.3">
      <c r="D77" s="103"/>
      <c r="E77" s="103"/>
      <c r="F77" s="103"/>
      <c r="G77" s="103"/>
      <c r="H77" s="103"/>
      <c r="I77" s="103"/>
      <c r="J77" s="139"/>
      <c r="K77" s="106"/>
    </row>
    <row r="78" spans="4:11" x14ac:dyDescent="0.3">
      <c r="D78" s="103"/>
      <c r="E78" s="103"/>
      <c r="F78" s="103"/>
      <c r="G78" s="103"/>
      <c r="H78" s="103"/>
      <c r="I78" s="103"/>
      <c r="J78" s="139"/>
      <c r="K78" s="106"/>
    </row>
    <row r="79" spans="4:11" x14ac:dyDescent="0.3">
      <c r="D79" s="103"/>
      <c r="E79" s="103"/>
      <c r="F79" s="103"/>
      <c r="G79" s="103"/>
      <c r="H79" s="103"/>
      <c r="I79" s="103"/>
      <c r="J79" s="139"/>
      <c r="K79" s="106"/>
    </row>
    <row r="80" spans="4:11" x14ac:dyDescent="0.3">
      <c r="D80" s="103"/>
      <c r="E80" s="103"/>
      <c r="F80" s="103"/>
      <c r="G80" s="103"/>
      <c r="H80" s="103"/>
      <c r="I80" s="103"/>
      <c r="J80" s="139"/>
      <c r="K80" s="106"/>
    </row>
    <row r="81" spans="4:11" x14ac:dyDescent="0.3">
      <c r="D81" s="103"/>
      <c r="E81" s="103"/>
      <c r="F81" s="103"/>
      <c r="G81" s="103"/>
      <c r="H81" s="103"/>
      <c r="I81" s="103"/>
      <c r="J81" s="139"/>
      <c r="K81" s="106"/>
    </row>
    <row r="82" spans="4:11" x14ac:dyDescent="0.3">
      <c r="D82" s="103"/>
      <c r="E82" s="103"/>
      <c r="F82" s="103"/>
      <c r="G82" s="103"/>
      <c r="H82" s="103"/>
      <c r="I82" s="103"/>
      <c r="J82" s="139"/>
      <c r="K82" s="106"/>
    </row>
    <row r="83" spans="4:11" x14ac:dyDescent="0.3">
      <c r="D83" s="103"/>
      <c r="E83" s="103"/>
      <c r="F83" s="103"/>
      <c r="G83" s="103"/>
      <c r="H83" s="103"/>
      <c r="I83" s="103"/>
      <c r="J83" s="139"/>
      <c r="K83" s="106"/>
    </row>
    <row r="84" spans="4:11" x14ac:dyDescent="0.3">
      <c r="D84" s="103"/>
      <c r="E84" s="103"/>
      <c r="F84" s="103"/>
      <c r="G84" s="103"/>
      <c r="H84" s="103"/>
      <c r="I84" s="103"/>
      <c r="J84" s="139"/>
      <c r="K84" s="106"/>
    </row>
    <row r="85" spans="4:11" x14ac:dyDescent="0.3">
      <c r="D85" s="103"/>
      <c r="E85" s="103"/>
      <c r="F85" s="103"/>
      <c r="G85" s="103"/>
      <c r="H85" s="103"/>
      <c r="I85" s="103"/>
      <c r="J85" s="139"/>
      <c r="K85" s="106"/>
    </row>
    <row r="86" spans="4:11" x14ac:dyDescent="0.3">
      <c r="D86" s="103"/>
      <c r="E86" s="103"/>
      <c r="F86" s="103"/>
      <c r="G86" s="103"/>
      <c r="H86" s="103"/>
      <c r="I86" s="103"/>
      <c r="J86" s="139"/>
      <c r="K86" s="106"/>
    </row>
    <row r="87" spans="4:11" x14ac:dyDescent="0.3">
      <c r="D87" s="103"/>
      <c r="E87" s="103"/>
      <c r="F87" s="103"/>
      <c r="G87" s="103"/>
      <c r="H87" s="103"/>
      <c r="I87" s="103"/>
      <c r="J87" s="139"/>
      <c r="K87" s="106"/>
    </row>
    <row r="88" spans="4:11" x14ac:dyDescent="0.3">
      <c r="D88" s="103"/>
      <c r="E88" s="103"/>
      <c r="F88" s="103"/>
      <c r="G88" s="103"/>
      <c r="H88" s="103"/>
      <c r="I88" s="103"/>
      <c r="J88" s="139"/>
      <c r="K88" s="106"/>
    </row>
    <row r="89" spans="4:11" x14ac:dyDescent="0.3">
      <c r="D89" s="103"/>
      <c r="E89" s="103"/>
      <c r="F89" s="103"/>
      <c r="G89" s="103"/>
      <c r="H89" s="103"/>
      <c r="I89" s="103"/>
      <c r="J89" s="139"/>
      <c r="K89" s="106"/>
    </row>
    <row r="90" spans="4:11" x14ac:dyDescent="0.3">
      <c r="D90" s="103"/>
      <c r="E90" s="103"/>
      <c r="F90" s="103"/>
      <c r="G90" s="103"/>
      <c r="H90" s="103"/>
      <c r="I90" s="103"/>
      <c r="J90" s="139"/>
      <c r="K90" s="106"/>
    </row>
    <row r="91" spans="4:11" x14ac:dyDescent="0.3">
      <c r="D91" s="103"/>
      <c r="E91" s="103"/>
      <c r="F91" s="103"/>
      <c r="G91" s="103"/>
      <c r="H91" s="103"/>
      <c r="I91" s="103"/>
      <c r="J91" s="139"/>
      <c r="K91" s="106"/>
    </row>
    <row r="92" spans="4:11" x14ac:dyDescent="0.3">
      <c r="D92" s="103"/>
      <c r="E92" s="103"/>
      <c r="F92" s="103"/>
      <c r="G92" s="103"/>
      <c r="H92" s="103"/>
      <c r="I92" s="103"/>
      <c r="J92" s="139"/>
      <c r="K92" s="106"/>
    </row>
    <row r="93" spans="4:11" x14ac:dyDescent="0.3">
      <c r="D93" s="103"/>
      <c r="E93" s="103"/>
      <c r="F93" s="103"/>
      <c r="G93" s="103"/>
      <c r="H93" s="103"/>
      <c r="I93" s="103"/>
      <c r="J93" s="139"/>
      <c r="K93" s="106"/>
    </row>
    <row r="94" spans="4:11" x14ac:dyDescent="0.3">
      <c r="D94" s="103"/>
      <c r="E94" s="103"/>
      <c r="F94" s="103"/>
      <c r="G94" s="103"/>
      <c r="H94" s="103"/>
      <c r="I94" s="103"/>
      <c r="J94" s="139"/>
      <c r="K94" s="106"/>
    </row>
    <row r="95" spans="4:11" x14ac:dyDescent="0.3">
      <c r="D95" s="103"/>
      <c r="E95" s="103"/>
      <c r="F95" s="103"/>
      <c r="G95" s="103"/>
      <c r="H95" s="103"/>
      <c r="I95" s="103"/>
      <c r="J95" s="139"/>
      <c r="K95" s="106"/>
    </row>
    <row r="96" spans="4:11" x14ac:dyDescent="0.3">
      <c r="D96" s="103"/>
      <c r="E96" s="103"/>
      <c r="F96" s="103"/>
      <c r="G96" s="103"/>
      <c r="H96" s="103"/>
      <c r="I96" s="103"/>
      <c r="J96" s="139"/>
      <c r="K96" s="106"/>
    </row>
    <row r="97" spans="4:11" x14ac:dyDescent="0.3">
      <c r="D97" s="103"/>
      <c r="E97" s="103"/>
      <c r="F97" s="103"/>
      <c r="G97" s="103"/>
      <c r="H97" s="103"/>
      <c r="I97" s="103"/>
      <c r="J97" s="139"/>
      <c r="K97" s="106"/>
    </row>
    <row r="98" spans="4:11" x14ac:dyDescent="0.3">
      <c r="D98" s="103"/>
      <c r="E98" s="103"/>
      <c r="F98" s="103"/>
      <c r="G98" s="103"/>
      <c r="H98" s="103"/>
      <c r="I98" s="103"/>
      <c r="J98" s="139"/>
      <c r="K98" s="106"/>
    </row>
    <row r="99" spans="4:11" x14ac:dyDescent="0.3">
      <c r="D99" s="103"/>
      <c r="E99" s="103"/>
      <c r="F99" s="103"/>
      <c r="G99" s="103"/>
      <c r="H99" s="103"/>
      <c r="I99" s="103"/>
      <c r="J99" s="139"/>
      <c r="K99" s="106"/>
    </row>
    <row r="100" spans="4:11" x14ac:dyDescent="0.3">
      <c r="D100" s="103"/>
      <c r="E100" s="103"/>
      <c r="F100" s="103"/>
      <c r="G100" s="103"/>
      <c r="H100" s="103"/>
      <c r="I100" s="103"/>
      <c r="J100" s="139"/>
      <c r="K100" s="106"/>
    </row>
    <row r="101" spans="4:11" x14ac:dyDescent="0.3">
      <c r="D101" s="103"/>
      <c r="E101" s="103"/>
      <c r="F101" s="103"/>
      <c r="G101" s="103"/>
      <c r="H101" s="103"/>
      <c r="I101" s="103"/>
      <c r="J101" s="139"/>
      <c r="K101" s="106"/>
    </row>
    <row r="102" spans="4:11" x14ac:dyDescent="0.3">
      <c r="D102" s="103"/>
      <c r="E102" s="103"/>
      <c r="F102" s="103"/>
      <c r="G102" s="103"/>
      <c r="H102" s="103"/>
      <c r="I102" s="103"/>
      <c r="J102" s="139"/>
      <c r="K102" s="106"/>
    </row>
    <row r="103" spans="4:11" x14ac:dyDescent="0.3">
      <c r="D103" s="103"/>
      <c r="E103" s="103"/>
      <c r="F103" s="103"/>
      <c r="G103" s="103"/>
      <c r="H103" s="103"/>
      <c r="I103" s="103"/>
      <c r="J103" s="139"/>
      <c r="K103" s="106"/>
    </row>
    <row r="104" spans="4:11" x14ac:dyDescent="0.3">
      <c r="D104" s="103"/>
      <c r="E104" s="103"/>
      <c r="F104" s="103"/>
      <c r="G104" s="103"/>
      <c r="H104" s="103"/>
      <c r="I104" s="103"/>
      <c r="J104" s="139"/>
      <c r="K104" s="106"/>
    </row>
    <row r="105" spans="4:11" x14ac:dyDescent="0.3">
      <c r="D105" s="103"/>
      <c r="E105" s="103"/>
      <c r="F105" s="103"/>
      <c r="G105" s="103"/>
      <c r="H105" s="103"/>
      <c r="I105" s="103"/>
      <c r="J105" s="139"/>
      <c r="K105" s="106"/>
    </row>
    <row r="106" spans="4:11" x14ac:dyDescent="0.3">
      <c r="D106" s="103"/>
      <c r="E106" s="103"/>
      <c r="F106" s="103"/>
      <c r="G106" s="103"/>
      <c r="H106" s="103"/>
      <c r="I106" s="103"/>
      <c r="J106" s="139"/>
      <c r="K106" s="106"/>
    </row>
    <row r="107" spans="4:11" x14ac:dyDescent="0.3">
      <c r="D107" s="103"/>
      <c r="E107" s="103"/>
      <c r="F107" s="103"/>
      <c r="G107" s="103"/>
      <c r="H107" s="103"/>
      <c r="I107" s="103"/>
      <c r="J107" s="139"/>
      <c r="K107" s="106"/>
    </row>
    <row r="108" spans="4:11" x14ac:dyDescent="0.3">
      <c r="D108" s="103"/>
      <c r="E108" s="103"/>
      <c r="F108" s="103"/>
      <c r="G108" s="103"/>
      <c r="H108" s="103"/>
      <c r="I108" s="103"/>
      <c r="J108" s="139"/>
      <c r="K108" s="106"/>
    </row>
    <row r="109" spans="4:11" x14ac:dyDescent="0.3">
      <c r="D109" s="103"/>
      <c r="E109" s="103"/>
      <c r="F109" s="103"/>
      <c r="G109" s="103"/>
      <c r="H109" s="103"/>
      <c r="I109" s="103"/>
      <c r="J109" s="139"/>
      <c r="K109" s="106"/>
    </row>
    <row r="110" spans="4:11" x14ac:dyDescent="0.3">
      <c r="D110" s="103"/>
      <c r="E110" s="103"/>
      <c r="F110" s="103"/>
      <c r="G110" s="103"/>
      <c r="H110" s="103"/>
      <c r="I110" s="103"/>
      <c r="J110" s="139"/>
      <c r="K110" s="106"/>
    </row>
    <row r="111" spans="4:11" x14ac:dyDescent="0.3">
      <c r="D111" s="103"/>
      <c r="E111" s="103"/>
      <c r="F111" s="103"/>
      <c r="G111" s="103"/>
      <c r="H111" s="103"/>
      <c r="I111" s="103"/>
      <c r="J111" s="139"/>
      <c r="K111" s="106"/>
    </row>
    <row r="112" spans="4:11" x14ac:dyDescent="0.3">
      <c r="D112" s="103"/>
      <c r="E112" s="103"/>
      <c r="F112" s="103"/>
      <c r="G112" s="103"/>
      <c r="H112" s="103"/>
      <c r="I112" s="103"/>
      <c r="J112" s="139"/>
      <c r="K112" s="106"/>
    </row>
    <row r="113" spans="4:11" x14ac:dyDescent="0.3">
      <c r="D113" s="103"/>
      <c r="E113" s="103"/>
      <c r="F113" s="103"/>
      <c r="G113" s="103"/>
      <c r="H113" s="103"/>
      <c r="I113" s="103"/>
      <c r="J113" s="139"/>
      <c r="K113" s="106"/>
    </row>
    <row r="114" spans="4:11" x14ac:dyDescent="0.3">
      <c r="D114" s="103"/>
      <c r="E114" s="103"/>
      <c r="F114" s="103"/>
      <c r="G114" s="103"/>
      <c r="H114" s="103"/>
      <c r="I114" s="103"/>
      <c r="J114" s="139"/>
      <c r="K114" s="106"/>
    </row>
    <row r="115" spans="4:11" x14ac:dyDescent="0.3">
      <c r="D115" s="103"/>
      <c r="E115" s="103"/>
      <c r="F115" s="103"/>
      <c r="G115" s="103"/>
      <c r="H115" s="103"/>
      <c r="I115" s="103"/>
      <c r="J115" s="139"/>
      <c r="K115" s="106"/>
    </row>
    <row r="116" spans="4:11" x14ac:dyDescent="0.3">
      <c r="D116" s="103"/>
      <c r="E116" s="103"/>
      <c r="F116" s="103"/>
      <c r="G116" s="103"/>
      <c r="H116" s="103"/>
      <c r="I116" s="103"/>
      <c r="J116" s="139"/>
      <c r="K116" s="106"/>
    </row>
    <row r="117" spans="4:11" x14ac:dyDescent="0.3">
      <c r="D117" s="103"/>
      <c r="E117" s="103"/>
      <c r="F117" s="103"/>
      <c r="G117" s="103"/>
      <c r="H117" s="103"/>
      <c r="I117" s="103"/>
      <c r="J117" s="139"/>
      <c r="K117" s="106"/>
    </row>
    <row r="118" spans="4:11" x14ac:dyDescent="0.3">
      <c r="D118" s="103"/>
      <c r="E118" s="103"/>
      <c r="F118" s="103"/>
      <c r="G118" s="103"/>
      <c r="H118" s="103"/>
      <c r="I118" s="103"/>
      <c r="J118" s="139"/>
      <c r="K118" s="106"/>
    </row>
    <row r="119" spans="4:11" x14ac:dyDescent="0.3">
      <c r="D119" s="103"/>
      <c r="E119" s="103"/>
      <c r="F119" s="103"/>
      <c r="G119" s="103"/>
      <c r="H119" s="103"/>
      <c r="I119" s="103"/>
      <c r="J119" s="139"/>
      <c r="K119" s="106"/>
    </row>
    <row r="120" spans="4:11" x14ac:dyDescent="0.3">
      <c r="D120" s="103"/>
      <c r="E120" s="103"/>
      <c r="F120" s="103"/>
      <c r="G120" s="103"/>
      <c r="H120" s="103"/>
      <c r="I120" s="103"/>
      <c r="J120" s="139"/>
      <c r="K120" s="106"/>
    </row>
    <row r="121" spans="4:11" x14ac:dyDescent="0.3">
      <c r="D121" s="103"/>
      <c r="E121" s="103"/>
      <c r="F121" s="103"/>
      <c r="G121" s="103"/>
      <c r="H121" s="103"/>
      <c r="I121" s="103"/>
      <c r="J121" s="139"/>
      <c r="K121" s="106"/>
    </row>
    <row r="122" spans="4:11" x14ac:dyDescent="0.3">
      <c r="D122" s="103"/>
      <c r="E122" s="103"/>
      <c r="F122" s="103"/>
      <c r="G122" s="103"/>
      <c r="H122" s="103"/>
      <c r="I122" s="103"/>
      <c r="J122" s="139"/>
      <c r="K122" s="106"/>
    </row>
    <row r="123" spans="4:11" x14ac:dyDescent="0.3">
      <c r="D123" s="103"/>
      <c r="E123" s="103"/>
      <c r="F123" s="103"/>
      <c r="G123" s="103"/>
      <c r="H123" s="103"/>
      <c r="I123" s="103"/>
      <c r="J123" s="139"/>
      <c r="K123" s="106"/>
    </row>
    <row r="124" spans="4:11" x14ac:dyDescent="0.3">
      <c r="D124" s="103"/>
      <c r="E124" s="103"/>
      <c r="F124" s="103"/>
      <c r="G124" s="103"/>
      <c r="H124" s="103"/>
      <c r="I124" s="103"/>
      <c r="J124" s="139"/>
      <c r="K124" s="106"/>
    </row>
    <row r="125" spans="4:11" x14ac:dyDescent="0.3">
      <c r="D125" s="103"/>
      <c r="E125" s="103"/>
      <c r="F125" s="103"/>
      <c r="G125" s="103"/>
      <c r="H125" s="103"/>
      <c r="I125" s="103"/>
      <c r="J125" s="139"/>
      <c r="K125" s="106"/>
    </row>
    <row r="126" spans="4:11" x14ac:dyDescent="0.3">
      <c r="D126" s="103"/>
      <c r="E126" s="103"/>
      <c r="F126" s="103"/>
      <c r="G126" s="103"/>
      <c r="H126" s="103"/>
      <c r="I126" s="103"/>
      <c r="J126" s="139"/>
      <c r="K126" s="106"/>
    </row>
    <row r="127" spans="4:11" x14ac:dyDescent="0.3">
      <c r="D127" s="103"/>
      <c r="E127" s="103"/>
      <c r="F127" s="103"/>
      <c r="G127" s="103"/>
      <c r="H127" s="103"/>
      <c r="I127" s="103"/>
      <c r="J127" s="139"/>
      <c r="K127" s="106"/>
    </row>
    <row r="128" spans="4:11" x14ac:dyDescent="0.3">
      <c r="D128" s="103"/>
      <c r="E128" s="103"/>
      <c r="F128" s="103"/>
      <c r="G128" s="103"/>
      <c r="H128" s="103"/>
      <c r="I128" s="103"/>
      <c r="J128" s="139"/>
      <c r="K128" s="106"/>
    </row>
    <row r="129" spans="4:11" x14ac:dyDescent="0.3">
      <c r="D129" s="103"/>
      <c r="E129" s="103"/>
      <c r="F129" s="103"/>
      <c r="G129" s="103"/>
      <c r="H129" s="103"/>
      <c r="I129" s="103"/>
      <c r="J129" s="139"/>
      <c r="K129" s="106"/>
    </row>
    <row r="130" spans="4:11" x14ac:dyDescent="0.3">
      <c r="D130" s="103"/>
      <c r="E130" s="103"/>
      <c r="F130" s="103"/>
      <c r="G130" s="103"/>
      <c r="H130" s="103"/>
      <c r="I130" s="103"/>
      <c r="J130" s="139"/>
      <c r="K130" s="106"/>
    </row>
    <row r="131" spans="4:11" x14ac:dyDescent="0.3">
      <c r="D131" s="103"/>
      <c r="E131" s="103"/>
      <c r="F131" s="103"/>
      <c r="G131" s="103"/>
      <c r="H131" s="103"/>
      <c r="I131" s="103"/>
      <c r="J131" s="139"/>
      <c r="K131" s="106"/>
    </row>
    <row r="132" spans="4:11" x14ac:dyDescent="0.3">
      <c r="D132" s="103"/>
      <c r="E132" s="103"/>
      <c r="F132" s="103"/>
      <c r="G132" s="103"/>
      <c r="H132" s="103"/>
      <c r="I132" s="103"/>
      <c r="J132" s="139"/>
      <c r="K132" s="106"/>
    </row>
    <row r="133" spans="4:11" x14ac:dyDescent="0.3">
      <c r="D133" s="103"/>
      <c r="E133" s="103"/>
      <c r="F133" s="103"/>
      <c r="G133" s="103"/>
      <c r="H133" s="103"/>
      <c r="I133" s="103"/>
      <c r="J133" s="139"/>
      <c r="K133" s="106"/>
    </row>
    <row r="134" spans="4:11" x14ac:dyDescent="0.3">
      <c r="D134" s="103"/>
      <c r="E134" s="103"/>
      <c r="F134" s="103"/>
      <c r="G134" s="103"/>
      <c r="H134" s="103"/>
      <c r="I134" s="103"/>
      <c r="J134" s="139"/>
      <c r="K134" s="106"/>
    </row>
    <row r="135" spans="4:11" x14ac:dyDescent="0.3">
      <c r="D135" s="103"/>
      <c r="E135" s="103"/>
      <c r="F135" s="103"/>
      <c r="G135" s="103"/>
      <c r="H135" s="103"/>
      <c r="I135" s="103"/>
      <c r="J135" s="139"/>
      <c r="K135" s="106"/>
    </row>
    <row r="136" spans="4:11" x14ac:dyDescent="0.3">
      <c r="D136" s="103"/>
      <c r="E136" s="103"/>
      <c r="F136" s="103"/>
      <c r="G136" s="103"/>
      <c r="H136" s="103"/>
      <c r="I136" s="103"/>
      <c r="J136" s="139"/>
      <c r="K136" s="106"/>
    </row>
    <row r="137" spans="4:11" x14ac:dyDescent="0.3">
      <c r="D137" s="103"/>
      <c r="E137" s="103"/>
      <c r="F137" s="103"/>
      <c r="G137" s="103"/>
      <c r="H137" s="103"/>
      <c r="I137" s="103"/>
      <c r="J137" s="139"/>
      <c r="K137" s="106"/>
    </row>
    <row r="138" spans="4:11" x14ac:dyDescent="0.3">
      <c r="D138" s="103"/>
      <c r="E138" s="103"/>
      <c r="F138" s="103"/>
      <c r="G138" s="103"/>
      <c r="H138" s="103"/>
      <c r="I138" s="103"/>
      <c r="J138" s="139"/>
      <c r="K138" s="106"/>
    </row>
    <row r="139" spans="4:11" x14ac:dyDescent="0.3">
      <c r="D139" s="103"/>
      <c r="E139" s="103"/>
      <c r="F139" s="103"/>
      <c r="G139" s="103"/>
      <c r="H139" s="103"/>
      <c r="I139" s="103"/>
      <c r="J139" s="139"/>
      <c r="K139" s="106"/>
    </row>
    <row r="140" spans="4:11" x14ac:dyDescent="0.3">
      <c r="D140" s="103"/>
      <c r="E140" s="103"/>
      <c r="F140" s="103"/>
      <c r="G140" s="103"/>
      <c r="H140" s="103"/>
      <c r="I140" s="103"/>
      <c r="J140" s="139"/>
      <c r="K140" s="106"/>
    </row>
    <row r="141" spans="4:11" x14ac:dyDescent="0.3">
      <c r="D141" s="103"/>
      <c r="E141" s="103"/>
      <c r="F141" s="103"/>
      <c r="G141" s="103"/>
      <c r="H141" s="103"/>
      <c r="I141" s="103"/>
      <c r="J141" s="139"/>
      <c r="K141" s="106"/>
    </row>
    <row r="142" spans="4:11" x14ac:dyDescent="0.3">
      <c r="D142" s="103"/>
      <c r="E142" s="103"/>
      <c r="F142" s="103"/>
      <c r="G142" s="103"/>
      <c r="H142" s="103"/>
      <c r="I142" s="103"/>
      <c r="J142" s="139"/>
      <c r="K142" s="106"/>
    </row>
    <row r="143" spans="4:11" x14ac:dyDescent="0.3">
      <c r="D143" s="103"/>
      <c r="E143" s="103"/>
      <c r="F143" s="103"/>
      <c r="G143" s="103"/>
      <c r="H143" s="103"/>
      <c r="I143" s="103"/>
      <c r="J143" s="139"/>
      <c r="K143" s="106"/>
    </row>
    <row r="144" spans="4:11" x14ac:dyDescent="0.3">
      <c r="D144" s="103"/>
      <c r="E144" s="103"/>
      <c r="F144" s="103"/>
      <c r="G144" s="103"/>
      <c r="H144" s="103"/>
      <c r="I144" s="103"/>
      <c r="J144" s="139"/>
      <c r="K144" s="106"/>
    </row>
    <row r="145" spans="4:11" x14ac:dyDescent="0.3">
      <c r="D145" s="103"/>
      <c r="E145" s="103"/>
      <c r="F145" s="103"/>
      <c r="G145" s="103"/>
      <c r="H145" s="103"/>
      <c r="I145" s="103"/>
      <c r="J145" s="139"/>
      <c r="K145" s="106"/>
    </row>
    <row r="146" spans="4:11" x14ac:dyDescent="0.3">
      <c r="D146" s="103"/>
      <c r="E146" s="103"/>
      <c r="F146" s="103"/>
      <c r="G146" s="103"/>
      <c r="H146" s="103"/>
      <c r="I146" s="103"/>
      <c r="J146" s="139"/>
      <c r="K146" s="106"/>
    </row>
    <row r="147" spans="4:11" x14ac:dyDescent="0.3">
      <c r="D147" s="103"/>
      <c r="E147" s="103"/>
      <c r="F147" s="103"/>
      <c r="G147" s="103"/>
      <c r="H147" s="103"/>
      <c r="I147" s="103"/>
      <c r="J147" s="139"/>
      <c r="K147" s="106"/>
    </row>
    <row r="148" spans="4:11" x14ac:dyDescent="0.3">
      <c r="D148" s="103"/>
      <c r="E148" s="103"/>
      <c r="F148" s="103"/>
      <c r="G148" s="103"/>
      <c r="H148" s="103"/>
      <c r="I148" s="103"/>
      <c r="J148" s="139"/>
      <c r="K148" s="106"/>
    </row>
    <row r="149" spans="4:11" x14ac:dyDescent="0.3">
      <c r="D149" s="103"/>
      <c r="E149" s="103"/>
      <c r="F149" s="103"/>
      <c r="G149" s="103"/>
      <c r="H149" s="103"/>
      <c r="I149" s="103"/>
      <c r="J149" s="139"/>
      <c r="K149" s="106"/>
    </row>
    <row r="150" spans="4:11" x14ac:dyDescent="0.3">
      <c r="D150" s="103"/>
      <c r="E150" s="103"/>
      <c r="F150" s="103"/>
      <c r="G150" s="103"/>
      <c r="H150" s="103"/>
      <c r="I150" s="103"/>
      <c r="J150" s="139"/>
      <c r="K150" s="106"/>
    </row>
    <row r="151" spans="4:11" x14ac:dyDescent="0.3">
      <c r="D151" s="103"/>
      <c r="E151" s="103"/>
      <c r="F151" s="103"/>
      <c r="G151" s="103"/>
      <c r="H151" s="103"/>
      <c r="I151" s="103"/>
      <c r="J151" s="139"/>
      <c r="K151" s="106"/>
    </row>
    <row r="152" spans="4:11" x14ac:dyDescent="0.3">
      <c r="D152" s="103"/>
      <c r="E152" s="103"/>
      <c r="F152" s="103"/>
      <c r="G152" s="103"/>
      <c r="H152" s="103"/>
      <c r="I152" s="103"/>
      <c r="J152" s="139"/>
      <c r="K152" s="106"/>
    </row>
    <row r="153" spans="4:11" x14ac:dyDescent="0.3">
      <c r="D153" s="103"/>
      <c r="E153" s="103"/>
      <c r="F153" s="103"/>
      <c r="G153" s="103"/>
      <c r="H153" s="103"/>
      <c r="I153" s="103"/>
      <c r="J153" s="139"/>
      <c r="K153" s="106"/>
    </row>
    <row r="154" spans="4:11" x14ac:dyDescent="0.3">
      <c r="D154" s="103"/>
      <c r="E154" s="103"/>
      <c r="F154" s="103"/>
      <c r="G154" s="103"/>
      <c r="H154" s="103"/>
      <c r="I154" s="103"/>
      <c r="J154" s="139"/>
      <c r="K154" s="106"/>
    </row>
    <row r="155" spans="4:11" x14ac:dyDescent="0.3">
      <c r="D155" s="103"/>
      <c r="E155" s="103"/>
      <c r="F155" s="103"/>
      <c r="G155" s="103"/>
      <c r="H155" s="103"/>
      <c r="I155" s="103"/>
      <c r="J155" s="139"/>
      <c r="K155" s="106"/>
    </row>
    <row r="156" spans="4:11" x14ac:dyDescent="0.3">
      <c r="D156" s="103"/>
      <c r="E156" s="103"/>
      <c r="F156" s="103"/>
      <c r="G156" s="103"/>
      <c r="H156" s="103"/>
      <c r="I156" s="103"/>
      <c r="J156" s="139"/>
      <c r="K156" s="106"/>
    </row>
    <row r="157" spans="4:11" x14ac:dyDescent="0.3">
      <c r="D157" s="103"/>
      <c r="E157" s="103"/>
      <c r="F157" s="103"/>
      <c r="G157" s="103"/>
      <c r="H157" s="103"/>
      <c r="I157" s="103"/>
      <c r="J157" s="139"/>
      <c r="K157" s="106"/>
    </row>
    <row r="158" spans="4:11" x14ac:dyDescent="0.3">
      <c r="D158" s="103"/>
      <c r="E158" s="103"/>
      <c r="F158" s="103"/>
      <c r="G158" s="103"/>
      <c r="H158" s="103"/>
      <c r="I158" s="103"/>
      <c r="J158" s="139"/>
      <c r="K158" s="106"/>
    </row>
    <row r="159" spans="4:11" x14ac:dyDescent="0.3">
      <c r="D159" s="103"/>
      <c r="E159" s="103"/>
      <c r="F159" s="103"/>
      <c r="G159" s="103"/>
      <c r="H159" s="103"/>
      <c r="I159" s="103"/>
      <c r="J159" s="139"/>
      <c r="K159" s="106"/>
    </row>
    <row r="160" spans="4:11" x14ac:dyDescent="0.3">
      <c r="D160" s="103"/>
      <c r="E160" s="103"/>
      <c r="F160" s="103"/>
      <c r="G160" s="103"/>
      <c r="H160" s="103"/>
      <c r="I160" s="103"/>
      <c r="J160" s="139"/>
      <c r="K160" s="106"/>
    </row>
    <row r="161" spans="4:11" x14ac:dyDescent="0.3">
      <c r="D161" s="103"/>
      <c r="E161" s="103"/>
      <c r="F161" s="103"/>
      <c r="G161" s="103"/>
      <c r="H161" s="103"/>
      <c r="I161" s="103"/>
      <c r="J161" s="139"/>
      <c r="K161" s="106"/>
    </row>
  </sheetData>
  <sortState ref="B4:J27">
    <sortCondition ref="B4:B27"/>
  </sortState>
  <conditionalFormatting sqref="A1:M1048576">
    <cfRule type="expression" dxfId="215" priority="9">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B7E9C897-A3F1-424C-ACD1-3220672CDC4D}">
            <xm:f>$K1=FilterSpecs!$F$13</xm:f>
            <x14:dxf>
              <font>
                <b/>
                <i val="0"/>
                <color theme="0"/>
              </font>
              <fill>
                <patternFill>
                  <bgColor theme="9" tint="-0.499984740745262"/>
                </patternFill>
              </fill>
            </x14:dxf>
          </x14:cfRule>
          <x14:cfRule type="expression" priority="2" id="{03FCD56F-9484-47B6-86C8-3A1B54397F91}">
            <xm:f>$K1=FilterSpecs!$F$12</xm:f>
            <x14:dxf>
              <font>
                <b/>
                <i val="0"/>
                <color theme="0"/>
              </font>
              <fill>
                <patternFill>
                  <bgColor rgb="FFFF4F4F"/>
                </patternFill>
              </fill>
            </x14:dxf>
          </x14:cfRule>
          <x14:cfRule type="expression" priority="8" id="{483D4AC2-AF81-4DD1-89CB-DF5412C8EE86}">
            <xm:f>$K1=FilterSpecs!$F$9</xm:f>
            <x14:dxf>
              <font>
                <b/>
                <i val="0"/>
                <color theme="0"/>
              </font>
              <fill>
                <patternFill>
                  <bgColor rgb="FFFF0000"/>
                </patternFill>
              </fill>
            </x14:dxf>
          </x14:cfRule>
          <x14:cfRule type="expression" priority="10" id="{2B708964-29EC-42C1-8744-0E95DAE68030}">
            <xm:f>$K1=FilterSpecs!$F$7</xm:f>
            <x14:dxf>
              <font>
                <b/>
                <i val="0"/>
                <color theme="0"/>
              </font>
              <fill>
                <patternFill>
                  <bgColor rgb="FF00B0F0"/>
                </patternFill>
              </fill>
            </x14:dxf>
          </x14:cfRule>
          <x14:cfRule type="expression" priority="11" id="{C48DAB96-0204-4C73-9AFC-3BCB5DE2F7D2}">
            <xm:f>$K1=FilterSpecs!$F$8</xm:f>
            <x14:dxf>
              <font>
                <b/>
                <i val="0"/>
                <color theme="0"/>
              </font>
              <fill>
                <patternFill>
                  <bgColor rgb="FFFFC000"/>
                </patternFill>
              </fill>
            </x14:dxf>
          </x14:cfRule>
          <x14:cfRule type="expression" priority="12" id="{BF52D5D1-1914-4348-8C61-D351D4AD47AE}">
            <xm:f>$K1=FilterSpecs!$F$10</xm:f>
            <x14:dxf>
              <font>
                <b/>
                <i val="0"/>
                <color theme="0"/>
              </font>
              <fill>
                <patternFill>
                  <bgColor rgb="FF002060"/>
                </patternFill>
              </fill>
            </x14:dxf>
          </x14:cfRule>
          <xm:sqref>A1:M1048576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C7929-297C-49EB-A240-D8EA2159D036}">
  <sheetPr codeName="Sheet12"/>
  <dimension ref="A1:XFD219"/>
  <sheetViews>
    <sheetView topLeftCell="A16" workbookViewId="0">
      <selection activeCell="B5" sqref="B5"/>
    </sheetView>
  </sheetViews>
  <sheetFormatPr defaultRowHeight="14.4" x14ac:dyDescent="0.3"/>
  <cols>
    <col min="1" max="1" width="44.88671875" style="102" customWidth="1"/>
    <col min="2" max="2" width="39.6640625" style="102" customWidth="1"/>
    <col min="3" max="3" width="10.21875" style="102" bestFit="1" customWidth="1"/>
    <col min="4" max="4" width="10.77734375" style="102" customWidth="1"/>
    <col min="5" max="5" width="9.21875" style="102" customWidth="1"/>
    <col min="6" max="6" width="9.5546875" style="105" hidden="1" customWidth="1"/>
    <col min="7" max="7" width="0.109375" style="105" customWidth="1"/>
    <col min="8" max="8" width="57.21875" style="102" customWidth="1"/>
    <col min="9" max="9" width="0.21875" style="105" hidden="1" customWidth="1"/>
    <col min="10" max="10" width="12.88671875" style="102" bestFit="1" customWidth="1"/>
    <col min="11" max="11" width="12.88671875" style="102" customWidth="1"/>
    <col min="12" max="12" width="123.109375" style="105" customWidth="1"/>
    <col min="13" max="16384" width="8.88671875" style="105"/>
  </cols>
  <sheetData>
    <row r="1" spans="1:16384" s="77" customFormat="1" ht="15.6" thickTop="1" thickBot="1" x14ac:dyDescent="0.35">
      <c r="A1" s="88" t="s">
        <v>893</v>
      </c>
      <c r="B1" s="88" t="s">
        <v>163</v>
      </c>
      <c r="C1" s="88" t="s">
        <v>7</v>
      </c>
      <c r="D1" s="88" t="s">
        <v>25</v>
      </c>
      <c r="E1" s="88" t="s">
        <v>26</v>
      </c>
      <c r="F1" s="77" t="s">
        <v>27</v>
      </c>
      <c r="G1" s="77" t="s">
        <v>28</v>
      </c>
      <c r="H1" s="88" t="s">
        <v>29</v>
      </c>
      <c r="I1" s="77" t="s">
        <v>30</v>
      </c>
      <c r="J1" s="88" t="s">
        <v>31</v>
      </c>
      <c r="K1" s="88"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2" t="s">
        <v>1070</v>
      </c>
      <c r="B2" s="102" t="s">
        <v>1603</v>
      </c>
      <c r="C2" s="102" t="s">
        <v>8</v>
      </c>
      <c r="D2" s="103" t="s">
        <v>1527</v>
      </c>
      <c r="E2" s="103">
        <v>1</v>
      </c>
      <c r="F2" s="103" t="s">
        <v>1528</v>
      </c>
      <c r="G2" s="103" t="s">
        <v>1529</v>
      </c>
      <c r="H2" s="103" t="s">
        <v>1530</v>
      </c>
      <c r="I2" s="103">
        <v>1</v>
      </c>
      <c r="J2" s="103">
        <v>24.95</v>
      </c>
      <c r="K2" s="103" t="s">
        <v>1914</v>
      </c>
      <c r="M2" s="105">
        <f>E2*J2</f>
        <v>24.95</v>
      </c>
    </row>
    <row r="3" spans="1:16384" x14ac:dyDescent="0.3">
      <c r="A3" s="102" t="s">
        <v>1070</v>
      </c>
      <c r="B3" s="102" t="s">
        <v>1013</v>
      </c>
      <c r="C3" s="102" t="s">
        <v>8</v>
      </c>
      <c r="D3" s="103" t="s">
        <v>949</v>
      </c>
      <c r="E3" s="103">
        <v>1</v>
      </c>
      <c r="F3" s="103" t="s">
        <v>950</v>
      </c>
      <c r="G3" s="103" t="s">
        <v>951</v>
      </c>
      <c r="H3" s="103" t="s">
        <v>952</v>
      </c>
      <c r="I3" s="103"/>
      <c r="J3" s="103">
        <v>11.95</v>
      </c>
      <c r="K3" s="103" t="s">
        <v>1914</v>
      </c>
      <c r="L3" s="103" t="s">
        <v>1063</v>
      </c>
      <c r="M3" s="105">
        <f t="shared" ref="M3:M24" si="0">E3*J3</f>
        <v>11.95</v>
      </c>
    </row>
    <row r="4" spans="1:16384" x14ac:dyDescent="0.3">
      <c r="A4" s="102" t="s">
        <v>1070</v>
      </c>
      <c r="B4" s="102" t="s">
        <v>1013</v>
      </c>
      <c r="C4" s="102" t="s">
        <v>8</v>
      </c>
      <c r="D4" s="103" t="s">
        <v>969</v>
      </c>
      <c r="E4" s="103">
        <v>1</v>
      </c>
      <c r="F4" s="103" t="s">
        <v>970</v>
      </c>
      <c r="G4" s="103" t="s">
        <v>971</v>
      </c>
      <c r="H4" s="103" t="s">
        <v>972</v>
      </c>
      <c r="I4" s="103">
        <v>1</v>
      </c>
      <c r="J4" s="103">
        <v>49.95</v>
      </c>
      <c r="K4" s="103" t="s">
        <v>1914</v>
      </c>
      <c r="L4" s="103" t="s">
        <v>1056</v>
      </c>
      <c r="M4" s="105">
        <f t="shared" si="0"/>
        <v>49.95</v>
      </c>
    </row>
    <row r="5" spans="1:16384" x14ac:dyDescent="0.3">
      <c r="A5" s="102" t="s">
        <v>1070</v>
      </c>
      <c r="B5" s="117" t="s">
        <v>1013</v>
      </c>
      <c r="C5" s="102" t="s">
        <v>8</v>
      </c>
      <c r="D5" s="103" t="s">
        <v>989</v>
      </c>
      <c r="E5" s="103">
        <v>0</v>
      </c>
      <c r="F5" s="103" t="s">
        <v>990</v>
      </c>
      <c r="G5" s="103" t="s">
        <v>991</v>
      </c>
      <c r="H5" s="103" t="s">
        <v>992</v>
      </c>
      <c r="I5" s="103">
        <v>1</v>
      </c>
      <c r="J5" s="103">
        <v>44.95</v>
      </c>
      <c r="K5" s="103" t="s">
        <v>1914</v>
      </c>
      <c r="L5" s="103" t="s">
        <v>1057</v>
      </c>
      <c r="M5" s="105">
        <f t="shared" si="0"/>
        <v>0</v>
      </c>
    </row>
    <row r="6" spans="1:16384" x14ac:dyDescent="0.3">
      <c r="A6" s="102" t="s">
        <v>1070</v>
      </c>
      <c r="B6" s="102" t="s">
        <v>1013</v>
      </c>
      <c r="C6" s="102" t="s">
        <v>8</v>
      </c>
      <c r="D6" s="103" t="s">
        <v>953</v>
      </c>
      <c r="E6" s="103">
        <v>1</v>
      </c>
      <c r="F6" s="103" t="s">
        <v>954</v>
      </c>
      <c r="G6" s="103" t="s">
        <v>955</v>
      </c>
      <c r="H6" s="103" t="s">
        <v>956</v>
      </c>
      <c r="I6" s="103">
        <v>1</v>
      </c>
      <c r="J6" s="103">
        <v>59.95</v>
      </c>
      <c r="K6" s="103" t="s">
        <v>1914</v>
      </c>
      <c r="L6" s="103" t="s">
        <v>1057</v>
      </c>
      <c r="M6" s="105">
        <f t="shared" si="0"/>
        <v>59.95</v>
      </c>
    </row>
    <row r="7" spans="1:16384" x14ac:dyDescent="0.3">
      <c r="A7" s="103" t="s">
        <v>1070</v>
      </c>
      <c r="B7" s="103" t="s">
        <v>1013</v>
      </c>
      <c r="C7" s="103" t="s">
        <v>1898</v>
      </c>
      <c r="D7" s="103" t="s">
        <v>2094</v>
      </c>
      <c r="E7" s="103">
        <v>0</v>
      </c>
      <c r="F7" s="103"/>
      <c r="G7" s="103"/>
      <c r="H7" s="103" t="s">
        <v>2095</v>
      </c>
      <c r="I7" s="103"/>
      <c r="J7" s="103">
        <v>44.95</v>
      </c>
      <c r="K7" s="103" t="s">
        <v>1910</v>
      </c>
    </row>
    <row r="8" spans="1:16384" x14ac:dyDescent="0.3">
      <c r="A8" s="103" t="s">
        <v>1070</v>
      </c>
      <c r="B8" s="103" t="s">
        <v>2065</v>
      </c>
      <c r="C8" s="103" t="s">
        <v>1898</v>
      </c>
      <c r="D8" s="103" t="s">
        <v>2073</v>
      </c>
      <c r="E8" s="103">
        <v>1</v>
      </c>
      <c r="F8" s="103"/>
      <c r="G8" s="103"/>
      <c r="H8" s="103" t="s">
        <v>2072</v>
      </c>
      <c r="I8" s="103"/>
      <c r="J8" s="103">
        <v>39.950000000000003</v>
      </c>
      <c r="K8" s="103" t="s">
        <v>1910</v>
      </c>
    </row>
    <row r="9" spans="1:16384" x14ac:dyDescent="0.3">
      <c r="A9" s="103" t="s">
        <v>1070</v>
      </c>
      <c r="B9" s="103" t="s">
        <v>2065</v>
      </c>
      <c r="C9" s="103" t="s">
        <v>1898</v>
      </c>
      <c r="D9" s="103" t="s">
        <v>2071</v>
      </c>
      <c r="E9" s="103">
        <v>1</v>
      </c>
      <c r="F9" s="103"/>
      <c r="G9" s="103"/>
      <c r="H9" s="102" t="s">
        <v>2070</v>
      </c>
      <c r="J9" s="102">
        <v>9</v>
      </c>
      <c r="K9" s="102" t="s">
        <v>1910</v>
      </c>
    </row>
    <row r="10" spans="1:16384" x14ac:dyDescent="0.3">
      <c r="A10" s="103" t="s">
        <v>1070</v>
      </c>
      <c r="B10" s="103" t="s">
        <v>2065</v>
      </c>
      <c r="C10" s="103" t="s">
        <v>1898</v>
      </c>
      <c r="D10" s="103" t="s">
        <v>2069</v>
      </c>
      <c r="E10" s="103">
        <v>1</v>
      </c>
      <c r="F10" s="103"/>
      <c r="G10" s="103"/>
      <c r="H10" s="102" t="s">
        <v>2068</v>
      </c>
      <c r="J10" s="102">
        <v>2.95</v>
      </c>
      <c r="K10" s="102" t="s">
        <v>1910</v>
      </c>
    </row>
    <row r="11" spans="1:16384" x14ac:dyDescent="0.3">
      <c r="A11" s="102" t="s">
        <v>1070</v>
      </c>
      <c r="B11" s="125" t="s">
        <v>1439</v>
      </c>
      <c r="C11" s="102" t="s">
        <v>8</v>
      </c>
      <c r="D11" s="103" t="s">
        <v>1405</v>
      </c>
      <c r="E11" s="103">
        <v>1</v>
      </c>
      <c r="F11" s="103" t="s">
        <v>1406</v>
      </c>
      <c r="G11" s="103" t="s">
        <v>1407</v>
      </c>
      <c r="H11" s="103" t="s">
        <v>1408</v>
      </c>
      <c r="I11" s="103"/>
      <c r="J11" s="103">
        <v>149.94999999999999</v>
      </c>
      <c r="K11" s="103" t="s">
        <v>1914</v>
      </c>
      <c r="M11" s="105">
        <f t="shared" si="0"/>
        <v>149.94999999999999</v>
      </c>
    </row>
    <row r="12" spans="1:16384" x14ac:dyDescent="0.3">
      <c r="A12" s="102" t="s">
        <v>1070</v>
      </c>
      <c r="B12" s="117" t="s">
        <v>1014</v>
      </c>
      <c r="C12" s="102" t="s">
        <v>8</v>
      </c>
      <c r="D12" s="103" t="s">
        <v>957</v>
      </c>
      <c r="E12" s="103">
        <v>1</v>
      </c>
      <c r="F12" s="103" t="s">
        <v>958</v>
      </c>
      <c r="G12" s="103" t="s">
        <v>959</v>
      </c>
      <c r="H12" s="103" t="s">
        <v>960</v>
      </c>
      <c r="I12" s="103">
        <v>1</v>
      </c>
      <c r="J12" s="103">
        <v>4.95</v>
      </c>
      <c r="K12" s="103" t="s">
        <v>1914</v>
      </c>
      <c r="L12" s="103" t="s">
        <v>1065</v>
      </c>
      <c r="M12" s="105">
        <f t="shared" si="0"/>
        <v>4.95</v>
      </c>
    </row>
    <row r="13" spans="1:16384" x14ac:dyDescent="0.3">
      <c r="A13" s="102" t="s">
        <v>1070</v>
      </c>
      <c r="B13" s="117" t="s">
        <v>1014</v>
      </c>
      <c r="C13" s="102" t="s">
        <v>8</v>
      </c>
      <c r="D13" s="103" t="s">
        <v>973</v>
      </c>
      <c r="E13" s="103">
        <v>1</v>
      </c>
      <c r="F13" s="103" t="s">
        <v>974</v>
      </c>
      <c r="G13" s="103" t="s">
        <v>975</v>
      </c>
      <c r="H13" s="103" t="s">
        <v>976</v>
      </c>
      <c r="I13" s="103">
        <v>1</v>
      </c>
      <c r="J13" s="103">
        <v>349</v>
      </c>
      <c r="K13" s="103" t="s">
        <v>1914</v>
      </c>
      <c r="L13" s="103" t="s">
        <v>1058</v>
      </c>
      <c r="M13" s="105">
        <f t="shared" si="0"/>
        <v>349</v>
      </c>
    </row>
    <row r="14" spans="1:16384" ht="16.2" customHeight="1" x14ac:dyDescent="0.3">
      <c r="A14" s="102" t="s">
        <v>1070</v>
      </c>
      <c r="B14" s="117" t="s">
        <v>1014</v>
      </c>
      <c r="C14" s="102" t="s">
        <v>8</v>
      </c>
      <c r="D14" s="103" t="s">
        <v>1032</v>
      </c>
      <c r="E14" s="103">
        <v>1</v>
      </c>
      <c r="F14" s="126" t="s">
        <v>1034</v>
      </c>
      <c r="G14" s="102" t="s">
        <v>1033</v>
      </c>
      <c r="H14" s="103" t="s">
        <v>1031</v>
      </c>
      <c r="I14" s="103">
        <v>1</v>
      </c>
      <c r="J14" s="103">
        <v>14.95</v>
      </c>
      <c r="K14" s="103" t="s">
        <v>1914</v>
      </c>
      <c r="L14" s="103" t="s">
        <v>1064</v>
      </c>
      <c r="M14" s="105">
        <f t="shared" si="0"/>
        <v>14.95</v>
      </c>
    </row>
    <row r="15" spans="1:16384" x14ac:dyDescent="0.3">
      <c r="A15" s="102" t="s">
        <v>1070</v>
      </c>
      <c r="B15" s="125" t="s">
        <v>993</v>
      </c>
      <c r="C15" s="102" t="s">
        <v>8</v>
      </c>
      <c r="D15" s="103" t="s">
        <v>917</v>
      </c>
      <c r="E15" s="103">
        <v>1</v>
      </c>
      <c r="F15" s="103" t="s">
        <v>918</v>
      </c>
      <c r="G15" s="103" t="s">
        <v>919</v>
      </c>
      <c r="H15" s="103" t="s">
        <v>920</v>
      </c>
      <c r="I15" s="103">
        <v>1</v>
      </c>
      <c r="J15" s="103">
        <v>24.95</v>
      </c>
      <c r="K15" s="103" t="s">
        <v>1914</v>
      </c>
      <c r="L15" s="103" t="s">
        <v>1059</v>
      </c>
      <c r="M15" s="105">
        <f t="shared" si="0"/>
        <v>24.95</v>
      </c>
    </row>
    <row r="16" spans="1:16384" x14ac:dyDescent="0.3">
      <c r="A16" s="102" t="s">
        <v>1070</v>
      </c>
      <c r="B16" s="102" t="s">
        <v>993</v>
      </c>
      <c r="C16" s="102" t="s">
        <v>8</v>
      </c>
      <c r="D16" s="103" t="s">
        <v>921</v>
      </c>
      <c r="E16" s="103">
        <v>1</v>
      </c>
      <c r="F16" s="103" t="s">
        <v>922</v>
      </c>
      <c r="G16" s="103" t="s">
        <v>923</v>
      </c>
      <c r="H16" s="103" t="s">
        <v>924</v>
      </c>
      <c r="I16" s="103">
        <v>1</v>
      </c>
      <c r="J16" s="103">
        <v>14.95</v>
      </c>
      <c r="K16" s="103" t="s">
        <v>1914</v>
      </c>
      <c r="L16" s="103" t="s">
        <v>1059</v>
      </c>
      <c r="M16" s="105">
        <f t="shared" si="0"/>
        <v>14.95</v>
      </c>
    </row>
    <row r="17" spans="1:13" x14ac:dyDescent="0.3">
      <c r="A17" s="102" t="s">
        <v>1070</v>
      </c>
      <c r="B17" s="117" t="s">
        <v>1438</v>
      </c>
      <c r="C17" s="102" t="s">
        <v>8</v>
      </c>
      <c r="D17" s="103" t="s">
        <v>985</v>
      </c>
      <c r="E17" s="103">
        <v>0</v>
      </c>
      <c r="F17" s="103" t="s">
        <v>986</v>
      </c>
      <c r="G17" s="103" t="s">
        <v>987</v>
      </c>
      <c r="H17" s="103" t="s">
        <v>988</v>
      </c>
      <c r="I17" s="103">
        <v>1</v>
      </c>
      <c r="J17" s="103">
        <v>179.95</v>
      </c>
      <c r="K17" s="103" t="s">
        <v>1914</v>
      </c>
      <c r="L17" s="103" t="s">
        <v>1060</v>
      </c>
      <c r="M17" s="105">
        <f t="shared" si="0"/>
        <v>0</v>
      </c>
    </row>
    <row r="18" spans="1:13" x14ac:dyDescent="0.3">
      <c r="A18" s="102" t="s">
        <v>1070</v>
      </c>
      <c r="B18" s="117" t="s">
        <v>1438</v>
      </c>
      <c r="C18" s="102" t="s">
        <v>8</v>
      </c>
      <c r="D18" s="103" t="s">
        <v>1783</v>
      </c>
      <c r="E18" s="103">
        <v>1</v>
      </c>
      <c r="F18" s="103" t="s">
        <v>1784</v>
      </c>
      <c r="G18" s="103" t="s">
        <v>1785</v>
      </c>
      <c r="H18" s="103" t="s">
        <v>1786</v>
      </c>
      <c r="I18" s="103"/>
      <c r="J18" s="103">
        <v>84.95</v>
      </c>
      <c r="K18" s="103" t="s">
        <v>1914</v>
      </c>
      <c r="M18" s="105">
        <f t="shared" si="0"/>
        <v>84.95</v>
      </c>
    </row>
    <row r="19" spans="1:13" x14ac:dyDescent="0.3">
      <c r="A19" s="102" t="s">
        <v>1070</v>
      </c>
      <c r="B19" s="117" t="s">
        <v>1438</v>
      </c>
      <c r="C19" s="102" t="s">
        <v>8</v>
      </c>
      <c r="D19" s="103" t="s">
        <v>1747</v>
      </c>
      <c r="E19" s="103">
        <v>0</v>
      </c>
      <c r="F19" s="103" t="s">
        <v>1748</v>
      </c>
      <c r="G19" s="103" t="s">
        <v>1749</v>
      </c>
      <c r="H19" s="103" t="s">
        <v>1750</v>
      </c>
      <c r="I19" s="103">
        <v>1</v>
      </c>
      <c r="J19" s="103">
        <v>84.95</v>
      </c>
      <c r="K19" s="103" t="s">
        <v>1914</v>
      </c>
      <c r="M19" s="105">
        <f t="shared" si="0"/>
        <v>0</v>
      </c>
    </row>
    <row r="20" spans="1:13" x14ac:dyDescent="0.3">
      <c r="A20" s="103" t="s">
        <v>1070</v>
      </c>
      <c r="B20" s="103" t="s">
        <v>1438</v>
      </c>
      <c r="C20" s="103" t="s">
        <v>1898</v>
      </c>
      <c r="D20" s="103" t="s">
        <v>2096</v>
      </c>
      <c r="E20" s="103">
        <v>0</v>
      </c>
      <c r="F20" s="103"/>
      <c r="G20" s="103"/>
      <c r="H20" s="102" t="s">
        <v>2097</v>
      </c>
      <c r="J20" s="102">
        <v>39.950000000000003</v>
      </c>
      <c r="K20" s="102" t="s">
        <v>1910</v>
      </c>
    </row>
    <row r="21" spans="1:13" x14ac:dyDescent="0.3">
      <c r="A21" s="103" t="s">
        <v>1070</v>
      </c>
      <c r="B21" s="103" t="s">
        <v>1438</v>
      </c>
      <c r="C21" s="103" t="s">
        <v>1898</v>
      </c>
      <c r="D21" s="103" t="s">
        <v>2098</v>
      </c>
      <c r="E21" s="103">
        <v>0</v>
      </c>
      <c r="F21" s="103"/>
      <c r="G21" s="103"/>
      <c r="H21" s="102" t="s">
        <v>2099</v>
      </c>
      <c r="J21" s="102">
        <v>44.95</v>
      </c>
      <c r="K21" s="102" t="s">
        <v>1910</v>
      </c>
    </row>
    <row r="22" spans="1:13" x14ac:dyDescent="0.3">
      <c r="A22" s="102" t="s">
        <v>1070</v>
      </c>
      <c r="B22" s="117" t="s">
        <v>1438</v>
      </c>
      <c r="C22" s="102" t="s">
        <v>8</v>
      </c>
      <c r="D22" s="103" t="s">
        <v>1743</v>
      </c>
      <c r="E22" s="103">
        <v>1</v>
      </c>
      <c r="F22" s="103" t="s">
        <v>1744</v>
      </c>
      <c r="G22" s="103" t="s">
        <v>1745</v>
      </c>
      <c r="H22" s="103" t="s">
        <v>1746</v>
      </c>
      <c r="I22" s="103">
        <v>1</v>
      </c>
      <c r="J22" s="103">
        <v>24.95</v>
      </c>
      <c r="K22" s="103" t="s">
        <v>1914</v>
      </c>
      <c r="M22" s="105">
        <f t="shared" si="0"/>
        <v>24.95</v>
      </c>
    </row>
    <row r="23" spans="1:13" x14ac:dyDescent="0.3">
      <c r="A23" s="102" t="s">
        <v>1070</v>
      </c>
      <c r="B23" s="117" t="s">
        <v>1071</v>
      </c>
      <c r="C23" s="102" t="s">
        <v>8</v>
      </c>
      <c r="D23" s="103" t="s">
        <v>981</v>
      </c>
      <c r="E23" s="103">
        <v>1</v>
      </c>
      <c r="F23" s="103" t="s">
        <v>982</v>
      </c>
      <c r="G23" s="103" t="s">
        <v>983</v>
      </c>
      <c r="H23" s="103" t="s">
        <v>984</v>
      </c>
      <c r="I23" s="103"/>
      <c r="J23" s="103">
        <v>209.95</v>
      </c>
      <c r="K23" s="103" t="s">
        <v>1914</v>
      </c>
      <c r="L23" s="103" t="s">
        <v>1062</v>
      </c>
      <c r="M23" s="105">
        <f t="shared" si="0"/>
        <v>209.95</v>
      </c>
    </row>
    <row r="24" spans="1:13" x14ac:dyDescent="0.3">
      <c r="A24" s="102" t="s">
        <v>1070</v>
      </c>
      <c r="B24" s="117" t="s">
        <v>1437</v>
      </c>
      <c r="C24" s="102" t="s">
        <v>8</v>
      </c>
      <c r="D24" s="103" t="s">
        <v>977</v>
      </c>
      <c r="E24" s="103">
        <v>1</v>
      </c>
      <c r="F24" s="103" t="s">
        <v>978</v>
      </c>
      <c r="G24" s="103" t="s">
        <v>979</v>
      </c>
      <c r="H24" s="103" t="s">
        <v>980</v>
      </c>
      <c r="I24" s="103">
        <v>1</v>
      </c>
      <c r="J24" s="103">
        <v>49.95</v>
      </c>
      <c r="K24" s="103" t="s">
        <v>1910</v>
      </c>
      <c r="L24" s="103" t="s">
        <v>1061</v>
      </c>
      <c r="M24" s="105">
        <f t="shared" si="0"/>
        <v>49.95</v>
      </c>
    </row>
    <row r="25" spans="1:13" x14ac:dyDescent="0.3">
      <c r="A25" s="102" t="s">
        <v>1070</v>
      </c>
      <c r="B25" s="117" t="s">
        <v>2023</v>
      </c>
      <c r="C25" s="102" t="s">
        <v>1898</v>
      </c>
      <c r="D25" s="103" t="s">
        <v>2348</v>
      </c>
      <c r="E25" s="103">
        <v>0</v>
      </c>
      <c r="F25" s="103"/>
      <c r="G25" s="103"/>
      <c r="H25" s="103" t="s">
        <v>2349</v>
      </c>
      <c r="I25" s="103"/>
      <c r="J25" s="103">
        <v>9.9499999999999993</v>
      </c>
      <c r="K25" s="103" t="s">
        <v>1910</v>
      </c>
      <c r="L25" s="127"/>
    </row>
    <row r="26" spans="1:13" x14ac:dyDescent="0.3">
      <c r="A26" s="102" t="s">
        <v>1070</v>
      </c>
      <c r="B26" s="117" t="s">
        <v>2023</v>
      </c>
      <c r="C26" s="102" t="s">
        <v>1898</v>
      </c>
      <c r="D26" s="103" t="s">
        <v>2350</v>
      </c>
      <c r="E26" s="103">
        <v>0</v>
      </c>
      <c r="F26" s="103"/>
      <c r="G26" s="103"/>
      <c r="H26" s="103" t="s">
        <v>2351</v>
      </c>
      <c r="I26" s="103"/>
      <c r="J26" s="103">
        <v>24.95</v>
      </c>
      <c r="K26" s="103" t="s">
        <v>1910</v>
      </c>
      <c r="L26" s="127"/>
    </row>
    <row r="27" spans="1:13" x14ac:dyDescent="0.3">
      <c r="A27" s="102" t="s">
        <v>1070</v>
      </c>
      <c r="B27" s="117" t="s">
        <v>2023</v>
      </c>
      <c r="C27" s="102" t="s">
        <v>1898</v>
      </c>
      <c r="D27" s="103" t="s">
        <v>2352</v>
      </c>
      <c r="E27" s="103">
        <v>0</v>
      </c>
      <c r="F27" s="103"/>
      <c r="G27" s="103"/>
      <c r="H27" s="103" t="s">
        <v>2353</v>
      </c>
      <c r="I27" s="103"/>
      <c r="J27" s="103">
        <v>26.95</v>
      </c>
      <c r="K27" s="103" t="s">
        <v>1913</v>
      </c>
      <c r="L27" s="127"/>
    </row>
    <row r="28" spans="1:13" x14ac:dyDescent="0.3">
      <c r="A28" s="102" t="s">
        <v>1070</v>
      </c>
      <c r="B28" s="117" t="s">
        <v>2023</v>
      </c>
      <c r="C28" s="102" t="s">
        <v>1898</v>
      </c>
      <c r="D28" s="103" t="s">
        <v>2354</v>
      </c>
      <c r="E28" s="103">
        <v>0</v>
      </c>
      <c r="F28" s="103"/>
      <c r="G28" s="103"/>
      <c r="H28" s="103" t="s">
        <v>2355</v>
      </c>
      <c r="I28" s="103"/>
      <c r="J28" s="103">
        <v>14.95</v>
      </c>
      <c r="K28" s="103" t="s">
        <v>1910</v>
      </c>
      <c r="L28" s="127"/>
    </row>
    <row r="29" spans="1:13" x14ac:dyDescent="0.3">
      <c r="A29" s="102">
        <f>COUNTA(A2:A28)</f>
        <v>27</v>
      </c>
      <c r="E29" s="102">
        <f>SUM(E2:E24)</f>
        <v>17</v>
      </c>
      <c r="J29" s="102">
        <f>AVERAGE(J2:J24)</f>
        <v>68.128260869565239</v>
      </c>
      <c r="M29" s="105">
        <f>SUM(M2:M24)</f>
        <v>1075.3500000000004</v>
      </c>
    </row>
    <row r="36" spans="4:12" x14ac:dyDescent="0.3">
      <c r="D36" s="103"/>
      <c r="E36" s="103"/>
      <c r="F36" s="103"/>
      <c r="G36" s="103"/>
      <c r="H36" s="103"/>
      <c r="I36" s="103"/>
      <c r="J36" s="103"/>
      <c r="K36" s="103"/>
      <c r="L36" s="127"/>
    </row>
    <row r="37" spans="4:12" x14ac:dyDescent="0.3">
      <c r="D37" s="103"/>
      <c r="E37" s="103"/>
      <c r="F37" s="103"/>
      <c r="G37" s="103"/>
      <c r="H37" s="103"/>
      <c r="I37" s="103"/>
      <c r="J37" s="103"/>
      <c r="K37" s="103"/>
      <c r="L37" s="127"/>
    </row>
    <row r="38" spans="4:12" x14ac:dyDescent="0.3">
      <c r="D38" s="103"/>
      <c r="E38" s="103"/>
      <c r="F38" s="103"/>
      <c r="G38" s="103"/>
      <c r="H38" s="103"/>
      <c r="I38" s="103"/>
      <c r="J38" s="103"/>
      <c r="K38" s="103"/>
      <c r="L38" s="127"/>
    </row>
    <row r="39" spans="4:12" x14ac:dyDescent="0.3">
      <c r="D39" s="103"/>
      <c r="E39" s="103"/>
      <c r="F39" s="103"/>
      <c r="G39" s="103"/>
      <c r="H39" s="103"/>
      <c r="I39" s="103"/>
      <c r="J39" s="103"/>
      <c r="K39" s="103"/>
    </row>
    <row r="40" spans="4:12" x14ac:dyDescent="0.3">
      <c r="D40" s="103"/>
      <c r="E40" s="103"/>
      <c r="F40" s="103"/>
      <c r="G40" s="103"/>
      <c r="H40" s="103"/>
      <c r="I40" s="103"/>
      <c r="J40" s="103"/>
      <c r="K40" s="103"/>
    </row>
    <row r="41" spans="4:12" x14ac:dyDescent="0.3">
      <c r="D41" s="103"/>
      <c r="E41" s="103"/>
      <c r="F41" s="103"/>
      <c r="G41" s="103"/>
      <c r="H41" s="103"/>
      <c r="I41" s="103"/>
      <c r="J41" s="103"/>
      <c r="K41" s="103"/>
    </row>
    <row r="42" spans="4:12" x14ac:dyDescent="0.3">
      <c r="D42" s="103"/>
      <c r="E42" s="103"/>
      <c r="F42" s="103"/>
      <c r="G42" s="103"/>
      <c r="H42" s="103"/>
      <c r="I42" s="103"/>
      <c r="J42" s="103"/>
      <c r="K42" s="103"/>
    </row>
    <row r="43" spans="4:12" x14ac:dyDescent="0.3">
      <c r="D43" s="103"/>
      <c r="E43" s="103"/>
      <c r="F43" s="103"/>
      <c r="G43" s="103"/>
      <c r="H43" s="103"/>
      <c r="I43" s="103"/>
      <c r="J43" s="103"/>
      <c r="K43" s="103"/>
    </row>
    <row r="44" spans="4:12" x14ac:dyDescent="0.3">
      <c r="D44" s="103"/>
      <c r="E44" s="103"/>
      <c r="F44" s="103"/>
      <c r="G44" s="103"/>
      <c r="H44" s="103"/>
      <c r="I44" s="103"/>
      <c r="J44" s="103"/>
      <c r="K44" s="103"/>
    </row>
    <row r="45" spans="4:12" x14ac:dyDescent="0.3">
      <c r="D45" s="103"/>
      <c r="E45" s="103"/>
      <c r="F45" s="103"/>
      <c r="G45" s="103"/>
      <c r="H45" s="103"/>
      <c r="I45" s="103"/>
      <c r="J45" s="103"/>
      <c r="K45" s="103"/>
    </row>
    <row r="46" spans="4:12" x14ac:dyDescent="0.3">
      <c r="D46" s="103"/>
      <c r="E46" s="103"/>
      <c r="F46" s="103"/>
      <c r="G46" s="103"/>
      <c r="H46" s="103"/>
      <c r="I46" s="103"/>
      <c r="J46" s="103"/>
      <c r="K46" s="103"/>
    </row>
    <row r="47" spans="4:12" x14ac:dyDescent="0.3">
      <c r="D47" s="103"/>
      <c r="E47" s="103"/>
      <c r="F47" s="103"/>
      <c r="G47" s="103"/>
      <c r="H47" s="103"/>
      <c r="I47" s="103"/>
      <c r="J47" s="103"/>
      <c r="K47" s="103"/>
    </row>
    <row r="48" spans="4:12" x14ac:dyDescent="0.3">
      <c r="D48" s="103"/>
      <c r="E48" s="103"/>
      <c r="F48" s="103"/>
      <c r="G48" s="103"/>
      <c r="H48" s="103"/>
      <c r="I48" s="103"/>
      <c r="J48" s="103"/>
      <c r="K48" s="103"/>
    </row>
    <row r="49" spans="4:11" x14ac:dyDescent="0.3">
      <c r="D49" s="103"/>
      <c r="E49" s="103"/>
      <c r="F49" s="103"/>
      <c r="G49" s="103"/>
      <c r="H49" s="103"/>
      <c r="I49" s="103"/>
      <c r="J49" s="103"/>
      <c r="K49" s="103"/>
    </row>
    <row r="50" spans="4:11" x14ac:dyDescent="0.3">
      <c r="D50" s="103"/>
      <c r="E50" s="103"/>
      <c r="F50" s="103"/>
      <c r="G50" s="103"/>
      <c r="H50" s="103"/>
      <c r="I50" s="103"/>
      <c r="J50" s="103"/>
      <c r="K50" s="103"/>
    </row>
    <row r="51" spans="4:11" x14ac:dyDescent="0.3">
      <c r="D51" s="103"/>
      <c r="E51" s="103"/>
      <c r="F51" s="103"/>
      <c r="G51" s="103"/>
      <c r="H51" s="103"/>
      <c r="I51" s="103"/>
      <c r="J51" s="103"/>
      <c r="K51" s="103"/>
    </row>
    <row r="52" spans="4:11" x14ac:dyDescent="0.3">
      <c r="D52" s="103"/>
      <c r="E52" s="103"/>
      <c r="F52" s="103"/>
      <c r="G52" s="103"/>
      <c r="H52" s="103"/>
      <c r="I52" s="103"/>
      <c r="J52" s="103"/>
      <c r="K52" s="103"/>
    </row>
    <row r="53" spans="4:11" x14ac:dyDescent="0.3">
      <c r="D53" s="103"/>
      <c r="E53" s="103"/>
      <c r="F53" s="103"/>
      <c r="G53" s="103"/>
      <c r="H53" s="103"/>
      <c r="I53" s="103"/>
      <c r="J53" s="103"/>
      <c r="K53" s="103"/>
    </row>
    <row r="54" spans="4:11" x14ac:dyDescent="0.3">
      <c r="D54" s="103"/>
      <c r="E54" s="103"/>
      <c r="F54" s="103"/>
      <c r="G54" s="103"/>
      <c r="H54" s="103"/>
      <c r="I54" s="103"/>
      <c r="J54" s="103"/>
      <c r="K54" s="103"/>
    </row>
    <row r="55" spans="4:11" x14ac:dyDescent="0.3">
      <c r="D55" s="103"/>
      <c r="E55" s="103"/>
      <c r="F55" s="103"/>
      <c r="G55" s="103"/>
      <c r="H55" s="103"/>
      <c r="I55" s="103"/>
      <c r="J55" s="103"/>
      <c r="K55" s="103"/>
    </row>
    <row r="56" spans="4:11" x14ac:dyDescent="0.3">
      <c r="D56" s="103"/>
      <c r="E56" s="103"/>
      <c r="F56" s="103"/>
      <c r="G56" s="103"/>
      <c r="H56" s="103"/>
      <c r="I56" s="103"/>
      <c r="J56" s="103"/>
      <c r="K56" s="103"/>
    </row>
    <row r="57" spans="4:11" x14ac:dyDescent="0.3">
      <c r="D57" s="103"/>
      <c r="E57" s="103"/>
      <c r="F57" s="103"/>
      <c r="G57" s="103"/>
      <c r="H57" s="103"/>
      <c r="I57" s="103"/>
      <c r="J57" s="103"/>
      <c r="K57" s="103"/>
    </row>
    <row r="58" spans="4:11" x14ac:dyDescent="0.3">
      <c r="D58" s="103"/>
      <c r="E58" s="103"/>
      <c r="F58" s="103"/>
      <c r="G58" s="103"/>
      <c r="H58" s="103"/>
      <c r="I58" s="103"/>
      <c r="J58" s="103"/>
      <c r="K58" s="103"/>
    </row>
    <row r="59" spans="4:11" x14ac:dyDescent="0.3">
      <c r="D59" s="103"/>
      <c r="E59" s="103"/>
      <c r="F59" s="103"/>
      <c r="G59" s="103"/>
      <c r="H59" s="103"/>
      <c r="I59" s="103"/>
      <c r="J59" s="103"/>
      <c r="K59" s="103"/>
    </row>
    <row r="60" spans="4:11" x14ac:dyDescent="0.3">
      <c r="D60" s="103"/>
      <c r="E60" s="103"/>
      <c r="F60" s="103"/>
      <c r="G60" s="103"/>
      <c r="H60" s="103"/>
      <c r="I60" s="103"/>
      <c r="J60" s="103"/>
      <c r="K60" s="103"/>
    </row>
    <row r="61" spans="4:11" x14ac:dyDescent="0.3">
      <c r="D61" s="103"/>
      <c r="E61" s="103"/>
      <c r="F61" s="103"/>
      <c r="G61" s="103"/>
      <c r="H61" s="103"/>
      <c r="I61" s="103"/>
      <c r="J61" s="103"/>
      <c r="K61" s="103"/>
    </row>
    <row r="62" spans="4:11" x14ac:dyDescent="0.3">
      <c r="D62" s="103"/>
      <c r="E62" s="103"/>
      <c r="F62" s="103"/>
      <c r="G62" s="103"/>
      <c r="H62" s="103"/>
      <c r="I62" s="103"/>
      <c r="J62" s="103"/>
      <c r="K62" s="103"/>
    </row>
    <row r="63" spans="4:11" x14ac:dyDescent="0.3">
      <c r="D63" s="103"/>
      <c r="E63" s="103"/>
      <c r="F63" s="103"/>
      <c r="G63" s="103"/>
      <c r="H63" s="103"/>
      <c r="I63" s="103"/>
      <c r="J63" s="103"/>
      <c r="K63" s="103"/>
    </row>
    <row r="64" spans="4:11" x14ac:dyDescent="0.3">
      <c r="D64" s="103"/>
      <c r="E64" s="103"/>
      <c r="F64" s="103"/>
      <c r="G64" s="103"/>
      <c r="H64" s="103"/>
      <c r="I64" s="103"/>
      <c r="J64" s="103"/>
      <c r="K64" s="103"/>
    </row>
    <row r="65" spans="4:11" x14ac:dyDescent="0.3">
      <c r="D65" s="103"/>
      <c r="E65" s="103"/>
      <c r="F65" s="103"/>
      <c r="G65" s="103"/>
      <c r="H65" s="103"/>
      <c r="I65" s="103"/>
      <c r="J65" s="103"/>
      <c r="K65" s="103"/>
    </row>
    <row r="66" spans="4:11" x14ac:dyDescent="0.3">
      <c r="D66" s="103"/>
      <c r="E66" s="103"/>
      <c r="F66" s="103"/>
      <c r="G66" s="103"/>
      <c r="H66" s="103"/>
      <c r="I66" s="103"/>
      <c r="J66" s="103"/>
      <c r="K66" s="103"/>
    </row>
    <row r="67" spans="4:11" x14ac:dyDescent="0.3">
      <c r="D67" s="103"/>
      <c r="E67" s="103"/>
      <c r="F67" s="103"/>
      <c r="G67" s="103"/>
      <c r="H67" s="103"/>
      <c r="I67" s="103"/>
      <c r="J67" s="103"/>
      <c r="K67" s="103"/>
    </row>
    <row r="68" spans="4:11" x14ac:dyDescent="0.3">
      <c r="D68" s="103"/>
      <c r="E68" s="103"/>
      <c r="F68" s="103"/>
      <c r="G68" s="103"/>
      <c r="H68" s="103"/>
      <c r="I68" s="103"/>
      <c r="J68" s="103"/>
      <c r="K68" s="103"/>
    </row>
    <row r="69" spans="4:11" x14ac:dyDescent="0.3">
      <c r="D69" s="103"/>
      <c r="E69" s="103"/>
      <c r="F69" s="103"/>
      <c r="G69" s="103"/>
      <c r="H69" s="103"/>
      <c r="I69" s="103"/>
      <c r="J69" s="103"/>
      <c r="K69" s="103"/>
    </row>
    <row r="70" spans="4:11" x14ac:dyDescent="0.3">
      <c r="D70" s="103"/>
      <c r="E70" s="103"/>
      <c r="F70" s="103"/>
      <c r="G70" s="103"/>
      <c r="H70" s="103"/>
      <c r="I70" s="103"/>
      <c r="J70" s="103"/>
      <c r="K70" s="103"/>
    </row>
    <row r="71" spans="4:11" x14ac:dyDescent="0.3">
      <c r="D71" s="103"/>
      <c r="E71" s="103"/>
      <c r="F71" s="103"/>
      <c r="G71" s="103"/>
      <c r="H71" s="103"/>
      <c r="I71" s="103"/>
      <c r="J71" s="103"/>
      <c r="K71" s="103"/>
    </row>
    <row r="72" spans="4:11" x14ac:dyDescent="0.3">
      <c r="D72" s="103"/>
      <c r="E72" s="103"/>
      <c r="F72" s="103"/>
      <c r="G72" s="103"/>
      <c r="H72" s="103"/>
      <c r="I72" s="103"/>
      <c r="J72" s="103"/>
      <c r="K72" s="103"/>
    </row>
    <row r="73" spans="4:11" x14ac:dyDescent="0.3">
      <c r="D73" s="103"/>
      <c r="E73" s="103"/>
      <c r="F73" s="103"/>
      <c r="G73" s="103"/>
      <c r="H73" s="103"/>
      <c r="I73" s="103"/>
      <c r="J73" s="103"/>
      <c r="K73" s="103"/>
    </row>
    <row r="74" spans="4:11" x14ac:dyDescent="0.3">
      <c r="D74" s="103"/>
      <c r="E74" s="103"/>
      <c r="F74" s="103"/>
      <c r="G74" s="103"/>
      <c r="H74" s="103"/>
      <c r="I74" s="103"/>
      <c r="J74" s="103"/>
      <c r="K74" s="103"/>
    </row>
    <row r="75" spans="4:11" x14ac:dyDescent="0.3">
      <c r="D75" s="103"/>
      <c r="E75" s="103"/>
      <c r="F75" s="103"/>
      <c r="G75" s="103"/>
      <c r="H75" s="103"/>
      <c r="I75" s="103"/>
      <c r="J75" s="103"/>
      <c r="K75" s="103"/>
    </row>
    <row r="76" spans="4:11" x14ac:dyDescent="0.3">
      <c r="D76" s="103"/>
      <c r="E76" s="103"/>
      <c r="F76" s="103"/>
      <c r="G76" s="103"/>
      <c r="H76" s="103"/>
      <c r="I76" s="103"/>
      <c r="J76" s="103"/>
      <c r="K76" s="103"/>
    </row>
    <row r="77" spans="4:11" x14ac:dyDescent="0.3">
      <c r="D77" s="103"/>
      <c r="E77" s="103"/>
      <c r="F77" s="103"/>
      <c r="G77" s="103"/>
      <c r="H77" s="103"/>
      <c r="I77" s="103"/>
      <c r="J77" s="103"/>
      <c r="K77" s="103"/>
    </row>
    <row r="78" spans="4:11" x14ac:dyDescent="0.3">
      <c r="D78" s="103"/>
      <c r="E78" s="103"/>
      <c r="F78" s="103"/>
      <c r="G78" s="103"/>
      <c r="H78" s="103"/>
      <c r="I78" s="103"/>
      <c r="J78" s="103"/>
      <c r="K78" s="103"/>
    </row>
    <row r="79" spans="4:11" x14ac:dyDescent="0.3">
      <c r="D79" s="103"/>
      <c r="E79" s="103"/>
      <c r="F79" s="103"/>
      <c r="G79" s="103"/>
      <c r="H79" s="103"/>
      <c r="I79" s="103"/>
      <c r="J79" s="103"/>
      <c r="K79" s="103"/>
    </row>
    <row r="80" spans="4:11" x14ac:dyDescent="0.3">
      <c r="D80" s="103"/>
      <c r="E80" s="103"/>
      <c r="F80" s="103"/>
      <c r="G80" s="103"/>
      <c r="H80" s="103"/>
      <c r="I80" s="103"/>
      <c r="J80" s="103"/>
      <c r="K80" s="103"/>
    </row>
    <row r="81" spans="4:11" x14ac:dyDescent="0.3">
      <c r="D81" s="103"/>
      <c r="E81" s="103"/>
      <c r="F81" s="103"/>
      <c r="G81" s="103"/>
      <c r="H81" s="103"/>
      <c r="I81" s="103"/>
      <c r="J81" s="103"/>
      <c r="K81" s="103"/>
    </row>
    <row r="82" spans="4:11" x14ac:dyDescent="0.3">
      <c r="D82" s="103"/>
      <c r="E82" s="103"/>
      <c r="F82" s="103"/>
      <c r="G82" s="103"/>
      <c r="H82" s="103"/>
      <c r="I82" s="103"/>
      <c r="J82" s="103"/>
      <c r="K82" s="103"/>
    </row>
    <row r="83" spans="4:11" x14ac:dyDescent="0.3">
      <c r="D83" s="103"/>
      <c r="E83" s="103"/>
      <c r="F83" s="103"/>
      <c r="G83" s="103"/>
      <c r="H83" s="103"/>
      <c r="I83" s="103"/>
      <c r="J83" s="103"/>
      <c r="K83" s="103"/>
    </row>
    <row r="84" spans="4:11" x14ac:dyDescent="0.3">
      <c r="D84" s="103"/>
      <c r="E84" s="103"/>
      <c r="F84" s="103"/>
      <c r="G84" s="103"/>
      <c r="H84" s="103"/>
      <c r="I84" s="103"/>
      <c r="J84" s="103"/>
      <c r="K84" s="103"/>
    </row>
    <row r="85" spans="4:11" x14ac:dyDescent="0.3">
      <c r="D85" s="103"/>
      <c r="E85" s="103"/>
      <c r="F85" s="103"/>
      <c r="G85" s="103"/>
      <c r="H85" s="103"/>
      <c r="I85" s="103"/>
      <c r="J85" s="103"/>
      <c r="K85" s="103"/>
    </row>
    <row r="86" spans="4:11" x14ac:dyDescent="0.3">
      <c r="D86" s="103"/>
      <c r="E86" s="103"/>
      <c r="F86" s="103"/>
      <c r="G86" s="103"/>
      <c r="H86" s="103"/>
      <c r="I86" s="103"/>
      <c r="J86" s="103"/>
      <c r="K86" s="103"/>
    </row>
    <row r="87" spans="4:11" x14ac:dyDescent="0.3">
      <c r="D87" s="103"/>
      <c r="E87" s="103"/>
      <c r="F87" s="103"/>
      <c r="G87" s="103"/>
      <c r="H87" s="103"/>
      <c r="I87" s="103"/>
      <c r="J87" s="103"/>
      <c r="K87" s="103"/>
    </row>
    <row r="88" spans="4:11" x14ac:dyDescent="0.3">
      <c r="D88" s="103"/>
      <c r="E88" s="103"/>
      <c r="F88" s="103"/>
      <c r="G88" s="103"/>
      <c r="H88" s="103"/>
      <c r="I88" s="103"/>
      <c r="J88" s="103"/>
      <c r="K88" s="103"/>
    </row>
    <row r="89" spans="4:11" x14ac:dyDescent="0.3">
      <c r="D89" s="103"/>
      <c r="E89" s="103"/>
      <c r="F89" s="103"/>
      <c r="G89" s="103"/>
      <c r="H89" s="103"/>
      <c r="I89" s="103"/>
      <c r="J89" s="103"/>
      <c r="K89" s="103"/>
    </row>
    <row r="90" spans="4:11" x14ac:dyDescent="0.3">
      <c r="D90" s="103"/>
      <c r="E90" s="103"/>
      <c r="F90" s="103"/>
      <c r="G90" s="103"/>
      <c r="H90" s="103"/>
      <c r="I90" s="103"/>
      <c r="J90" s="103"/>
      <c r="K90" s="103"/>
    </row>
    <row r="91" spans="4:11" x14ac:dyDescent="0.3">
      <c r="D91" s="103"/>
      <c r="E91" s="103"/>
      <c r="F91" s="103"/>
      <c r="G91" s="103"/>
      <c r="H91" s="103"/>
      <c r="I91" s="103"/>
      <c r="J91" s="103"/>
      <c r="K91" s="103"/>
    </row>
    <row r="92" spans="4:11" x14ac:dyDescent="0.3">
      <c r="D92" s="103"/>
      <c r="E92" s="103"/>
      <c r="F92" s="103"/>
      <c r="G92" s="103"/>
      <c r="H92" s="103"/>
      <c r="I92" s="103"/>
      <c r="J92" s="103"/>
      <c r="K92" s="103"/>
    </row>
    <row r="93" spans="4:11" x14ac:dyDescent="0.3">
      <c r="D93" s="103"/>
      <c r="E93" s="103"/>
      <c r="F93" s="103"/>
      <c r="G93" s="103"/>
      <c r="H93" s="103"/>
      <c r="I93" s="103"/>
      <c r="J93" s="103"/>
      <c r="K93" s="103"/>
    </row>
    <row r="94" spans="4:11" x14ac:dyDescent="0.3">
      <c r="D94" s="103"/>
      <c r="E94" s="103"/>
      <c r="F94" s="103"/>
      <c r="G94" s="103"/>
      <c r="H94" s="103"/>
      <c r="I94" s="103"/>
      <c r="J94" s="103"/>
      <c r="K94" s="103"/>
    </row>
    <row r="95" spans="4:11" x14ac:dyDescent="0.3">
      <c r="D95" s="103"/>
      <c r="E95" s="103"/>
      <c r="F95" s="103"/>
      <c r="G95" s="103"/>
      <c r="H95" s="103"/>
      <c r="I95" s="103"/>
      <c r="J95" s="103"/>
      <c r="K95" s="103"/>
    </row>
    <row r="96" spans="4:11" x14ac:dyDescent="0.3">
      <c r="D96" s="103"/>
      <c r="E96" s="103"/>
      <c r="F96" s="103"/>
      <c r="G96" s="103"/>
      <c r="H96" s="103"/>
      <c r="I96" s="103"/>
      <c r="J96" s="103"/>
      <c r="K96" s="103"/>
    </row>
    <row r="97" spans="4:11" x14ac:dyDescent="0.3">
      <c r="D97" s="103"/>
      <c r="E97" s="103"/>
      <c r="F97" s="103"/>
      <c r="G97" s="103"/>
      <c r="H97" s="103"/>
      <c r="I97" s="103"/>
      <c r="J97" s="103"/>
      <c r="K97" s="103"/>
    </row>
    <row r="98" spans="4:11" x14ac:dyDescent="0.3">
      <c r="D98" s="103"/>
      <c r="E98" s="103"/>
      <c r="F98" s="103"/>
      <c r="G98" s="103"/>
      <c r="H98" s="103"/>
      <c r="I98" s="103"/>
      <c r="J98" s="103"/>
      <c r="K98" s="103"/>
    </row>
    <row r="99" spans="4:11" x14ac:dyDescent="0.3">
      <c r="D99" s="103"/>
      <c r="E99" s="103"/>
      <c r="F99" s="103"/>
      <c r="G99" s="103"/>
      <c r="H99" s="103"/>
      <c r="I99" s="103"/>
      <c r="J99" s="103"/>
      <c r="K99" s="103"/>
    </row>
    <row r="100" spans="4:11" x14ac:dyDescent="0.3">
      <c r="D100" s="103"/>
      <c r="E100" s="103"/>
      <c r="F100" s="103"/>
      <c r="G100" s="103"/>
      <c r="H100" s="103"/>
      <c r="I100" s="103"/>
      <c r="J100" s="103"/>
      <c r="K100" s="103"/>
    </row>
    <row r="101" spans="4:11" x14ac:dyDescent="0.3">
      <c r="D101" s="103"/>
      <c r="E101" s="103"/>
      <c r="F101" s="103"/>
      <c r="G101" s="103"/>
      <c r="H101" s="103"/>
      <c r="I101" s="103"/>
      <c r="J101" s="103"/>
      <c r="K101" s="103"/>
    </row>
    <row r="102" spans="4:11" x14ac:dyDescent="0.3">
      <c r="D102" s="103"/>
      <c r="E102" s="103"/>
      <c r="F102" s="103"/>
      <c r="G102" s="103"/>
      <c r="H102" s="103"/>
      <c r="I102" s="103"/>
      <c r="J102" s="103"/>
      <c r="K102" s="103"/>
    </row>
    <row r="103" spans="4:11" x14ac:dyDescent="0.3">
      <c r="D103" s="103"/>
      <c r="E103" s="103"/>
      <c r="F103" s="103"/>
      <c r="G103" s="103"/>
      <c r="H103" s="103"/>
      <c r="I103" s="103"/>
      <c r="J103" s="103"/>
      <c r="K103" s="103"/>
    </row>
    <row r="104" spans="4:11" x14ac:dyDescent="0.3">
      <c r="D104" s="103"/>
      <c r="E104" s="103"/>
      <c r="F104" s="103"/>
      <c r="G104" s="103"/>
      <c r="H104" s="103"/>
      <c r="I104" s="103"/>
      <c r="J104" s="103"/>
      <c r="K104" s="103"/>
    </row>
    <row r="105" spans="4:11" x14ac:dyDescent="0.3">
      <c r="D105" s="103"/>
      <c r="E105" s="103"/>
      <c r="F105" s="103"/>
      <c r="G105" s="103"/>
      <c r="H105" s="103"/>
      <c r="I105" s="103"/>
      <c r="J105" s="103"/>
      <c r="K105" s="103"/>
    </row>
    <row r="106" spans="4:11" x14ac:dyDescent="0.3">
      <c r="D106" s="103"/>
      <c r="E106" s="103"/>
      <c r="F106" s="103"/>
      <c r="G106" s="103"/>
      <c r="H106" s="103"/>
      <c r="I106" s="103"/>
      <c r="J106" s="103"/>
      <c r="K106" s="103"/>
    </row>
    <row r="107" spans="4:11" x14ac:dyDescent="0.3">
      <c r="D107" s="103"/>
      <c r="E107" s="103"/>
      <c r="F107" s="103"/>
      <c r="G107" s="103"/>
      <c r="H107" s="103"/>
      <c r="I107" s="103"/>
      <c r="J107" s="103"/>
      <c r="K107" s="103"/>
    </row>
    <row r="108" spans="4:11" x14ac:dyDescent="0.3">
      <c r="D108" s="103"/>
      <c r="E108" s="103"/>
      <c r="F108" s="103"/>
      <c r="G108" s="103"/>
      <c r="H108" s="103"/>
      <c r="I108" s="103"/>
      <c r="J108" s="103"/>
      <c r="K108" s="103"/>
    </row>
    <row r="109" spans="4:11" x14ac:dyDescent="0.3">
      <c r="D109" s="103"/>
      <c r="E109" s="103"/>
      <c r="F109" s="103"/>
      <c r="G109" s="103"/>
      <c r="H109" s="103"/>
      <c r="I109" s="103"/>
      <c r="J109" s="103"/>
      <c r="K109" s="103"/>
    </row>
    <row r="110" spans="4:11" x14ac:dyDescent="0.3">
      <c r="D110" s="103"/>
      <c r="E110" s="103"/>
      <c r="F110" s="103"/>
      <c r="G110" s="103"/>
      <c r="H110" s="103"/>
      <c r="I110" s="103"/>
      <c r="J110" s="103"/>
      <c r="K110" s="103"/>
    </row>
    <row r="111" spans="4:11" x14ac:dyDescent="0.3">
      <c r="D111" s="103"/>
      <c r="E111" s="103"/>
      <c r="F111" s="103"/>
      <c r="G111" s="103"/>
      <c r="H111" s="103"/>
      <c r="I111" s="103"/>
      <c r="J111" s="103"/>
      <c r="K111" s="103"/>
    </row>
    <row r="112" spans="4:11" x14ac:dyDescent="0.3">
      <c r="D112" s="103"/>
      <c r="E112" s="103"/>
      <c r="F112" s="103"/>
      <c r="G112" s="103"/>
      <c r="H112" s="103"/>
      <c r="I112" s="103"/>
      <c r="J112" s="103"/>
      <c r="K112" s="103"/>
    </row>
    <row r="113" spans="4:11" x14ac:dyDescent="0.3">
      <c r="D113" s="103"/>
      <c r="E113" s="103"/>
      <c r="F113" s="103"/>
      <c r="G113" s="103"/>
      <c r="H113" s="103"/>
      <c r="I113" s="103"/>
      <c r="J113" s="103"/>
      <c r="K113" s="103"/>
    </row>
    <row r="114" spans="4:11" x14ac:dyDescent="0.3">
      <c r="D114" s="103"/>
      <c r="E114" s="103"/>
      <c r="F114" s="103"/>
      <c r="G114" s="103"/>
      <c r="H114" s="103"/>
      <c r="I114" s="103"/>
      <c r="J114" s="103"/>
      <c r="K114" s="103"/>
    </row>
    <row r="115" spans="4:11" x14ac:dyDescent="0.3">
      <c r="D115" s="103"/>
      <c r="E115" s="103"/>
      <c r="F115" s="103"/>
      <c r="G115" s="103"/>
      <c r="H115" s="103"/>
      <c r="I115" s="103"/>
      <c r="J115" s="103"/>
      <c r="K115" s="103"/>
    </row>
    <row r="116" spans="4:11" x14ac:dyDescent="0.3">
      <c r="D116" s="103"/>
      <c r="E116" s="103"/>
      <c r="F116" s="103"/>
      <c r="G116" s="103"/>
      <c r="H116" s="103"/>
      <c r="I116" s="103"/>
      <c r="J116" s="103"/>
      <c r="K116" s="103"/>
    </row>
    <row r="117" spans="4:11" x14ac:dyDescent="0.3">
      <c r="D117" s="103"/>
      <c r="E117" s="103"/>
      <c r="F117" s="103"/>
      <c r="G117" s="103"/>
      <c r="H117" s="103"/>
      <c r="I117" s="103"/>
      <c r="J117" s="103"/>
      <c r="K117" s="103"/>
    </row>
    <row r="118" spans="4:11" x14ac:dyDescent="0.3">
      <c r="D118" s="103"/>
      <c r="E118" s="103"/>
      <c r="F118" s="103"/>
      <c r="G118" s="103"/>
      <c r="H118" s="103"/>
      <c r="I118" s="103"/>
      <c r="J118" s="103"/>
      <c r="K118" s="103"/>
    </row>
    <row r="119" spans="4:11" x14ac:dyDescent="0.3">
      <c r="D119" s="103"/>
      <c r="E119" s="103"/>
      <c r="F119" s="103"/>
      <c r="G119" s="103"/>
      <c r="H119" s="103"/>
      <c r="I119" s="103"/>
      <c r="J119" s="103"/>
      <c r="K119" s="103"/>
    </row>
    <row r="120" spans="4:11" x14ac:dyDescent="0.3">
      <c r="D120" s="103"/>
      <c r="E120" s="103"/>
      <c r="F120" s="103"/>
      <c r="G120" s="103"/>
      <c r="H120" s="103"/>
      <c r="I120" s="103"/>
      <c r="J120" s="103"/>
      <c r="K120" s="103"/>
    </row>
    <row r="121" spans="4:11" x14ac:dyDescent="0.3">
      <c r="D121" s="103"/>
      <c r="E121" s="103"/>
      <c r="F121" s="103"/>
      <c r="G121" s="103"/>
      <c r="H121" s="103"/>
      <c r="I121" s="103"/>
      <c r="J121" s="103"/>
      <c r="K121" s="103"/>
    </row>
    <row r="122" spans="4:11" x14ac:dyDescent="0.3">
      <c r="D122" s="103"/>
      <c r="E122" s="103"/>
      <c r="F122" s="103"/>
      <c r="G122" s="103"/>
      <c r="H122" s="103"/>
      <c r="I122" s="103"/>
      <c r="J122" s="103"/>
      <c r="K122" s="103"/>
    </row>
    <row r="123" spans="4:11" x14ac:dyDescent="0.3">
      <c r="D123" s="103"/>
      <c r="E123" s="103"/>
      <c r="F123" s="103"/>
      <c r="G123" s="103"/>
      <c r="H123" s="103"/>
      <c r="I123" s="103"/>
      <c r="J123" s="103"/>
      <c r="K123" s="103"/>
    </row>
    <row r="124" spans="4:11" x14ac:dyDescent="0.3">
      <c r="D124" s="103"/>
      <c r="E124" s="103"/>
      <c r="F124" s="103"/>
      <c r="G124" s="103"/>
      <c r="H124" s="103"/>
      <c r="I124" s="103"/>
      <c r="J124" s="103"/>
      <c r="K124" s="103"/>
    </row>
    <row r="125" spans="4:11" x14ac:dyDescent="0.3">
      <c r="D125" s="103"/>
      <c r="E125" s="103"/>
      <c r="F125" s="103"/>
      <c r="G125" s="103"/>
      <c r="H125" s="103"/>
      <c r="I125" s="103"/>
      <c r="J125" s="103"/>
      <c r="K125" s="103"/>
    </row>
    <row r="126" spans="4:11" x14ac:dyDescent="0.3">
      <c r="D126" s="103"/>
      <c r="E126" s="103"/>
      <c r="F126" s="103"/>
      <c r="G126" s="103"/>
      <c r="H126" s="103"/>
      <c r="I126" s="103"/>
      <c r="J126" s="103"/>
      <c r="K126" s="103"/>
    </row>
    <row r="127" spans="4:11" x14ac:dyDescent="0.3">
      <c r="D127" s="103"/>
      <c r="E127" s="103"/>
      <c r="F127" s="103"/>
      <c r="G127" s="103"/>
      <c r="H127" s="103"/>
      <c r="I127" s="103"/>
      <c r="J127" s="103"/>
      <c r="K127" s="103"/>
    </row>
    <row r="128" spans="4:11" x14ac:dyDescent="0.3">
      <c r="D128" s="103"/>
      <c r="E128" s="103"/>
      <c r="F128" s="103"/>
      <c r="G128" s="103"/>
      <c r="H128" s="103"/>
      <c r="I128" s="103"/>
      <c r="J128" s="103"/>
      <c r="K128" s="103"/>
    </row>
    <row r="129" spans="4:11" x14ac:dyDescent="0.3">
      <c r="D129" s="103"/>
      <c r="E129" s="103"/>
      <c r="F129" s="103"/>
      <c r="G129" s="103"/>
      <c r="H129" s="103"/>
      <c r="I129" s="103"/>
      <c r="J129" s="103"/>
      <c r="K129" s="103"/>
    </row>
    <row r="130" spans="4:11" x14ac:dyDescent="0.3">
      <c r="D130" s="103"/>
      <c r="E130" s="103"/>
      <c r="F130" s="103"/>
      <c r="G130" s="103"/>
      <c r="H130" s="103"/>
      <c r="I130" s="103"/>
      <c r="J130" s="103"/>
      <c r="K130" s="103"/>
    </row>
    <row r="131" spans="4:11" x14ac:dyDescent="0.3">
      <c r="D131" s="103"/>
      <c r="E131" s="103"/>
      <c r="F131" s="103"/>
      <c r="G131" s="103"/>
      <c r="H131" s="103"/>
      <c r="I131" s="103"/>
      <c r="J131" s="103"/>
      <c r="K131" s="103"/>
    </row>
    <row r="132" spans="4:11" x14ac:dyDescent="0.3">
      <c r="D132" s="103"/>
      <c r="E132" s="103"/>
      <c r="F132" s="103"/>
      <c r="G132" s="103"/>
      <c r="H132" s="103"/>
      <c r="I132" s="103"/>
      <c r="J132" s="103"/>
      <c r="K132" s="103"/>
    </row>
    <row r="133" spans="4:11" x14ac:dyDescent="0.3">
      <c r="D133" s="103"/>
      <c r="E133" s="103"/>
      <c r="F133" s="103"/>
      <c r="G133" s="103"/>
      <c r="H133" s="103"/>
      <c r="I133" s="103"/>
      <c r="J133" s="103"/>
      <c r="K133" s="103"/>
    </row>
    <row r="134" spans="4:11" x14ac:dyDescent="0.3">
      <c r="D134" s="103"/>
      <c r="E134" s="103"/>
      <c r="F134" s="103"/>
      <c r="G134" s="103"/>
      <c r="H134" s="103"/>
      <c r="I134" s="103"/>
      <c r="J134" s="103"/>
      <c r="K134" s="103"/>
    </row>
    <row r="135" spans="4:11" x14ac:dyDescent="0.3">
      <c r="D135" s="103"/>
      <c r="E135" s="103"/>
      <c r="F135" s="103"/>
      <c r="G135" s="103"/>
      <c r="H135" s="103"/>
      <c r="I135" s="103"/>
      <c r="J135" s="103"/>
      <c r="K135" s="103"/>
    </row>
    <row r="136" spans="4:11" x14ac:dyDescent="0.3">
      <c r="D136" s="103"/>
      <c r="E136" s="103"/>
      <c r="F136" s="103"/>
      <c r="G136" s="103"/>
      <c r="H136" s="103"/>
      <c r="I136" s="103"/>
      <c r="J136" s="103"/>
      <c r="K136" s="103"/>
    </row>
    <row r="137" spans="4:11" x14ac:dyDescent="0.3">
      <c r="D137" s="103"/>
      <c r="E137" s="103"/>
      <c r="F137" s="103"/>
      <c r="G137" s="103"/>
      <c r="H137" s="103"/>
      <c r="I137" s="103"/>
      <c r="J137" s="103"/>
      <c r="K137" s="103"/>
    </row>
    <row r="138" spans="4:11" x14ac:dyDescent="0.3">
      <c r="D138" s="103"/>
      <c r="E138" s="103"/>
      <c r="F138" s="103"/>
      <c r="G138" s="103"/>
      <c r="H138" s="103"/>
      <c r="I138" s="103"/>
      <c r="J138" s="103"/>
      <c r="K138" s="103"/>
    </row>
    <row r="139" spans="4:11" x14ac:dyDescent="0.3">
      <c r="D139" s="103"/>
      <c r="E139" s="103"/>
      <c r="F139" s="103"/>
      <c r="G139" s="103"/>
      <c r="H139" s="103"/>
      <c r="I139" s="103"/>
      <c r="J139" s="103"/>
      <c r="K139" s="103"/>
    </row>
    <row r="140" spans="4:11" x14ac:dyDescent="0.3">
      <c r="D140" s="103"/>
      <c r="E140" s="103"/>
      <c r="F140" s="103"/>
      <c r="G140" s="103"/>
      <c r="H140" s="103"/>
      <c r="I140" s="103"/>
      <c r="J140" s="103"/>
      <c r="K140" s="103"/>
    </row>
    <row r="141" spans="4:11" x14ac:dyDescent="0.3">
      <c r="D141" s="103"/>
      <c r="E141" s="103"/>
      <c r="F141" s="103"/>
      <c r="G141" s="103"/>
      <c r="H141" s="103"/>
      <c r="I141" s="103"/>
      <c r="J141" s="103"/>
      <c r="K141" s="103"/>
    </row>
    <row r="142" spans="4:11" x14ac:dyDescent="0.3">
      <c r="D142" s="103"/>
      <c r="E142" s="103"/>
      <c r="F142" s="103"/>
      <c r="G142" s="103"/>
      <c r="H142" s="103"/>
      <c r="I142" s="103"/>
      <c r="J142" s="103"/>
      <c r="K142" s="103"/>
    </row>
    <row r="143" spans="4:11" x14ac:dyDescent="0.3">
      <c r="D143" s="103"/>
      <c r="E143" s="103"/>
      <c r="F143" s="103"/>
      <c r="G143" s="103"/>
      <c r="H143" s="103"/>
      <c r="I143" s="103"/>
      <c r="J143" s="103"/>
      <c r="K143" s="103"/>
    </row>
    <row r="144" spans="4:11" x14ac:dyDescent="0.3">
      <c r="D144" s="103"/>
      <c r="E144" s="103"/>
      <c r="F144" s="103"/>
      <c r="G144" s="103"/>
      <c r="H144" s="103"/>
      <c r="I144" s="103"/>
      <c r="J144" s="103"/>
      <c r="K144" s="103"/>
    </row>
    <row r="145" spans="4:11" x14ac:dyDescent="0.3">
      <c r="D145" s="103"/>
      <c r="E145" s="103"/>
      <c r="F145" s="103"/>
      <c r="G145" s="103"/>
      <c r="H145" s="103"/>
      <c r="I145" s="103"/>
      <c r="J145" s="103"/>
      <c r="K145" s="103"/>
    </row>
    <row r="146" spans="4:11" x14ac:dyDescent="0.3">
      <c r="D146" s="103"/>
      <c r="E146" s="103"/>
      <c r="F146" s="103"/>
      <c r="G146" s="103"/>
      <c r="H146" s="103"/>
      <c r="I146" s="103"/>
      <c r="J146" s="103"/>
      <c r="K146" s="103"/>
    </row>
    <row r="147" spans="4:11" x14ac:dyDescent="0.3">
      <c r="D147" s="103"/>
      <c r="E147" s="103"/>
      <c r="F147" s="103"/>
      <c r="G147" s="103"/>
      <c r="H147" s="103"/>
      <c r="I147" s="103"/>
      <c r="J147" s="103"/>
      <c r="K147" s="103"/>
    </row>
    <row r="148" spans="4:11" x14ac:dyDescent="0.3">
      <c r="D148" s="103"/>
      <c r="E148" s="103"/>
      <c r="F148" s="103"/>
      <c r="G148" s="103"/>
      <c r="H148" s="103"/>
      <c r="I148" s="103"/>
      <c r="J148" s="103"/>
      <c r="K148" s="103"/>
    </row>
    <row r="149" spans="4:11" x14ac:dyDescent="0.3">
      <c r="D149" s="103"/>
      <c r="E149" s="103"/>
      <c r="F149" s="103"/>
      <c r="G149" s="103"/>
      <c r="H149" s="103"/>
      <c r="I149" s="103"/>
      <c r="J149" s="103"/>
      <c r="K149" s="103"/>
    </row>
    <row r="150" spans="4:11" x14ac:dyDescent="0.3">
      <c r="D150" s="103"/>
      <c r="E150" s="103"/>
      <c r="F150" s="103"/>
      <c r="G150" s="103"/>
      <c r="H150" s="103"/>
      <c r="I150" s="103"/>
      <c r="J150" s="103"/>
      <c r="K150" s="103"/>
    </row>
    <row r="151" spans="4:11" x14ac:dyDescent="0.3">
      <c r="D151" s="103"/>
      <c r="E151" s="103"/>
      <c r="F151" s="103"/>
      <c r="G151" s="103"/>
      <c r="H151" s="103"/>
      <c r="I151" s="103"/>
      <c r="J151" s="103"/>
      <c r="K151" s="103"/>
    </row>
    <row r="152" spans="4:11" x14ac:dyDescent="0.3">
      <c r="D152" s="103"/>
      <c r="E152" s="103"/>
      <c r="F152" s="103"/>
      <c r="G152" s="103"/>
      <c r="H152" s="103"/>
      <c r="I152" s="103"/>
      <c r="J152" s="103"/>
      <c r="K152" s="103"/>
    </row>
    <row r="153" spans="4:11" x14ac:dyDescent="0.3">
      <c r="D153" s="103"/>
      <c r="E153" s="103"/>
      <c r="F153" s="103"/>
      <c r="G153" s="103"/>
      <c r="H153" s="103"/>
      <c r="I153" s="103"/>
      <c r="J153" s="103"/>
      <c r="K153" s="103"/>
    </row>
    <row r="154" spans="4:11" x14ac:dyDescent="0.3">
      <c r="D154" s="103"/>
      <c r="E154" s="103"/>
      <c r="F154" s="103"/>
      <c r="G154" s="103"/>
      <c r="H154" s="103"/>
      <c r="I154" s="103"/>
      <c r="J154" s="103"/>
      <c r="K154" s="103"/>
    </row>
    <row r="155" spans="4:11" x14ac:dyDescent="0.3">
      <c r="D155" s="103"/>
      <c r="E155" s="103"/>
      <c r="F155" s="103"/>
      <c r="G155" s="103"/>
      <c r="H155" s="103"/>
      <c r="I155" s="103"/>
      <c r="J155" s="103"/>
      <c r="K155" s="103"/>
    </row>
    <row r="156" spans="4:11" x14ac:dyDescent="0.3">
      <c r="D156" s="103"/>
      <c r="E156" s="103"/>
      <c r="F156" s="103"/>
      <c r="G156" s="103"/>
      <c r="H156" s="103"/>
      <c r="I156" s="103"/>
      <c r="J156" s="103"/>
      <c r="K156" s="103"/>
    </row>
    <row r="157" spans="4:11" x14ac:dyDescent="0.3">
      <c r="D157" s="103"/>
      <c r="E157" s="103"/>
      <c r="F157" s="103"/>
      <c r="G157" s="103"/>
      <c r="H157" s="103"/>
      <c r="I157" s="103"/>
      <c r="J157" s="103"/>
      <c r="K157" s="103"/>
    </row>
    <row r="158" spans="4:11" x14ac:dyDescent="0.3">
      <c r="D158" s="103"/>
      <c r="E158" s="103"/>
      <c r="F158" s="103"/>
      <c r="G158" s="103"/>
      <c r="H158" s="103"/>
      <c r="I158" s="103"/>
      <c r="J158" s="103"/>
      <c r="K158" s="103"/>
    </row>
    <row r="159" spans="4:11" x14ac:dyDescent="0.3">
      <c r="D159" s="103"/>
      <c r="E159" s="103"/>
      <c r="F159" s="103"/>
      <c r="G159" s="103"/>
      <c r="H159" s="103"/>
      <c r="I159" s="103"/>
      <c r="J159" s="103"/>
      <c r="K159" s="103"/>
    </row>
    <row r="160" spans="4:11" x14ac:dyDescent="0.3">
      <c r="D160" s="103"/>
      <c r="E160" s="103"/>
      <c r="F160" s="103"/>
      <c r="G160" s="103"/>
      <c r="H160" s="103"/>
      <c r="I160" s="103"/>
      <c r="J160" s="103"/>
      <c r="K160" s="103"/>
    </row>
    <row r="161" spans="4:11" x14ac:dyDescent="0.3">
      <c r="D161" s="103"/>
      <c r="E161" s="103"/>
      <c r="F161" s="103"/>
      <c r="G161" s="103"/>
      <c r="H161" s="103"/>
      <c r="I161" s="103"/>
      <c r="J161" s="103"/>
      <c r="K161" s="103"/>
    </row>
    <row r="162" spans="4:11" x14ac:dyDescent="0.3">
      <c r="D162" s="103"/>
      <c r="E162" s="103"/>
      <c r="F162" s="103"/>
      <c r="G162" s="103"/>
      <c r="H162" s="103"/>
      <c r="I162" s="103"/>
      <c r="J162" s="103"/>
      <c r="K162" s="103"/>
    </row>
    <row r="163" spans="4:11" x14ac:dyDescent="0.3">
      <c r="D163" s="103"/>
      <c r="E163" s="103"/>
      <c r="F163" s="103"/>
      <c r="G163" s="103"/>
      <c r="H163" s="103"/>
      <c r="I163" s="103"/>
      <c r="J163" s="103"/>
      <c r="K163" s="103"/>
    </row>
    <row r="164" spans="4:11" x14ac:dyDescent="0.3">
      <c r="D164" s="103"/>
      <c r="E164" s="103"/>
      <c r="F164" s="103"/>
      <c r="G164" s="103"/>
      <c r="H164" s="103"/>
      <c r="I164" s="103"/>
      <c r="J164" s="103"/>
      <c r="K164" s="103"/>
    </row>
    <row r="165" spans="4:11" x14ac:dyDescent="0.3">
      <c r="D165" s="103"/>
      <c r="E165" s="103"/>
      <c r="F165" s="103"/>
      <c r="G165" s="103"/>
      <c r="H165" s="103"/>
      <c r="I165" s="103"/>
      <c r="J165" s="103"/>
      <c r="K165" s="103"/>
    </row>
    <row r="166" spans="4:11" x14ac:dyDescent="0.3">
      <c r="D166" s="103"/>
      <c r="E166" s="103"/>
      <c r="F166" s="103"/>
      <c r="G166" s="103"/>
      <c r="H166" s="103"/>
      <c r="I166" s="103"/>
      <c r="J166" s="103"/>
      <c r="K166" s="103"/>
    </row>
    <row r="167" spans="4:11" x14ac:dyDescent="0.3">
      <c r="D167" s="103"/>
      <c r="E167" s="103"/>
      <c r="F167" s="103"/>
      <c r="G167" s="103"/>
      <c r="H167" s="103"/>
      <c r="I167" s="103"/>
      <c r="J167" s="103"/>
      <c r="K167" s="103"/>
    </row>
    <row r="168" spans="4:11" x14ac:dyDescent="0.3">
      <c r="D168" s="103"/>
      <c r="E168" s="103"/>
      <c r="F168" s="103"/>
      <c r="G168" s="103"/>
      <c r="H168" s="103"/>
      <c r="I168" s="103"/>
      <c r="J168" s="103"/>
      <c r="K168" s="103"/>
    </row>
    <row r="169" spans="4:11" x14ac:dyDescent="0.3">
      <c r="D169" s="103"/>
      <c r="E169" s="103"/>
      <c r="F169" s="103"/>
      <c r="G169" s="103"/>
      <c r="H169" s="103"/>
      <c r="I169" s="103"/>
      <c r="J169" s="103"/>
      <c r="K169" s="103"/>
    </row>
    <row r="170" spans="4:11" x14ac:dyDescent="0.3">
      <c r="D170" s="103"/>
      <c r="E170" s="103"/>
      <c r="F170" s="103"/>
      <c r="G170" s="103"/>
      <c r="H170" s="103"/>
      <c r="I170" s="103"/>
      <c r="J170" s="103"/>
      <c r="K170" s="103"/>
    </row>
    <row r="171" spans="4:11" x14ac:dyDescent="0.3">
      <c r="D171" s="103"/>
      <c r="E171" s="103"/>
      <c r="F171" s="103"/>
      <c r="G171" s="103"/>
      <c r="H171" s="103"/>
      <c r="I171" s="103"/>
      <c r="J171" s="103"/>
      <c r="K171" s="103"/>
    </row>
    <row r="172" spans="4:11" x14ac:dyDescent="0.3">
      <c r="D172" s="103"/>
      <c r="E172" s="103"/>
      <c r="F172" s="103"/>
      <c r="G172" s="103"/>
      <c r="H172" s="103"/>
      <c r="I172" s="103"/>
      <c r="J172" s="103"/>
      <c r="K172" s="103"/>
    </row>
    <row r="173" spans="4:11" x14ac:dyDescent="0.3">
      <c r="D173" s="103"/>
      <c r="E173" s="103"/>
      <c r="F173" s="103"/>
      <c r="G173" s="103"/>
      <c r="H173" s="103"/>
      <c r="I173" s="103"/>
      <c r="J173" s="103"/>
      <c r="K173" s="103"/>
    </row>
    <row r="174" spans="4:11" x14ac:dyDescent="0.3">
      <c r="D174" s="103"/>
      <c r="E174" s="103"/>
      <c r="F174" s="103"/>
      <c r="G174" s="103"/>
      <c r="H174" s="103"/>
      <c r="I174" s="103"/>
      <c r="J174" s="103"/>
      <c r="K174" s="103"/>
    </row>
    <row r="175" spans="4:11" x14ac:dyDescent="0.3">
      <c r="D175" s="103"/>
      <c r="E175" s="103"/>
      <c r="F175" s="103"/>
      <c r="G175" s="103"/>
      <c r="H175" s="103"/>
      <c r="I175" s="103"/>
      <c r="J175" s="103"/>
      <c r="K175" s="103"/>
    </row>
    <row r="176" spans="4:11" x14ac:dyDescent="0.3">
      <c r="D176" s="103"/>
      <c r="E176" s="103"/>
      <c r="F176" s="103"/>
      <c r="G176" s="103"/>
      <c r="H176" s="103"/>
      <c r="I176" s="103"/>
      <c r="J176" s="103"/>
      <c r="K176" s="103"/>
    </row>
    <row r="177" spans="4:11" x14ac:dyDescent="0.3">
      <c r="D177" s="103"/>
      <c r="E177" s="103"/>
      <c r="F177" s="103"/>
      <c r="G177" s="103"/>
      <c r="H177" s="103"/>
      <c r="I177" s="103"/>
      <c r="J177" s="103"/>
      <c r="K177" s="103"/>
    </row>
    <row r="178" spans="4:11" x14ac:dyDescent="0.3">
      <c r="D178" s="103"/>
      <c r="E178" s="103"/>
      <c r="F178" s="103"/>
      <c r="G178" s="103"/>
      <c r="H178" s="103"/>
      <c r="I178" s="103"/>
      <c r="J178" s="103"/>
      <c r="K178" s="103"/>
    </row>
    <row r="179" spans="4:11" x14ac:dyDescent="0.3">
      <c r="D179" s="103"/>
      <c r="E179" s="103"/>
      <c r="F179" s="103"/>
      <c r="G179" s="103"/>
      <c r="H179" s="103"/>
      <c r="I179" s="103"/>
      <c r="J179" s="103"/>
      <c r="K179" s="103"/>
    </row>
    <row r="180" spans="4:11" x14ac:dyDescent="0.3">
      <c r="D180" s="103"/>
      <c r="E180" s="103"/>
      <c r="F180" s="103"/>
      <c r="G180" s="103"/>
      <c r="H180" s="103"/>
      <c r="I180" s="103"/>
      <c r="J180" s="103"/>
      <c r="K180" s="103"/>
    </row>
    <row r="181" spans="4:11" x14ac:dyDescent="0.3">
      <c r="D181" s="103"/>
      <c r="E181" s="103"/>
      <c r="F181" s="103"/>
      <c r="G181" s="103"/>
      <c r="H181" s="103"/>
      <c r="I181" s="103"/>
      <c r="J181" s="103"/>
      <c r="K181" s="103"/>
    </row>
    <row r="182" spans="4:11" x14ac:dyDescent="0.3">
      <c r="D182" s="103"/>
      <c r="E182" s="103"/>
      <c r="F182" s="103"/>
      <c r="G182" s="103"/>
      <c r="H182" s="103"/>
      <c r="I182" s="103"/>
      <c r="J182" s="103"/>
      <c r="K182" s="103"/>
    </row>
    <row r="183" spans="4:11" x14ac:dyDescent="0.3">
      <c r="D183" s="103"/>
      <c r="E183" s="103"/>
      <c r="F183" s="103"/>
      <c r="G183" s="103"/>
      <c r="H183" s="103"/>
      <c r="I183" s="103"/>
      <c r="J183" s="103"/>
      <c r="K183" s="103"/>
    </row>
    <row r="184" spans="4:11" x14ac:dyDescent="0.3">
      <c r="D184" s="103"/>
      <c r="E184" s="103"/>
      <c r="F184" s="103"/>
      <c r="G184" s="103"/>
      <c r="H184" s="103"/>
      <c r="I184" s="103"/>
      <c r="J184" s="103"/>
      <c r="K184" s="103"/>
    </row>
    <row r="185" spans="4:11" x14ac:dyDescent="0.3">
      <c r="D185" s="103"/>
      <c r="E185" s="103"/>
      <c r="F185" s="103"/>
      <c r="G185" s="103"/>
      <c r="H185" s="103"/>
      <c r="I185" s="103"/>
      <c r="J185" s="103"/>
      <c r="K185" s="103"/>
    </row>
    <row r="186" spans="4:11" x14ac:dyDescent="0.3">
      <c r="D186" s="103"/>
      <c r="E186" s="103"/>
      <c r="F186" s="103"/>
      <c r="G186" s="103"/>
      <c r="H186" s="103"/>
      <c r="I186" s="103"/>
      <c r="J186" s="103"/>
      <c r="K186" s="103"/>
    </row>
    <row r="187" spans="4:11" x14ac:dyDescent="0.3">
      <c r="D187" s="103"/>
      <c r="E187" s="103"/>
      <c r="F187" s="103"/>
      <c r="G187" s="103"/>
      <c r="H187" s="103"/>
      <c r="I187" s="103"/>
      <c r="J187" s="103"/>
      <c r="K187" s="103"/>
    </row>
    <row r="188" spans="4:11" x14ac:dyDescent="0.3">
      <c r="D188" s="103"/>
      <c r="E188" s="103"/>
      <c r="F188" s="103"/>
      <c r="G188" s="103"/>
      <c r="H188" s="103"/>
      <c r="I188" s="103"/>
      <c r="J188" s="103"/>
      <c r="K188" s="103"/>
    </row>
    <row r="189" spans="4:11" x14ac:dyDescent="0.3">
      <c r="D189" s="103"/>
      <c r="E189" s="103"/>
      <c r="F189" s="103"/>
      <c r="G189" s="103"/>
      <c r="H189" s="103"/>
      <c r="I189" s="103"/>
      <c r="J189" s="103"/>
      <c r="K189" s="103"/>
    </row>
    <row r="190" spans="4:11" x14ac:dyDescent="0.3">
      <c r="D190" s="103"/>
      <c r="E190" s="103"/>
      <c r="F190" s="103"/>
      <c r="G190" s="103"/>
      <c r="H190" s="103"/>
      <c r="I190" s="103"/>
      <c r="J190" s="103"/>
      <c r="K190" s="103"/>
    </row>
    <row r="191" spans="4:11" x14ac:dyDescent="0.3">
      <c r="D191" s="103"/>
      <c r="E191" s="103"/>
      <c r="F191" s="103"/>
      <c r="G191" s="103"/>
      <c r="H191" s="103"/>
      <c r="I191" s="103"/>
      <c r="J191" s="103"/>
      <c r="K191" s="103"/>
    </row>
    <row r="192" spans="4:11" x14ac:dyDescent="0.3">
      <c r="D192" s="103"/>
      <c r="E192" s="103"/>
      <c r="F192" s="103"/>
      <c r="G192" s="103"/>
      <c r="H192" s="103"/>
      <c r="I192" s="103"/>
      <c r="J192" s="103"/>
      <c r="K192" s="103"/>
    </row>
    <row r="193" spans="4:11" x14ac:dyDescent="0.3">
      <c r="D193" s="103"/>
      <c r="E193" s="103"/>
      <c r="F193" s="103"/>
      <c r="G193" s="103"/>
      <c r="H193" s="103"/>
      <c r="I193" s="103"/>
      <c r="J193" s="103"/>
      <c r="K193" s="103"/>
    </row>
    <row r="194" spans="4:11" x14ac:dyDescent="0.3">
      <c r="D194" s="103"/>
      <c r="E194" s="103"/>
      <c r="F194" s="103"/>
      <c r="G194" s="103"/>
      <c r="H194" s="103"/>
      <c r="I194" s="103"/>
      <c r="J194" s="103"/>
      <c r="K194" s="103"/>
    </row>
    <row r="195" spans="4:11" x14ac:dyDescent="0.3">
      <c r="D195" s="103"/>
      <c r="E195" s="103"/>
      <c r="F195" s="103"/>
      <c r="G195" s="103"/>
      <c r="H195" s="103"/>
      <c r="I195" s="103"/>
      <c r="J195" s="103"/>
      <c r="K195" s="103"/>
    </row>
    <row r="196" spans="4:11" x14ac:dyDescent="0.3">
      <c r="D196" s="103"/>
      <c r="E196" s="103"/>
      <c r="F196" s="103"/>
      <c r="G196" s="103"/>
      <c r="H196" s="103"/>
      <c r="I196" s="103"/>
      <c r="J196" s="103"/>
      <c r="K196" s="103"/>
    </row>
    <row r="197" spans="4:11" x14ac:dyDescent="0.3">
      <c r="D197" s="103"/>
      <c r="E197" s="103"/>
      <c r="F197" s="103"/>
      <c r="G197" s="103"/>
      <c r="H197" s="103"/>
      <c r="I197" s="103"/>
      <c r="J197" s="103"/>
      <c r="K197" s="103"/>
    </row>
    <row r="198" spans="4:11" x14ac:dyDescent="0.3">
      <c r="D198" s="103"/>
      <c r="E198" s="103"/>
      <c r="F198" s="103"/>
      <c r="G198" s="103"/>
      <c r="H198" s="103"/>
      <c r="I198" s="103"/>
      <c r="J198" s="103"/>
      <c r="K198" s="103"/>
    </row>
    <row r="199" spans="4:11" x14ac:dyDescent="0.3">
      <c r="D199" s="103"/>
      <c r="E199" s="103"/>
      <c r="F199" s="103"/>
      <c r="G199" s="103"/>
      <c r="H199" s="103"/>
      <c r="I199" s="103"/>
      <c r="J199" s="103"/>
      <c r="K199" s="103"/>
    </row>
    <row r="200" spans="4:11" x14ac:dyDescent="0.3">
      <c r="D200" s="103"/>
      <c r="E200" s="103"/>
      <c r="F200" s="103"/>
      <c r="G200" s="103"/>
      <c r="H200" s="103"/>
      <c r="I200" s="103"/>
      <c r="J200" s="103"/>
      <c r="K200" s="103"/>
    </row>
    <row r="201" spans="4:11" x14ac:dyDescent="0.3">
      <c r="D201" s="103"/>
      <c r="E201" s="103"/>
      <c r="F201" s="103"/>
      <c r="G201" s="103"/>
      <c r="H201" s="103"/>
      <c r="I201" s="103"/>
      <c r="J201" s="103"/>
      <c r="K201" s="103"/>
    </row>
    <row r="202" spans="4:11" x14ac:dyDescent="0.3">
      <c r="D202" s="103"/>
      <c r="E202" s="103"/>
      <c r="F202" s="103"/>
      <c r="G202" s="103"/>
      <c r="H202" s="103"/>
      <c r="I202" s="103"/>
      <c r="J202" s="103"/>
      <c r="K202" s="103"/>
    </row>
    <row r="203" spans="4:11" x14ac:dyDescent="0.3">
      <c r="D203" s="103"/>
      <c r="E203" s="103"/>
      <c r="F203" s="103"/>
      <c r="G203" s="103"/>
      <c r="H203" s="103"/>
      <c r="I203" s="103"/>
      <c r="J203" s="103"/>
      <c r="K203" s="103"/>
    </row>
    <row r="204" spans="4:11" x14ac:dyDescent="0.3">
      <c r="D204" s="103"/>
      <c r="E204" s="103"/>
      <c r="F204" s="103"/>
      <c r="G204" s="103"/>
      <c r="H204" s="103"/>
      <c r="I204" s="103"/>
      <c r="J204" s="103"/>
      <c r="K204" s="103"/>
    </row>
    <row r="205" spans="4:11" x14ac:dyDescent="0.3">
      <c r="D205" s="103"/>
      <c r="E205" s="103"/>
      <c r="F205" s="103"/>
      <c r="G205" s="103"/>
      <c r="H205" s="103"/>
      <c r="I205" s="103"/>
      <c r="J205" s="103"/>
      <c r="K205" s="103"/>
    </row>
    <row r="206" spans="4:11" x14ac:dyDescent="0.3">
      <c r="D206" s="103"/>
      <c r="E206" s="103"/>
      <c r="F206" s="103"/>
      <c r="G206" s="103"/>
      <c r="H206" s="103"/>
      <c r="I206" s="103"/>
      <c r="J206" s="103"/>
      <c r="K206" s="103"/>
    </row>
    <row r="207" spans="4:11" x14ac:dyDescent="0.3">
      <c r="D207" s="103"/>
      <c r="E207" s="103"/>
      <c r="F207" s="103"/>
      <c r="G207" s="103"/>
      <c r="H207" s="103"/>
      <c r="I207" s="103"/>
      <c r="J207" s="103"/>
      <c r="K207" s="103"/>
    </row>
    <row r="208" spans="4:11" x14ac:dyDescent="0.3">
      <c r="D208" s="103"/>
      <c r="E208" s="103"/>
      <c r="F208" s="103"/>
      <c r="G208" s="103"/>
      <c r="H208" s="103"/>
      <c r="I208" s="103"/>
      <c r="J208" s="103"/>
      <c r="K208" s="103"/>
    </row>
    <row r="209" spans="4:11" x14ac:dyDescent="0.3">
      <c r="D209" s="103"/>
      <c r="E209" s="103"/>
      <c r="F209" s="103"/>
      <c r="G209" s="103"/>
      <c r="H209" s="103"/>
      <c r="I209" s="103"/>
      <c r="J209" s="103"/>
      <c r="K209" s="103"/>
    </row>
    <row r="210" spans="4:11" x14ac:dyDescent="0.3">
      <c r="D210" s="103"/>
      <c r="E210" s="103"/>
      <c r="F210" s="103"/>
      <c r="G210" s="103"/>
      <c r="H210" s="103"/>
      <c r="I210" s="103"/>
      <c r="J210" s="103"/>
      <c r="K210" s="103"/>
    </row>
    <row r="211" spans="4:11" x14ac:dyDescent="0.3">
      <c r="D211" s="103"/>
      <c r="E211" s="103"/>
      <c r="F211" s="103"/>
      <c r="G211" s="103"/>
      <c r="H211" s="103"/>
      <c r="I211" s="103"/>
      <c r="J211" s="103"/>
      <c r="K211" s="103"/>
    </row>
    <row r="212" spans="4:11" x14ac:dyDescent="0.3">
      <c r="D212" s="103"/>
      <c r="E212" s="103"/>
      <c r="F212" s="103"/>
      <c r="G212" s="103"/>
      <c r="H212" s="103"/>
      <c r="I212" s="103"/>
      <c r="J212" s="103"/>
      <c r="K212" s="103"/>
    </row>
    <row r="213" spans="4:11" x14ac:dyDescent="0.3">
      <c r="D213" s="103"/>
      <c r="E213" s="103"/>
      <c r="F213" s="103"/>
      <c r="G213" s="103"/>
      <c r="H213" s="103"/>
      <c r="I213" s="103"/>
      <c r="J213" s="103"/>
      <c r="K213" s="103"/>
    </row>
    <row r="214" spans="4:11" x14ac:dyDescent="0.3">
      <c r="D214" s="103"/>
      <c r="E214" s="103"/>
      <c r="F214" s="103"/>
      <c r="G214" s="103"/>
      <c r="H214" s="103"/>
      <c r="I214" s="103"/>
      <c r="J214" s="103"/>
      <c r="K214" s="103"/>
    </row>
    <row r="215" spans="4:11" x14ac:dyDescent="0.3">
      <c r="D215" s="103"/>
      <c r="E215" s="103"/>
      <c r="F215" s="103"/>
      <c r="G215" s="103"/>
      <c r="H215" s="103"/>
      <c r="I215" s="103"/>
      <c r="J215" s="103"/>
      <c r="K215" s="103"/>
    </row>
    <row r="216" spans="4:11" x14ac:dyDescent="0.3">
      <c r="D216" s="103"/>
      <c r="E216" s="103"/>
      <c r="F216" s="103"/>
      <c r="G216" s="103"/>
      <c r="H216" s="103"/>
      <c r="I216" s="103"/>
      <c r="J216" s="103"/>
      <c r="K216" s="103"/>
    </row>
    <row r="217" spans="4:11" x14ac:dyDescent="0.3">
      <c r="D217" s="103"/>
      <c r="E217" s="103"/>
      <c r="F217" s="103"/>
      <c r="G217" s="103"/>
      <c r="H217" s="103"/>
      <c r="I217" s="103"/>
      <c r="J217" s="103"/>
      <c r="K217" s="103"/>
    </row>
    <row r="218" spans="4:11" x14ac:dyDescent="0.3">
      <c r="D218" s="103"/>
      <c r="E218" s="103"/>
      <c r="F218" s="103"/>
      <c r="G218" s="103"/>
      <c r="H218" s="103"/>
      <c r="I218" s="103"/>
      <c r="J218" s="103"/>
      <c r="K218" s="103"/>
    </row>
    <row r="219" spans="4:11" x14ac:dyDescent="0.3">
      <c r="D219" s="103"/>
      <c r="E219" s="103"/>
      <c r="F219" s="103"/>
      <c r="G219" s="103"/>
      <c r="H219" s="103"/>
      <c r="I219" s="103"/>
      <c r="J219" s="103"/>
      <c r="K219" s="103"/>
    </row>
  </sheetData>
  <conditionalFormatting sqref="A1:M1048576">
    <cfRule type="expression" dxfId="208" priority="24">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7528B0EC-8C69-4C7A-9AFB-E7BE84C4E8AB}">
            <xm:f>$K1=FilterSpecs!$F$13</xm:f>
            <x14:dxf>
              <font>
                <b/>
                <i val="0"/>
                <color theme="0"/>
              </font>
              <fill>
                <patternFill>
                  <bgColor theme="9" tint="-0.499984740745262"/>
                </patternFill>
              </fill>
            </x14:dxf>
          </x14:cfRule>
          <x14:cfRule type="expression" priority="2" id="{3811A1C1-BF6A-46E5-BDD2-7D8BB2E6E4D8}">
            <xm:f>$K1=FilterSpecs!$F$12</xm:f>
            <x14:dxf>
              <font>
                <b/>
                <i val="0"/>
                <color theme="0"/>
              </font>
              <fill>
                <patternFill>
                  <bgColor rgb="FFFF4F4F"/>
                </patternFill>
              </fill>
            </x14:dxf>
          </x14:cfRule>
          <x14:cfRule type="expression" priority="23" id="{E173FCC5-270E-4454-87CB-82806A8CDCBC}">
            <xm:f>$K1=FilterSpecs!$F$9</xm:f>
            <x14:dxf>
              <font>
                <b/>
                <i val="0"/>
                <color theme="0"/>
              </font>
              <fill>
                <patternFill>
                  <bgColor rgb="FFFF0000"/>
                </patternFill>
              </fill>
            </x14:dxf>
          </x14:cfRule>
          <x14:cfRule type="expression" priority="25" id="{C5FC5F0E-0B4C-4FC8-B2A0-2ED84AFD2964}">
            <xm:f>$K1=FilterSpecs!$F$7</xm:f>
            <x14:dxf>
              <font>
                <b/>
                <i val="0"/>
                <color theme="0"/>
              </font>
              <fill>
                <patternFill>
                  <bgColor rgb="FF00B0F0"/>
                </patternFill>
              </fill>
            </x14:dxf>
          </x14:cfRule>
          <x14:cfRule type="expression" priority="26" id="{FC02F295-7181-4BD2-909D-6F99BB0CFFF2}">
            <xm:f>$K1=FilterSpecs!$F$8</xm:f>
            <x14:dxf>
              <font>
                <b/>
                <i val="0"/>
                <color theme="0"/>
              </font>
              <fill>
                <patternFill>
                  <bgColor rgb="FFFFC000"/>
                </patternFill>
              </fill>
            </x14:dxf>
          </x14:cfRule>
          <x14:cfRule type="expression" priority="27" id="{765F211F-BACD-4173-8E57-0142279B8B56}">
            <xm:f>$K1=FilterSpecs!$F$10</xm:f>
            <x14:dxf>
              <font>
                <b/>
                <i val="0"/>
                <color theme="0"/>
              </font>
              <fill>
                <patternFill>
                  <bgColor rgb="FF002060"/>
                </patternFill>
              </fill>
            </x14:dxf>
          </x14:cfRule>
          <xm:sqref>A1:M1048576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DBFE7-1D48-4DC4-A2B5-93BDB5F95741}">
  <sheetPr codeName="Sheet9"/>
  <dimension ref="A1:XFD43"/>
  <sheetViews>
    <sheetView topLeftCell="B1" workbookViewId="0">
      <selection activeCell="E4" sqref="E4"/>
    </sheetView>
  </sheetViews>
  <sheetFormatPr defaultRowHeight="14.4" x14ac:dyDescent="0.3"/>
  <cols>
    <col min="1" max="1" width="43.77734375" style="125" bestFit="1" customWidth="1"/>
    <col min="2" max="2" width="39.6640625" style="125" customWidth="1"/>
    <col min="3" max="3" width="11.21875" style="125" customWidth="1"/>
    <col min="4" max="4" width="12.109375" style="125" bestFit="1" customWidth="1"/>
    <col min="5" max="5" width="8" style="111" customWidth="1"/>
    <col min="6" max="6" width="0.109375" style="105" customWidth="1"/>
    <col min="7" max="7" width="8.88671875" style="105" hidden="1" customWidth="1"/>
    <col min="8" max="8" width="61.88671875" style="125" customWidth="1"/>
    <col min="9" max="9" width="8.88671875" style="105" hidden="1" customWidth="1"/>
    <col min="10" max="10" width="12.88671875" style="102" bestFit="1" customWidth="1"/>
    <col min="11" max="11" width="4.33203125" style="125" customWidth="1"/>
    <col min="12" max="12" width="164.77734375" style="102" bestFit="1" customWidth="1"/>
    <col min="13" max="16384" width="8.88671875" style="105"/>
  </cols>
  <sheetData>
    <row r="1" spans="1:16384" s="77" customFormat="1" ht="15.6" thickTop="1" thickBot="1" x14ac:dyDescent="0.35">
      <c r="A1" s="115" t="s">
        <v>893</v>
      </c>
      <c r="B1" s="115" t="s">
        <v>163</v>
      </c>
      <c r="C1" s="115" t="s">
        <v>7</v>
      </c>
      <c r="D1" s="115" t="s">
        <v>25</v>
      </c>
      <c r="E1" s="87" t="s">
        <v>26</v>
      </c>
      <c r="F1" s="77" t="s">
        <v>27</v>
      </c>
      <c r="G1" s="77" t="s">
        <v>28</v>
      </c>
      <c r="H1" s="115" t="s">
        <v>29</v>
      </c>
      <c r="I1" s="77" t="s">
        <v>30</v>
      </c>
      <c r="J1" s="88" t="s">
        <v>31</v>
      </c>
      <c r="K1" s="115" t="s">
        <v>1918</v>
      </c>
      <c r="L1" s="88"/>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0"/>
      <c r="BSU1" s="70"/>
      <c r="BSV1" s="70"/>
      <c r="BSW1" s="70"/>
      <c r="BSX1" s="70"/>
      <c r="BSY1" s="70"/>
      <c r="BSZ1" s="70"/>
      <c r="BTA1" s="70"/>
      <c r="BTB1" s="70"/>
      <c r="BTC1" s="70"/>
      <c r="BTD1" s="70"/>
      <c r="BTE1" s="70"/>
      <c r="BTF1" s="70"/>
      <c r="BTG1" s="70"/>
      <c r="BTH1" s="70"/>
      <c r="BTI1" s="70"/>
      <c r="BTJ1" s="70"/>
      <c r="BTK1" s="70"/>
      <c r="BTL1" s="70"/>
      <c r="BTM1" s="70"/>
      <c r="BTN1" s="70"/>
      <c r="BTO1" s="70"/>
      <c r="BTP1" s="70"/>
      <c r="BTQ1" s="70"/>
      <c r="BTR1" s="70"/>
      <c r="BTS1" s="70"/>
      <c r="BTT1" s="70"/>
      <c r="BTU1" s="70"/>
      <c r="BTV1" s="70"/>
      <c r="BTW1" s="70"/>
      <c r="BTX1" s="70"/>
      <c r="BTY1" s="70"/>
      <c r="BTZ1" s="70"/>
      <c r="BUA1" s="70"/>
      <c r="BUB1" s="70"/>
      <c r="BUC1" s="70"/>
      <c r="BUD1" s="70"/>
      <c r="BUE1" s="70"/>
      <c r="BUF1" s="70"/>
      <c r="BUG1" s="70"/>
      <c r="BUH1" s="70"/>
      <c r="BUI1" s="70"/>
      <c r="BUJ1" s="70"/>
      <c r="BUK1" s="70"/>
      <c r="BUL1" s="70"/>
      <c r="BUM1" s="70"/>
      <c r="BUN1" s="70"/>
      <c r="BUO1" s="70"/>
      <c r="BUP1" s="70"/>
      <c r="BUQ1" s="70"/>
      <c r="BUR1" s="70"/>
      <c r="BUS1" s="70"/>
      <c r="BUT1" s="70"/>
      <c r="BUU1" s="70"/>
      <c r="BUV1" s="70"/>
      <c r="BUW1" s="70"/>
      <c r="BUX1" s="70"/>
      <c r="BUY1" s="70"/>
      <c r="BUZ1" s="70"/>
      <c r="BVA1" s="70"/>
      <c r="BVB1" s="70"/>
      <c r="BVC1" s="70"/>
      <c r="BVD1" s="70"/>
      <c r="BVE1" s="70"/>
      <c r="BVF1" s="70"/>
      <c r="BVG1" s="70"/>
      <c r="BVH1" s="70"/>
      <c r="BVI1" s="70"/>
      <c r="BVJ1" s="70"/>
      <c r="BVK1" s="70"/>
      <c r="BVL1" s="70"/>
      <c r="BVM1" s="70"/>
      <c r="BVN1" s="70"/>
      <c r="BVO1" s="70"/>
      <c r="BVP1" s="70"/>
      <c r="BVQ1" s="70"/>
      <c r="BVR1" s="70"/>
      <c r="BVS1" s="70"/>
      <c r="BVT1" s="70"/>
      <c r="BVU1" s="70"/>
      <c r="BVV1" s="70"/>
      <c r="BVW1" s="70"/>
      <c r="BVX1" s="70"/>
      <c r="BVY1" s="70"/>
      <c r="BVZ1" s="70"/>
      <c r="BWA1" s="70"/>
      <c r="BWB1" s="70"/>
      <c r="BWC1" s="70"/>
      <c r="BWD1" s="70"/>
      <c r="BWE1" s="70"/>
      <c r="BWF1" s="70"/>
      <c r="BWG1" s="70"/>
      <c r="BWH1" s="70"/>
      <c r="BWI1" s="70"/>
      <c r="BWJ1" s="70"/>
      <c r="BWK1" s="70"/>
      <c r="BWL1" s="70"/>
      <c r="BWM1" s="70"/>
      <c r="BWN1" s="70"/>
      <c r="BWO1" s="70"/>
      <c r="BWP1" s="70"/>
      <c r="BWQ1" s="70"/>
      <c r="BWR1" s="70"/>
      <c r="BWS1" s="70"/>
      <c r="BWT1" s="70"/>
      <c r="BWU1" s="70"/>
      <c r="BWV1" s="70"/>
      <c r="BWW1" s="70"/>
      <c r="BWX1" s="70"/>
      <c r="BWY1" s="70"/>
      <c r="BWZ1" s="70"/>
      <c r="BXA1" s="70"/>
      <c r="BXB1" s="70"/>
      <c r="BXC1" s="70"/>
      <c r="BXD1" s="70"/>
      <c r="BXE1" s="70"/>
      <c r="BXF1" s="70"/>
      <c r="BXG1" s="70"/>
      <c r="BXH1" s="70"/>
      <c r="BXI1" s="70"/>
      <c r="BXJ1" s="70"/>
      <c r="BXK1" s="70"/>
      <c r="BXL1" s="70"/>
      <c r="BXM1" s="70"/>
      <c r="BXN1" s="70"/>
      <c r="BXO1" s="70"/>
      <c r="BXP1" s="70"/>
      <c r="BXQ1" s="70"/>
      <c r="BXR1" s="70"/>
      <c r="BXS1" s="70"/>
      <c r="BXT1" s="70"/>
      <c r="BXU1" s="70"/>
      <c r="BXV1" s="70"/>
      <c r="BXW1" s="70"/>
      <c r="BXX1" s="70"/>
      <c r="BXY1" s="70"/>
      <c r="BXZ1" s="70"/>
      <c r="BYA1" s="70"/>
      <c r="BYB1" s="70"/>
      <c r="BYC1" s="70"/>
      <c r="BYD1" s="70"/>
      <c r="BYE1" s="70"/>
      <c r="BYF1" s="70"/>
      <c r="BYG1" s="70"/>
      <c r="BYH1" s="70"/>
      <c r="BYI1" s="70"/>
      <c r="BYJ1" s="70"/>
      <c r="BYK1" s="70"/>
      <c r="BYL1" s="70"/>
      <c r="BYM1" s="70"/>
      <c r="BYN1" s="70"/>
      <c r="BYO1" s="70"/>
      <c r="BYP1" s="70"/>
      <c r="BYQ1" s="70"/>
      <c r="BYR1" s="70"/>
      <c r="BYS1" s="70"/>
      <c r="BYT1" s="70"/>
      <c r="BYU1" s="70"/>
      <c r="BYV1" s="70"/>
      <c r="BYW1" s="70"/>
      <c r="BYX1" s="70"/>
      <c r="BYY1" s="70"/>
      <c r="BYZ1" s="70"/>
      <c r="BZA1" s="70"/>
      <c r="BZB1" s="70"/>
      <c r="BZC1" s="70"/>
      <c r="BZD1" s="70"/>
      <c r="BZE1" s="70"/>
      <c r="BZF1" s="70"/>
      <c r="BZG1" s="70"/>
      <c r="BZH1" s="70"/>
      <c r="BZI1" s="70"/>
      <c r="BZJ1" s="70"/>
      <c r="BZK1" s="70"/>
      <c r="BZL1" s="70"/>
      <c r="BZM1" s="70"/>
      <c r="BZN1" s="70"/>
      <c r="BZO1" s="70"/>
      <c r="BZP1" s="70"/>
      <c r="BZQ1" s="70"/>
      <c r="BZR1" s="70"/>
      <c r="BZS1" s="70"/>
      <c r="BZT1" s="70"/>
      <c r="BZU1" s="70"/>
      <c r="BZV1" s="70"/>
      <c r="BZW1" s="70"/>
      <c r="BZX1" s="70"/>
      <c r="BZY1" s="70"/>
      <c r="BZZ1" s="70"/>
      <c r="CAA1" s="70"/>
      <c r="CAB1" s="70"/>
      <c r="CAC1" s="70"/>
      <c r="CAD1" s="70"/>
      <c r="CAE1" s="70"/>
      <c r="CAF1" s="70"/>
      <c r="CAG1" s="70"/>
      <c r="CAH1" s="70"/>
      <c r="CAI1" s="70"/>
      <c r="CAJ1" s="70"/>
      <c r="CAK1" s="70"/>
      <c r="CAL1" s="70"/>
      <c r="CAM1" s="70"/>
      <c r="CAN1" s="70"/>
      <c r="CAO1" s="70"/>
      <c r="CAP1" s="70"/>
      <c r="CAQ1" s="70"/>
      <c r="CAR1" s="70"/>
      <c r="CAS1" s="70"/>
      <c r="CAT1" s="70"/>
      <c r="CAU1" s="70"/>
      <c r="CAV1" s="70"/>
      <c r="CAW1" s="70"/>
      <c r="CAX1" s="70"/>
      <c r="CAY1" s="70"/>
      <c r="CAZ1" s="70"/>
      <c r="CBA1" s="70"/>
      <c r="CBB1" s="70"/>
      <c r="CBC1" s="70"/>
      <c r="CBD1" s="70"/>
      <c r="CBE1" s="70"/>
      <c r="CBF1" s="70"/>
      <c r="CBG1" s="70"/>
      <c r="CBH1" s="70"/>
      <c r="CBI1" s="70"/>
      <c r="CBJ1" s="70"/>
      <c r="CBK1" s="70"/>
      <c r="CBL1" s="70"/>
      <c r="CBM1" s="70"/>
      <c r="CBN1" s="70"/>
      <c r="CBO1" s="70"/>
      <c r="CBP1" s="70"/>
      <c r="CBQ1" s="70"/>
      <c r="CBR1" s="70"/>
      <c r="CBS1" s="70"/>
      <c r="CBT1" s="70"/>
      <c r="CBU1" s="70"/>
      <c r="CBV1" s="70"/>
      <c r="CBW1" s="70"/>
      <c r="CBX1" s="70"/>
      <c r="CBY1" s="70"/>
      <c r="CBZ1" s="70"/>
      <c r="CCA1" s="70"/>
      <c r="CCB1" s="70"/>
      <c r="CCC1" s="70"/>
      <c r="CCD1" s="70"/>
      <c r="CCE1" s="70"/>
      <c r="CCF1" s="70"/>
      <c r="CCG1" s="70"/>
      <c r="CCH1" s="70"/>
      <c r="CCI1" s="70"/>
      <c r="CCJ1" s="70"/>
      <c r="CCK1" s="70"/>
      <c r="CCL1" s="70"/>
      <c r="CCM1" s="70"/>
      <c r="CCN1" s="70"/>
      <c r="CCO1" s="70"/>
      <c r="CCP1" s="70"/>
      <c r="CCQ1" s="70"/>
      <c r="CCR1" s="70"/>
      <c r="CCS1" s="70"/>
      <c r="CCT1" s="70"/>
      <c r="CCU1" s="70"/>
      <c r="CCV1" s="70"/>
      <c r="CCW1" s="70"/>
      <c r="CCX1" s="70"/>
      <c r="CCY1" s="70"/>
      <c r="CCZ1" s="70"/>
      <c r="CDA1" s="70"/>
      <c r="CDB1" s="70"/>
      <c r="CDC1" s="70"/>
      <c r="CDD1" s="70"/>
      <c r="CDE1" s="70"/>
      <c r="CDF1" s="70"/>
      <c r="CDG1" s="70"/>
      <c r="CDH1" s="70"/>
      <c r="CDI1" s="70"/>
      <c r="CDJ1" s="70"/>
      <c r="CDK1" s="70"/>
      <c r="CDL1" s="70"/>
      <c r="CDM1" s="70"/>
      <c r="CDN1" s="70"/>
      <c r="CDO1" s="70"/>
      <c r="CDP1" s="70"/>
      <c r="CDQ1" s="70"/>
      <c r="CDR1" s="70"/>
      <c r="CDS1" s="70"/>
      <c r="CDT1" s="70"/>
      <c r="CDU1" s="70"/>
      <c r="CDV1" s="70"/>
      <c r="CDW1" s="70"/>
      <c r="CDX1" s="70"/>
      <c r="CDY1" s="70"/>
      <c r="CDZ1" s="70"/>
      <c r="CEA1" s="70"/>
      <c r="CEB1" s="70"/>
      <c r="CEC1" s="70"/>
      <c r="CED1" s="70"/>
      <c r="CEE1" s="70"/>
      <c r="CEF1" s="70"/>
      <c r="CEG1" s="70"/>
      <c r="CEH1" s="70"/>
      <c r="CEI1" s="70"/>
      <c r="CEJ1" s="70"/>
      <c r="CEK1" s="70"/>
      <c r="CEL1" s="70"/>
      <c r="CEM1" s="70"/>
      <c r="CEN1" s="70"/>
      <c r="CEO1" s="70"/>
      <c r="CEP1" s="70"/>
      <c r="CEQ1" s="70"/>
      <c r="CER1" s="70"/>
      <c r="CES1" s="70"/>
      <c r="CET1" s="70"/>
      <c r="CEU1" s="70"/>
      <c r="CEV1" s="70"/>
      <c r="CEW1" s="70"/>
      <c r="CEX1" s="70"/>
      <c r="CEY1" s="70"/>
      <c r="CEZ1" s="70"/>
      <c r="CFA1" s="70"/>
      <c r="CFB1" s="70"/>
      <c r="CFC1" s="70"/>
      <c r="CFD1" s="70"/>
      <c r="CFE1" s="70"/>
      <c r="CFF1" s="70"/>
      <c r="CFG1" s="70"/>
      <c r="CFH1" s="70"/>
      <c r="CFI1" s="70"/>
      <c r="CFJ1" s="70"/>
      <c r="CFK1" s="70"/>
      <c r="CFL1" s="70"/>
      <c r="CFM1" s="70"/>
      <c r="CFN1" s="70"/>
      <c r="CFO1" s="70"/>
      <c r="CFP1" s="70"/>
      <c r="CFQ1" s="70"/>
      <c r="CFR1" s="70"/>
      <c r="CFS1" s="70"/>
      <c r="CFT1" s="70"/>
      <c r="CFU1" s="70"/>
      <c r="CFV1" s="70"/>
      <c r="CFW1" s="70"/>
      <c r="CFX1" s="70"/>
      <c r="CFY1" s="70"/>
      <c r="CFZ1" s="70"/>
      <c r="CGA1" s="70"/>
      <c r="CGB1" s="70"/>
      <c r="CGC1" s="70"/>
      <c r="CGD1" s="70"/>
      <c r="CGE1" s="70"/>
      <c r="CGF1" s="70"/>
      <c r="CGG1" s="70"/>
      <c r="CGH1" s="70"/>
      <c r="CGI1" s="70"/>
      <c r="CGJ1" s="70"/>
      <c r="CGK1" s="70"/>
      <c r="CGL1" s="70"/>
      <c r="CGM1" s="70"/>
      <c r="CGN1" s="70"/>
      <c r="CGO1" s="70"/>
      <c r="CGP1" s="70"/>
      <c r="CGQ1" s="70"/>
      <c r="CGR1" s="70"/>
      <c r="CGS1" s="70"/>
      <c r="CGT1" s="70"/>
      <c r="CGU1" s="70"/>
      <c r="CGV1" s="70"/>
      <c r="CGW1" s="70"/>
      <c r="CGX1" s="70"/>
      <c r="CGY1" s="70"/>
      <c r="CGZ1" s="70"/>
      <c r="CHA1" s="70"/>
      <c r="CHB1" s="70"/>
      <c r="CHC1" s="70"/>
      <c r="CHD1" s="70"/>
      <c r="CHE1" s="70"/>
      <c r="CHF1" s="70"/>
      <c r="CHG1" s="70"/>
      <c r="CHH1" s="70"/>
      <c r="CHI1" s="70"/>
      <c r="CHJ1" s="70"/>
      <c r="CHK1" s="70"/>
      <c r="CHL1" s="70"/>
      <c r="CHM1" s="70"/>
      <c r="CHN1" s="70"/>
      <c r="CHO1" s="70"/>
      <c r="CHP1" s="70"/>
      <c r="CHQ1" s="70"/>
      <c r="CHR1" s="70"/>
      <c r="CHS1" s="70"/>
      <c r="CHT1" s="70"/>
      <c r="CHU1" s="70"/>
      <c r="CHV1" s="70"/>
      <c r="CHW1" s="70"/>
      <c r="CHX1" s="70"/>
      <c r="CHY1" s="70"/>
      <c r="CHZ1" s="70"/>
      <c r="CIA1" s="70"/>
      <c r="CIB1" s="70"/>
      <c r="CIC1" s="70"/>
      <c r="CID1" s="70"/>
      <c r="CIE1" s="70"/>
      <c r="CIF1" s="70"/>
      <c r="CIG1" s="70"/>
      <c r="CIH1" s="70"/>
      <c r="CII1" s="70"/>
      <c r="CIJ1" s="70"/>
      <c r="CIK1" s="70"/>
      <c r="CIL1" s="70"/>
      <c r="CIM1" s="70"/>
      <c r="CIN1" s="70"/>
      <c r="CIO1" s="70"/>
      <c r="CIP1" s="70"/>
      <c r="CIQ1" s="70"/>
      <c r="CIR1" s="70"/>
      <c r="CIS1" s="70"/>
      <c r="CIT1" s="70"/>
      <c r="CIU1" s="70"/>
      <c r="CIV1" s="70"/>
      <c r="CIW1" s="70"/>
      <c r="CIX1" s="70"/>
      <c r="CIY1" s="70"/>
      <c r="CIZ1" s="70"/>
      <c r="CJA1" s="70"/>
      <c r="CJB1" s="70"/>
      <c r="CJC1" s="70"/>
      <c r="CJD1" s="70"/>
      <c r="CJE1" s="70"/>
      <c r="CJF1" s="70"/>
      <c r="CJG1" s="70"/>
      <c r="CJH1" s="70"/>
      <c r="CJI1" s="70"/>
      <c r="CJJ1" s="70"/>
      <c r="CJK1" s="70"/>
      <c r="CJL1" s="70"/>
      <c r="CJM1" s="70"/>
      <c r="CJN1" s="70"/>
      <c r="CJO1" s="70"/>
      <c r="CJP1" s="70"/>
      <c r="CJQ1" s="70"/>
      <c r="CJR1" s="70"/>
      <c r="CJS1" s="70"/>
      <c r="CJT1" s="70"/>
      <c r="CJU1" s="70"/>
      <c r="CJV1" s="70"/>
      <c r="CJW1" s="70"/>
      <c r="CJX1" s="70"/>
      <c r="CJY1" s="70"/>
      <c r="CJZ1" s="70"/>
      <c r="CKA1" s="70"/>
      <c r="CKB1" s="70"/>
      <c r="CKC1" s="70"/>
      <c r="CKD1" s="70"/>
      <c r="CKE1" s="70"/>
      <c r="CKF1" s="70"/>
      <c r="CKG1" s="70"/>
      <c r="CKH1" s="70"/>
      <c r="CKI1" s="70"/>
      <c r="CKJ1" s="70"/>
      <c r="CKK1" s="70"/>
      <c r="CKL1" s="70"/>
      <c r="CKM1" s="70"/>
      <c r="CKN1" s="70"/>
      <c r="CKO1" s="70"/>
      <c r="CKP1" s="70"/>
      <c r="CKQ1" s="70"/>
      <c r="CKR1" s="70"/>
      <c r="CKS1" s="70"/>
      <c r="CKT1" s="70"/>
      <c r="CKU1" s="70"/>
      <c r="CKV1" s="70"/>
      <c r="CKW1" s="70"/>
      <c r="CKX1" s="70"/>
      <c r="CKY1" s="70"/>
      <c r="CKZ1" s="70"/>
      <c r="CLA1" s="70"/>
      <c r="CLB1" s="70"/>
      <c r="CLC1" s="70"/>
      <c r="CLD1" s="70"/>
      <c r="CLE1" s="70"/>
      <c r="CLF1" s="70"/>
      <c r="CLG1" s="70"/>
      <c r="CLH1" s="70"/>
      <c r="CLI1" s="70"/>
      <c r="CLJ1" s="70"/>
      <c r="CLK1" s="70"/>
      <c r="CLL1" s="70"/>
      <c r="CLM1" s="70"/>
      <c r="CLN1" s="70"/>
      <c r="CLO1" s="70"/>
      <c r="CLP1" s="70"/>
      <c r="CLQ1" s="70"/>
      <c r="CLR1" s="70"/>
      <c r="CLS1" s="70"/>
      <c r="CLT1" s="70"/>
      <c r="CLU1" s="70"/>
      <c r="CLV1" s="70"/>
      <c r="CLW1" s="70"/>
      <c r="CLX1" s="70"/>
      <c r="CLY1" s="70"/>
      <c r="CLZ1" s="70"/>
      <c r="CMA1" s="70"/>
      <c r="CMB1" s="70"/>
      <c r="CMC1" s="70"/>
      <c r="CMD1" s="70"/>
      <c r="CME1" s="70"/>
      <c r="CMF1" s="70"/>
      <c r="CMG1" s="70"/>
      <c r="CMH1" s="70"/>
      <c r="CMI1" s="70"/>
      <c r="CMJ1" s="70"/>
      <c r="CMK1" s="70"/>
      <c r="CML1" s="70"/>
      <c r="CMM1" s="70"/>
      <c r="CMN1" s="70"/>
      <c r="CMO1" s="70"/>
      <c r="CMP1" s="70"/>
      <c r="CMQ1" s="70"/>
      <c r="CMR1" s="70"/>
      <c r="CMS1" s="70"/>
      <c r="CMT1" s="70"/>
      <c r="CMU1" s="70"/>
      <c r="CMV1" s="70"/>
      <c r="CMW1" s="70"/>
      <c r="CMX1" s="70"/>
      <c r="CMY1" s="70"/>
      <c r="CMZ1" s="70"/>
      <c r="CNA1" s="70"/>
      <c r="CNB1" s="70"/>
      <c r="CNC1" s="70"/>
      <c r="CND1" s="70"/>
      <c r="CNE1" s="70"/>
      <c r="CNF1" s="70"/>
      <c r="CNG1" s="70"/>
      <c r="CNH1" s="70"/>
      <c r="CNI1" s="70"/>
      <c r="CNJ1" s="70"/>
      <c r="CNK1" s="70"/>
      <c r="CNL1" s="70"/>
      <c r="CNM1" s="70"/>
      <c r="CNN1" s="70"/>
      <c r="CNO1" s="70"/>
      <c r="CNP1" s="70"/>
      <c r="CNQ1" s="70"/>
      <c r="CNR1" s="70"/>
      <c r="CNS1" s="70"/>
      <c r="CNT1" s="70"/>
      <c r="CNU1" s="70"/>
      <c r="CNV1" s="70"/>
      <c r="CNW1" s="70"/>
      <c r="CNX1" s="70"/>
      <c r="CNY1" s="70"/>
      <c r="CNZ1" s="70"/>
      <c r="COA1" s="70"/>
      <c r="COB1" s="70"/>
      <c r="COC1" s="70"/>
      <c r="COD1" s="70"/>
      <c r="COE1" s="70"/>
      <c r="COF1" s="70"/>
      <c r="COG1" s="70"/>
      <c r="COH1" s="70"/>
      <c r="COI1" s="70"/>
      <c r="COJ1" s="70"/>
      <c r="COK1" s="70"/>
      <c r="COL1" s="70"/>
      <c r="COM1" s="70"/>
      <c r="CON1" s="70"/>
      <c r="COO1" s="70"/>
      <c r="COP1" s="70"/>
      <c r="COQ1" s="70"/>
      <c r="COR1" s="70"/>
      <c r="COS1" s="70"/>
      <c r="COT1" s="70"/>
      <c r="COU1" s="70"/>
      <c r="COV1" s="70"/>
      <c r="COW1" s="70"/>
      <c r="COX1" s="70"/>
      <c r="COY1" s="70"/>
      <c r="COZ1" s="70"/>
      <c r="CPA1" s="70"/>
      <c r="CPB1" s="70"/>
      <c r="CPC1" s="70"/>
      <c r="CPD1" s="70"/>
      <c r="CPE1" s="70"/>
      <c r="CPF1" s="70"/>
      <c r="CPG1" s="70"/>
      <c r="CPH1" s="70"/>
      <c r="CPI1" s="70"/>
      <c r="CPJ1" s="70"/>
      <c r="CPK1" s="70"/>
      <c r="CPL1" s="70"/>
      <c r="CPM1" s="70"/>
      <c r="CPN1" s="70"/>
      <c r="CPO1" s="70"/>
      <c r="CPP1" s="70"/>
      <c r="CPQ1" s="70"/>
      <c r="CPR1" s="70"/>
      <c r="CPS1" s="70"/>
      <c r="CPT1" s="70"/>
      <c r="CPU1" s="70"/>
      <c r="CPV1" s="70"/>
      <c r="CPW1" s="70"/>
      <c r="CPX1" s="70"/>
      <c r="CPY1" s="70"/>
      <c r="CPZ1" s="70"/>
      <c r="CQA1" s="70"/>
      <c r="CQB1" s="70"/>
      <c r="CQC1" s="70"/>
      <c r="CQD1" s="70"/>
      <c r="CQE1" s="70"/>
      <c r="CQF1" s="70"/>
      <c r="CQG1" s="70"/>
      <c r="CQH1" s="70"/>
      <c r="CQI1" s="70"/>
      <c r="CQJ1" s="70"/>
      <c r="CQK1" s="70"/>
      <c r="CQL1" s="70"/>
      <c r="CQM1" s="70"/>
      <c r="CQN1" s="70"/>
      <c r="CQO1" s="70"/>
      <c r="CQP1" s="70"/>
      <c r="CQQ1" s="70"/>
      <c r="CQR1" s="70"/>
      <c r="CQS1" s="70"/>
      <c r="CQT1" s="70"/>
      <c r="CQU1" s="70"/>
      <c r="CQV1" s="70"/>
      <c r="CQW1" s="70"/>
      <c r="CQX1" s="70"/>
      <c r="CQY1" s="70"/>
      <c r="CQZ1" s="70"/>
      <c r="CRA1" s="70"/>
      <c r="CRB1" s="70"/>
      <c r="CRC1" s="70"/>
      <c r="CRD1" s="70"/>
      <c r="CRE1" s="70"/>
      <c r="CRF1" s="70"/>
      <c r="CRG1" s="70"/>
      <c r="CRH1" s="70"/>
      <c r="CRI1" s="70"/>
      <c r="CRJ1" s="70"/>
      <c r="CRK1" s="70"/>
      <c r="CRL1" s="70"/>
      <c r="CRM1" s="70"/>
      <c r="CRN1" s="70"/>
      <c r="CRO1" s="70"/>
      <c r="CRP1" s="70"/>
      <c r="CRQ1" s="70"/>
      <c r="CRR1" s="70"/>
      <c r="CRS1" s="70"/>
      <c r="CRT1" s="70"/>
      <c r="CRU1" s="70"/>
      <c r="CRV1" s="70"/>
      <c r="CRW1" s="70"/>
      <c r="CRX1" s="70"/>
      <c r="CRY1" s="70"/>
      <c r="CRZ1" s="70"/>
      <c r="CSA1" s="70"/>
      <c r="CSB1" s="70"/>
      <c r="CSC1" s="70"/>
      <c r="CSD1" s="70"/>
      <c r="CSE1" s="70"/>
      <c r="CSF1" s="70"/>
      <c r="CSG1" s="70"/>
      <c r="CSH1" s="70"/>
      <c r="CSI1" s="70"/>
      <c r="CSJ1" s="70"/>
      <c r="CSK1" s="70"/>
      <c r="CSL1" s="70"/>
      <c r="CSM1" s="70"/>
      <c r="CSN1" s="70"/>
      <c r="CSO1" s="70"/>
      <c r="CSP1" s="70"/>
      <c r="CSQ1" s="70"/>
      <c r="CSR1" s="70"/>
      <c r="CSS1" s="70"/>
      <c r="CST1" s="70"/>
      <c r="CSU1" s="70"/>
      <c r="CSV1" s="70"/>
      <c r="CSW1" s="70"/>
      <c r="CSX1" s="70"/>
      <c r="CSY1" s="70"/>
      <c r="CSZ1" s="70"/>
      <c r="CTA1" s="70"/>
      <c r="CTB1" s="70"/>
      <c r="CTC1" s="70"/>
      <c r="CTD1" s="70"/>
      <c r="CTE1" s="70"/>
      <c r="CTF1" s="70"/>
      <c r="CTG1" s="70"/>
      <c r="CTH1" s="70"/>
      <c r="CTI1" s="70"/>
      <c r="CTJ1" s="70"/>
      <c r="CTK1" s="70"/>
      <c r="CTL1" s="70"/>
      <c r="CTM1" s="70"/>
      <c r="CTN1" s="70"/>
      <c r="CTO1" s="70"/>
      <c r="CTP1" s="70"/>
      <c r="CTQ1" s="70"/>
      <c r="CTR1" s="70"/>
      <c r="CTS1" s="70"/>
      <c r="CTT1" s="70"/>
      <c r="CTU1" s="70"/>
      <c r="CTV1" s="70"/>
      <c r="CTW1" s="70"/>
      <c r="CTX1" s="70"/>
      <c r="CTY1" s="70"/>
      <c r="CTZ1" s="70"/>
      <c r="CUA1" s="70"/>
      <c r="CUB1" s="70"/>
      <c r="CUC1" s="70"/>
      <c r="CUD1" s="70"/>
      <c r="CUE1" s="70"/>
      <c r="CUF1" s="70"/>
      <c r="CUG1" s="70"/>
      <c r="CUH1" s="70"/>
      <c r="CUI1" s="70"/>
      <c r="CUJ1" s="70"/>
      <c r="CUK1" s="70"/>
      <c r="CUL1" s="70"/>
      <c r="CUM1" s="70"/>
      <c r="CUN1" s="70"/>
      <c r="CUO1" s="70"/>
      <c r="CUP1" s="70"/>
      <c r="CUQ1" s="70"/>
      <c r="CUR1" s="70"/>
      <c r="CUS1" s="70"/>
      <c r="CUT1" s="70"/>
      <c r="CUU1" s="70"/>
      <c r="CUV1" s="70"/>
      <c r="CUW1" s="70"/>
      <c r="CUX1" s="70"/>
      <c r="CUY1" s="70"/>
      <c r="CUZ1" s="70"/>
      <c r="CVA1" s="70"/>
      <c r="CVB1" s="70"/>
      <c r="CVC1" s="70"/>
      <c r="CVD1" s="70"/>
      <c r="CVE1" s="70"/>
      <c r="CVF1" s="70"/>
      <c r="CVG1" s="70"/>
      <c r="CVH1" s="70"/>
      <c r="CVI1" s="70"/>
      <c r="CVJ1" s="70"/>
      <c r="CVK1" s="70"/>
      <c r="CVL1" s="70"/>
      <c r="CVM1" s="70"/>
      <c r="CVN1" s="70"/>
      <c r="CVO1" s="70"/>
      <c r="CVP1" s="70"/>
      <c r="CVQ1" s="70"/>
      <c r="CVR1" s="70"/>
      <c r="CVS1" s="70"/>
      <c r="CVT1" s="70"/>
      <c r="CVU1" s="70"/>
      <c r="CVV1" s="70"/>
      <c r="CVW1" s="70"/>
      <c r="CVX1" s="70"/>
      <c r="CVY1" s="70"/>
      <c r="CVZ1" s="70"/>
      <c r="CWA1" s="70"/>
      <c r="CWB1" s="70"/>
      <c r="CWC1" s="70"/>
      <c r="CWD1" s="70"/>
      <c r="CWE1" s="70"/>
      <c r="CWF1" s="70"/>
      <c r="CWG1" s="70"/>
      <c r="CWH1" s="70"/>
      <c r="CWI1" s="70"/>
      <c r="CWJ1" s="70"/>
      <c r="CWK1" s="70"/>
      <c r="CWL1" s="70"/>
      <c r="CWM1" s="70"/>
      <c r="CWN1" s="70"/>
      <c r="CWO1" s="70"/>
      <c r="CWP1" s="70"/>
      <c r="CWQ1" s="70"/>
      <c r="CWR1" s="70"/>
      <c r="CWS1" s="70"/>
      <c r="CWT1" s="70"/>
      <c r="CWU1" s="70"/>
      <c r="CWV1" s="70"/>
      <c r="CWW1" s="70"/>
      <c r="CWX1" s="70"/>
      <c r="CWY1" s="70"/>
      <c r="CWZ1" s="70"/>
      <c r="CXA1" s="70"/>
      <c r="CXB1" s="70"/>
      <c r="CXC1" s="70"/>
      <c r="CXD1" s="70"/>
      <c r="CXE1" s="70"/>
      <c r="CXF1" s="70"/>
      <c r="CXG1" s="70"/>
      <c r="CXH1" s="70"/>
      <c r="CXI1" s="70"/>
      <c r="CXJ1" s="70"/>
      <c r="CXK1" s="70"/>
      <c r="CXL1" s="70"/>
      <c r="CXM1" s="70"/>
      <c r="CXN1" s="70"/>
      <c r="CXO1" s="70"/>
      <c r="CXP1" s="70"/>
      <c r="CXQ1" s="70"/>
      <c r="CXR1" s="70"/>
      <c r="CXS1" s="70"/>
      <c r="CXT1" s="70"/>
      <c r="CXU1" s="70"/>
      <c r="CXV1" s="70"/>
      <c r="CXW1" s="70"/>
      <c r="CXX1" s="70"/>
      <c r="CXY1" s="70"/>
      <c r="CXZ1" s="70"/>
      <c r="CYA1" s="70"/>
      <c r="CYB1" s="70"/>
      <c r="CYC1" s="70"/>
      <c r="CYD1" s="70"/>
      <c r="CYE1" s="70"/>
      <c r="CYF1" s="70"/>
      <c r="CYG1" s="70"/>
      <c r="CYH1" s="70"/>
      <c r="CYI1" s="70"/>
      <c r="CYJ1" s="70"/>
      <c r="CYK1" s="70"/>
      <c r="CYL1" s="70"/>
      <c r="CYM1" s="70"/>
      <c r="CYN1" s="70"/>
      <c r="CYO1" s="70"/>
      <c r="CYP1" s="70"/>
      <c r="CYQ1" s="70"/>
      <c r="CYR1" s="70"/>
      <c r="CYS1" s="70"/>
      <c r="CYT1" s="70"/>
      <c r="CYU1" s="70"/>
      <c r="CYV1" s="70"/>
      <c r="CYW1" s="70"/>
      <c r="CYX1" s="70"/>
      <c r="CYY1" s="70"/>
      <c r="CYZ1" s="70"/>
      <c r="CZA1" s="70"/>
      <c r="CZB1" s="70"/>
      <c r="CZC1" s="70"/>
      <c r="CZD1" s="70"/>
      <c r="CZE1" s="70"/>
      <c r="CZF1" s="70"/>
      <c r="CZG1" s="70"/>
      <c r="CZH1" s="70"/>
      <c r="CZI1" s="70"/>
      <c r="CZJ1" s="70"/>
      <c r="CZK1" s="70"/>
      <c r="CZL1" s="70"/>
      <c r="CZM1" s="70"/>
      <c r="CZN1" s="70"/>
      <c r="CZO1" s="70"/>
      <c r="CZP1" s="70"/>
      <c r="CZQ1" s="70"/>
      <c r="CZR1" s="70"/>
      <c r="CZS1" s="70"/>
      <c r="CZT1" s="70"/>
      <c r="CZU1" s="70"/>
      <c r="CZV1" s="70"/>
      <c r="CZW1" s="70"/>
      <c r="CZX1" s="70"/>
      <c r="CZY1" s="70"/>
      <c r="CZZ1" s="70"/>
      <c r="DAA1" s="70"/>
      <c r="DAB1" s="70"/>
      <c r="DAC1" s="70"/>
      <c r="DAD1" s="70"/>
      <c r="DAE1" s="70"/>
      <c r="DAF1" s="70"/>
      <c r="DAG1" s="70"/>
      <c r="DAH1" s="70"/>
      <c r="DAI1" s="70"/>
      <c r="DAJ1" s="70"/>
      <c r="DAK1" s="70"/>
      <c r="DAL1" s="70"/>
      <c r="DAM1" s="70"/>
      <c r="DAN1" s="70"/>
      <c r="DAO1" s="70"/>
      <c r="DAP1" s="70"/>
      <c r="DAQ1" s="70"/>
      <c r="DAR1" s="70"/>
      <c r="DAS1" s="70"/>
      <c r="DAT1" s="70"/>
      <c r="DAU1" s="70"/>
      <c r="DAV1" s="70"/>
      <c r="DAW1" s="70"/>
      <c r="DAX1" s="70"/>
      <c r="DAY1" s="70"/>
      <c r="DAZ1" s="70"/>
      <c r="DBA1" s="70"/>
      <c r="DBB1" s="70"/>
      <c r="DBC1" s="70"/>
      <c r="DBD1" s="70"/>
      <c r="DBE1" s="70"/>
      <c r="DBF1" s="70"/>
      <c r="DBG1" s="70"/>
      <c r="DBH1" s="70"/>
      <c r="DBI1" s="70"/>
      <c r="DBJ1" s="70"/>
      <c r="DBK1" s="70"/>
      <c r="DBL1" s="70"/>
      <c r="DBM1" s="70"/>
      <c r="DBN1" s="70"/>
      <c r="DBO1" s="70"/>
      <c r="DBP1" s="70"/>
      <c r="DBQ1" s="70"/>
      <c r="DBR1" s="70"/>
      <c r="DBS1" s="70"/>
      <c r="DBT1" s="70"/>
      <c r="DBU1" s="70"/>
      <c r="DBV1" s="70"/>
      <c r="DBW1" s="70"/>
      <c r="DBX1" s="70"/>
      <c r="DBY1" s="70"/>
      <c r="DBZ1" s="70"/>
      <c r="DCA1" s="70"/>
      <c r="DCB1" s="70"/>
      <c r="DCC1" s="70"/>
      <c r="DCD1" s="70"/>
      <c r="DCE1" s="70"/>
      <c r="DCF1" s="70"/>
      <c r="DCG1" s="70"/>
      <c r="DCH1" s="70"/>
      <c r="DCI1" s="70"/>
      <c r="DCJ1" s="70"/>
      <c r="DCK1" s="70"/>
      <c r="DCL1" s="70"/>
      <c r="DCM1" s="70"/>
      <c r="DCN1" s="70"/>
      <c r="DCO1" s="70"/>
      <c r="DCP1" s="70"/>
      <c r="DCQ1" s="70"/>
      <c r="DCR1" s="70"/>
      <c r="DCS1" s="70"/>
      <c r="DCT1" s="70"/>
      <c r="DCU1" s="70"/>
      <c r="DCV1" s="70"/>
      <c r="DCW1" s="70"/>
      <c r="DCX1" s="70"/>
      <c r="DCY1" s="70"/>
      <c r="DCZ1" s="70"/>
      <c r="DDA1" s="70"/>
      <c r="DDB1" s="70"/>
      <c r="DDC1" s="70"/>
      <c r="DDD1" s="70"/>
      <c r="DDE1" s="70"/>
      <c r="DDF1" s="70"/>
      <c r="DDG1" s="70"/>
      <c r="DDH1" s="70"/>
      <c r="DDI1" s="70"/>
      <c r="DDJ1" s="70"/>
      <c r="DDK1" s="70"/>
      <c r="DDL1" s="70"/>
      <c r="DDM1" s="70"/>
      <c r="DDN1" s="70"/>
      <c r="DDO1" s="70"/>
      <c r="DDP1" s="70"/>
      <c r="DDQ1" s="70"/>
      <c r="DDR1" s="70"/>
      <c r="DDS1" s="70"/>
      <c r="DDT1" s="70"/>
      <c r="DDU1" s="70"/>
      <c r="DDV1" s="70"/>
      <c r="DDW1" s="70"/>
      <c r="DDX1" s="70"/>
      <c r="DDY1" s="70"/>
      <c r="DDZ1" s="70"/>
      <c r="DEA1" s="70"/>
      <c r="DEB1" s="70"/>
      <c r="DEC1" s="70"/>
      <c r="DED1" s="70"/>
      <c r="DEE1" s="70"/>
      <c r="DEF1" s="70"/>
      <c r="DEG1" s="70"/>
      <c r="DEH1" s="70"/>
      <c r="DEI1" s="70"/>
      <c r="DEJ1" s="70"/>
      <c r="DEK1" s="70"/>
      <c r="DEL1" s="70"/>
      <c r="DEM1" s="70"/>
      <c r="DEN1" s="70"/>
      <c r="DEO1" s="70"/>
      <c r="DEP1" s="70"/>
      <c r="DEQ1" s="70"/>
      <c r="DER1" s="70"/>
      <c r="DES1" s="70"/>
      <c r="DET1" s="70"/>
      <c r="DEU1" s="70"/>
      <c r="DEV1" s="70"/>
      <c r="DEW1" s="70"/>
      <c r="DEX1" s="70"/>
      <c r="DEY1" s="70"/>
      <c r="DEZ1" s="70"/>
      <c r="DFA1" s="70"/>
      <c r="DFB1" s="70"/>
      <c r="DFC1" s="70"/>
      <c r="DFD1" s="70"/>
      <c r="DFE1" s="70"/>
      <c r="DFF1" s="70"/>
      <c r="DFG1" s="70"/>
      <c r="DFH1" s="70"/>
      <c r="DFI1" s="70"/>
      <c r="DFJ1" s="70"/>
      <c r="DFK1" s="70"/>
      <c r="DFL1" s="70"/>
      <c r="DFM1" s="70"/>
      <c r="DFN1" s="70"/>
      <c r="DFO1" s="70"/>
      <c r="DFP1" s="70"/>
      <c r="DFQ1" s="70"/>
      <c r="DFR1" s="70"/>
      <c r="DFS1" s="70"/>
      <c r="DFT1" s="70"/>
      <c r="DFU1" s="70"/>
      <c r="DFV1" s="70"/>
      <c r="DFW1" s="70"/>
      <c r="DFX1" s="70"/>
      <c r="DFY1" s="70"/>
      <c r="DFZ1" s="70"/>
      <c r="DGA1" s="70"/>
      <c r="DGB1" s="70"/>
      <c r="DGC1" s="70"/>
      <c r="DGD1" s="70"/>
      <c r="DGE1" s="70"/>
      <c r="DGF1" s="70"/>
      <c r="DGG1" s="70"/>
      <c r="DGH1" s="70"/>
      <c r="DGI1" s="70"/>
      <c r="DGJ1" s="70"/>
      <c r="DGK1" s="70"/>
      <c r="DGL1" s="70"/>
      <c r="DGM1" s="70"/>
      <c r="DGN1" s="70"/>
      <c r="DGO1" s="70"/>
      <c r="DGP1" s="70"/>
      <c r="DGQ1" s="70"/>
      <c r="DGR1" s="70"/>
      <c r="DGS1" s="70"/>
      <c r="DGT1" s="70"/>
      <c r="DGU1" s="70"/>
      <c r="DGV1" s="70"/>
      <c r="DGW1" s="70"/>
      <c r="DGX1" s="70"/>
      <c r="DGY1" s="70"/>
      <c r="DGZ1" s="70"/>
      <c r="DHA1" s="70"/>
      <c r="DHB1" s="70"/>
      <c r="DHC1" s="70"/>
      <c r="DHD1" s="70"/>
      <c r="DHE1" s="70"/>
      <c r="DHF1" s="70"/>
      <c r="DHG1" s="70"/>
      <c r="DHH1" s="70"/>
      <c r="DHI1" s="70"/>
      <c r="DHJ1" s="70"/>
      <c r="DHK1" s="70"/>
      <c r="DHL1" s="70"/>
      <c r="DHM1" s="70"/>
      <c r="DHN1" s="70"/>
      <c r="DHO1" s="70"/>
      <c r="DHP1" s="70"/>
      <c r="DHQ1" s="70"/>
      <c r="DHR1" s="70"/>
      <c r="DHS1" s="70"/>
      <c r="DHT1" s="70"/>
      <c r="DHU1" s="70"/>
      <c r="DHV1" s="70"/>
      <c r="DHW1" s="70"/>
      <c r="DHX1" s="70"/>
      <c r="DHY1" s="70"/>
      <c r="DHZ1" s="70"/>
      <c r="DIA1" s="70"/>
      <c r="DIB1" s="70"/>
      <c r="DIC1" s="70"/>
      <c r="DID1" s="70"/>
      <c r="DIE1" s="70"/>
      <c r="DIF1" s="70"/>
      <c r="DIG1" s="70"/>
      <c r="DIH1" s="70"/>
      <c r="DII1" s="70"/>
      <c r="DIJ1" s="70"/>
      <c r="DIK1" s="70"/>
      <c r="DIL1" s="70"/>
      <c r="DIM1" s="70"/>
      <c r="DIN1" s="70"/>
      <c r="DIO1" s="70"/>
      <c r="DIP1" s="70"/>
      <c r="DIQ1" s="70"/>
      <c r="DIR1" s="70"/>
      <c r="DIS1" s="70"/>
      <c r="DIT1" s="70"/>
      <c r="DIU1" s="70"/>
      <c r="DIV1" s="70"/>
      <c r="DIW1" s="70"/>
      <c r="DIX1" s="70"/>
      <c r="DIY1" s="70"/>
      <c r="DIZ1" s="70"/>
      <c r="DJA1" s="70"/>
      <c r="DJB1" s="70"/>
      <c r="DJC1" s="70"/>
      <c r="DJD1" s="70"/>
      <c r="DJE1" s="70"/>
      <c r="DJF1" s="70"/>
      <c r="DJG1" s="70"/>
      <c r="DJH1" s="70"/>
      <c r="DJI1" s="70"/>
      <c r="DJJ1" s="70"/>
      <c r="DJK1" s="70"/>
      <c r="DJL1" s="70"/>
      <c r="DJM1" s="70"/>
      <c r="DJN1" s="70"/>
      <c r="DJO1" s="70"/>
      <c r="DJP1" s="70"/>
      <c r="DJQ1" s="70"/>
      <c r="DJR1" s="70"/>
      <c r="DJS1" s="70"/>
      <c r="DJT1" s="70"/>
      <c r="DJU1" s="70"/>
      <c r="DJV1" s="70"/>
      <c r="DJW1" s="70"/>
      <c r="DJX1" s="70"/>
      <c r="DJY1" s="70"/>
      <c r="DJZ1" s="70"/>
      <c r="DKA1" s="70"/>
      <c r="DKB1" s="70"/>
      <c r="DKC1" s="70"/>
      <c r="DKD1" s="70"/>
      <c r="DKE1" s="70"/>
      <c r="DKF1" s="70"/>
      <c r="DKG1" s="70"/>
      <c r="DKH1" s="70"/>
      <c r="DKI1" s="70"/>
      <c r="DKJ1" s="70"/>
      <c r="DKK1" s="70"/>
      <c r="DKL1" s="70"/>
      <c r="DKM1" s="70"/>
      <c r="DKN1" s="70"/>
      <c r="DKO1" s="70"/>
      <c r="DKP1" s="70"/>
      <c r="DKQ1" s="70"/>
      <c r="DKR1" s="70"/>
      <c r="DKS1" s="70"/>
      <c r="DKT1" s="70"/>
      <c r="DKU1" s="70"/>
      <c r="DKV1" s="70"/>
      <c r="DKW1" s="70"/>
      <c r="DKX1" s="70"/>
      <c r="DKY1" s="70"/>
      <c r="DKZ1" s="70"/>
      <c r="DLA1" s="70"/>
      <c r="DLB1" s="70"/>
      <c r="DLC1" s="70"/>
      <c r="DLD1" s="70"/>
      <c r="DLE1" s="70"/>
      <c r="DLF1" s="70"/>
      <c r="DLG1" s="70"/>
      <c r="DLH1" s="70"/>
      <c r="DLI1" s="70"/>
      <c r="DLJ1" s="70"/>
      <c r="DLK1" s="70"/>
      <c r="DLL1" s="70"/>
      <c r="DLM1" s="70"/>
      <c r="DLN1" s="70"/>
      <c r="DLO1" s="70"/>
      <c r="DLP1" s="70"/>
      <c r="DLQ1" s="70"/>
      <c r="DLR1" s="70"/>
      <c r="DLS1" s="70"/>
      <c r="DLT1" s="70"/>
      <c r="DLU1" s="70"/>
      <c r="DLV1" s="70"/>
      <c r="DLW1" s="70"/>
      <c r="DLX1" s="70"/>
      <c r="DLY1" s="70"/>
      <c r="DLZ1" s="70"/>
      <c r="DMA1" s="70"/>
      <c r="DMB1" s="70"/>
      <c r="DMC1" s="70"/>
      <c r="DMD1" s="70"/>
      <c r="DME1" s="70"/>
      <c r="DMF1" s="70"/>
      <c r="DMG1" s="70"/>
      <c r="DMH1" s="70"/>
      <c r="DMI1" s="70"/>
      <c r="DMJ1" s="70"/>
      <c r="DMK1" s="70"/>
      <c r="DML1" s="70"/>
      <c r="DMM1" s="70"/>
      <c r="DMN1" s="70"/>
      <c r="DMO1" s="70"/>
      <c r="DMP1" s="70"/>
      <c r="DMQ1" s="70"/>
      <c r="DMR1" s="70"/>
      <c r="DMS1" s="70"/>
      <c r="DMT1" s="70"/>
      <c r="DMU1" s="70"/>
      <c r="DMV1" s="70"/>
      <c r="DMW1" s="70"/>
      <c r="DMX1" s="70"/>
      <c r="DMY1" s="70"/>
      <c r="DMZ1" s="70"/>
      <c r="DNA1" s="70"/>
      <c r="DNB1" s="70"/>
      <c r="DNC1" s="70"/>
      <c r="DND1" s="70"/>
      <c r="DNE1" s="70"/>
      <c r="DNF1" s="70"/>
      <c r="DNG1" s="70"/>
      <c r="DNH1" s="70"/>
      <c r="DNI1" s="70"/>
      <c r="DNJ1" s="70"/>
      <c r="DNK1" s="70"/>
      <c r="DNL1" s="70"/>
      <c r="DNM1" s="70"/>
      <c r="DNN1" s="70"/>
      <c r="DNO1" s="70"/>
      <c r="DNP1" s="70"/>
      <c r="DNQ1" s="70"/>
      <c r="DNR1" s="70"/>
      <c r="DNS1" s="70"/>
      <c r="DNT1" s="70"/>
      <c r="DNU1" s="70"/>
      <c r="DNV1" s="70"/>
      <c r="DNW1" s="70"/>
      <c r="DNX1" s="70"/>
      <c r="DNY1" s="70"/>
      <c r="DNZ1" s="70"/>
      <c r="DOA1" s="70"/>
      <c r="DOB1" s="70"/>
      <c r="DOC1" s="70"/>
      <c r="DOD1" s="70"/>
      <c r="DOE1" s="70"/>
      <c r="DOF1" s="70"/>
      <c r="DOG1" s="70"/>
      <c r="DOH1" s="70"/>
      <c r="DOI1" s="70"/>
      <c r="DOJ1" s="70"/>
      <c r="DOK1" s="70"/>
      <c r="DOL1" s="70"/>
      <c r="DOM1" s="70"/>
      <c r="DON1" s="70"/>
      <c r="DOO1" s="70"/>
      <c r="DOP1" s="70"/>
      <c r="DOQ1" s="70"/>
      <c r="DOR1" s="70"/>
      <c r="DOS1" s="70"/>
      <c r="DOT1" s="70"/>
      <c r="DOU1" s="70"/>
      <c r="DOV1" s="70"/>
      <c r="DOW1" s="70"/>
      <c r="DOX1" s="70"/>
      <c r="DOY1" s="70"/>
      <c r="DOZ1" s="70"/>
      <c r="DPA1" s="70"/>
      <c r="DPB1" s="70"/>
      <c r="DPC1" s="70"/>
      <c r="DPD1" s="70"/>
      <c r="DPE1" s="70"/>
      <c r="DPF1" s="70"/>
      <c r="DPG1" s="70"/>
      <c r="DPH1" s="70"/>
      <c r="DPI1" s="70"/>
      <c r="DPJ1" s="70"/>
      <c r="DPK1" s="70"/>
      <c r="DPL1" s="70"/>
      <c r="DPM1" s="70"/>
      <c r="DPN1" s="70"/>
      <c r="DPO1" s="70"/>
      <c r="DPP1" s="70"/>
      <c r="DPQ1" s="70"/>
      <c r="DPR1" s="70"/>
      <c r="DPS1" s="70"/>
      <c r="DPT1" s="70"/>
      <c r="DPU1" s="70"/>
      <c r="DPV1" s="70"/>
      <c r="DPW1" s="70"/>
      <c r="DPX1" s="70"/>
      <c r="DPY1" s="70"/>
      <c r="DPZ1" s="70"/>
      <c r="DQA1" s="70"/>
      <c r="DQB1" s="70"/>
      <c r="DQC1" s="70"/>
      <c r="DQD1" s="70"/>
      <c r="DQE1" s="70"/>
      <c r="DQF1" s="70"/>
      <c r="DQG1" s="70"/>
      <c r="DQH1" s="70"/>
      <c r="DQI1" s="70"/>
      <c r="DQJ1" s="70"/>
      <c r="DQK1" s="70"/>
      <c r="DQL1" s="70"/>
      <c r="DQM1" s="70"/>
      <c r="DQN1" s="70"/>
      <c r="DQO1" s="70"/>
      <c r="DQP1" s="70"/>
      <c r="DQQ1" s="70"/>
      <c r="DQR1" s="70"/>
      <c r="DQS1" s="70"/>
      <c r="DQT1" s="70"/>
      <c r="DQU1" s="70"/>
      <c r="DQV1" s="70"/>
      <c r="DQW1" s="70"/>
      <c r="DQX1" s="70"/>
      <c r="DQY1" s="70"/>
      <c r="DQZ1" s="70"/>
      <c r="DRA1" s="70"/>
      <c r="DRB1" s="70"/>
      <c r="DRC1" s="70"/>
      <c r="DRD1" s="70"/>
      <c r="DRE1" s="70"/>
      <c r="DRF1" s="70"/>
      <c r="DRG1" s="70"/>
      <c r="DRH1" s="70"/>
      <c r="DRI1" s="70"/>
      <c r="DRJ1" s="70"/>
      <c r="DRK1" s="70"/>
      <c r="DRL1" s="70"/>
      <c r="DRM1" s="70"/>
      <c r="DRN1" s="70"/>
      <c r="DRO1" s="70"/>
      <c r="DRP1" s="70"/>
      <c r="DRQ1" s="70"/>
      <c r="DRR1" s="70"/>
      <c r="DRS1" s="70"/>
      <c r="DRT1" s="70"/>
      <c r="DRU1" s="70"/>
      <c r="DRV1" s="70"/>
      <c r="DRW1" s="70"/>
      <c r="DRX1" s="70"/>
      <c r="DRY1" s="70"/>
      <c r="DRZ1" s="70"/>
      <c r="DSA1" s="70"/>
      <c r="DSB1" s="70"/>
      <c r="DSC1" s="70"/>
      <c r="DSD1" s="70"/>
      <c r="DSE1" s="70"/>
      <c r="DSF1" s="70"/>
      <c r="DSG1" s="70"/>
      <c r="DSH1" s="70"/>
      <c r="DSI1" s="70"/>
      <c r="DSJ1" s="70"/>
      <c r="DSK1" s="70"/>
      <c r="DSL1" s="70"/>
      <c r="DSM1" s="70"/>
      <c r="DSN1" s="70"/>
      <c r="DSO1" s="70"/>
      <c r="DSP1" s="70"/>
      <c r="DSQ1" s="70"/>
      <c r="DSR1" s="70"/>
      <c r="DSS1" s="70"/>
      <c r="DST1" s="70"/>
      <c r="DSU1" s="70"/>
      <c r="DSV1" s="70"/>
      <c r="DSW1" s="70"/>
      <c r="DSX1" s="70"/>
      <c r="DSY1" s="70"/>
      <c r="DSZ1" s="70"/>
      <c r="DTA1" s="70"/>
      <c r="DTB1" s="70"/>
      <c r="DTC1" s="70"/>
      <c r="DTD1" s="70"/>
      <c r="DTE1" s="70"/>
      <c r="DTF1" s="70"/>
      <c r="DTG1" s="70"/>
      <c r="DTH1" s="70"/>
      <c r="DTI1" s="70"/>
      <c r="DTJ1" s="70"/>
      <c r="DTK1" s="70"/>
      <c r="DTL1" s="70"/>
      <c r="DTM1" s="70"/>
      <c r="DTN1" s="70"/>
      <c r="DTO1" s="70"/>
      <c r="DTP1" s="70"/>
      <c r="DTQ1" s="70"/>
      <c r="DTR1" s="70"/>
      <c r="DTS1" s="70"/>
      <c r="DTT1" s="70"/>
      <c r="DTU1" s="70"/>
      <c r="DTV1" s="70"/>
      <c r="DTW1" s="70"/>
      <c r="DTX1" s="70"/>
      <c r="DTY1" s="70"/>
      <c r="DTZ1" s="70"/>
      <c r="DUA1" s="70"/>
      <c r="DUB1" s="70"/>
      <c r="DUC1" s="70"/>
      <c r="DUD1" s="70"/>
      <c r="DUE1" s="70"/>
      <c r="DUF1" s="70"/>
      <c r="DUG1" s="70"/>
      <c r="DUH1" s="70"/>
      <c r="DUI1" s="70"/>
      <c r="DUJ1" s="70"/>
      <c r="DUK1" s="70"/>
      <c r="DUL1" s="70"/>
      <c r="DUM1" s="70"/>
      <c r="DUN1" s="70"/>
      <c r="DUO1" s="70"/>
      <c r="DUP1" s="70"/>
      <c r="DUQ1" s="70"/>
      <c r="DUR1" s="70"/>
      <c r="DUS1" s="70"/>
      <c r="DUT1" s="70"/>
      <c r="DUU1" s="70"/>
      <c r="DUV1" s="70"/>
      <c r="DUW1" s="70"/>
      <c r="DUX1" s="70"/>
      <c r="DUY1" s="70"/>
      <c r="DUZ1" s="70"/>
      <c r="DVA1" s="70"/>
      <c r="DVB1" s="70"/>
      <c r="DVC1" s="70"/>
      <c r="DVD1" s="70"/>
      <c r="DVE1" s="70"/>
      <c r="DVF1" s="70"/>
      <c r="DVG1" s="70"/>
      <c r="DVH1" s="70"/>
      <c r="DVI1" s="70"/>
      <c r="DVJ1" s="70"/>
      <c r="DVK1" s="70"/>
      <c r="DVL1" s="70"/>
      <c r="DVM1" s="70"/>
      <c r="DVN1" s="70"/>
      <c r="DVO1" s="70"/>
      <c r="DVP1" s="70"/>
      <c r="DVQ1" s="70"/>
      <c r="DVR1" s="70"/>
      <c r="DVS1" s="70"/>
      <c r="DVT1" s="70"/>
      <c r="DVU1" s="70"/>
      <c r="DVV1" s="70"/>
      <c r="DVW1" s="70"/>
      <c r="DVX1" s="70"/>
      <c r="DVY1" s="70"/>
      <c r="DVZ1" s="70"/>
      <c r="DWA1" s="70"/>
      <c r="DWB1" s="70"/>
      <c r="DWC1" s="70"/>
      <c r="DWD1" s="70"/>
      <c r="DWE1" s="70"/>
      <c r="DWF1" s="70"/>
      <c r="DWG1" s="70"/>
      <c r="DWH1" s="70"/>
      <c r="DWI1" s="70"/>
      <c r="DWJ1" s="70"/>
      <c r="DWK1" s="70"/>
      <c r="DWL1" s="70"/>
      <c r="DWM1" s="70"/>
      <c r="DWN1" s="70"/>
      <c r="DWO1" s="70"/>
      <c r="DWP1" s="70"/>
      <c r="DWQ1" s="70"/>
      <c r="DWR1" s="70"/>
      <c r="DWS1" s="70"/>
      <c r="DWT1" s="70"/>
      <c r="DWU1" s="70"/>
      <c r="DWV1" s="70"/>
      <c r="DWW1" s="70"/>
      <c r="DWX1" s="70"/>
      <c r="DWY1" s="70"/>
      <c r="DWZ1" s="70"/>
      <c r="DXA1" s="70"/>
      <c r="DXB1" s="70"/>
      <c r="DXC1" s="70"/>
      <c r="DXD1" s="70"/>
      <c r="DXE1" s="70"/>
      <c r="DXF1" s="70"/>
      <c r="DXG1" s="70"/>
      <c r="DXH1" s="70"/>
      <c r="DXI1" s="70"/>
      <c r="DXJ1" s="70"/>
      <c r="DXK1" s="70"/>
      <c r="DXL1" s="70"/>
      <c r="DXM1" s="70"/>
      <c r="DXN1" s="70"/>
      <c r="DXO1" s="70"/>
      <c r="DXP1" s="70"/>
      <c r="DXQ1" s="70"/>
      <c r="DXR1" s="70"/>
      <c r="DXS1" s="70"/>
      <c r="DXT1" s="70"/>
      <c r="DXU1" s="70"/>
      <c r="DXV1" s="70"/>
      <c r="DXW1" s="70"/>
      <c r="DXX1" s="70"/>
      <c r="DXY1" s="70"/>
      <c r="DXZ1" s="70"/>
      <c r="DYA1" s="70"/>
      <c r="DYB1" s="70"/>
      <c r="DYC1" s="70"/>
      <c r="DYD1" s="70"/>
      <c r="DYE1" s="70"/>
      <c r="DYF1" s="70"/>
      <c r="DYG1" s="70"/>
      <c r="DYH1" s="70"/>
      <c r="DYI1" s="70"/>
      <c r="DYJ1" s="70"/>
      <c r="DYK1" s="70"/>
      <c r="DYL1" s="70"/>
      <c r="DYM1" s="70"/>
      <c r="DYN1" s="70"/>
      <c r="DYO1" s="70"/>
      <c r="DYP1" s="70"/>
      <c r="DYQ1" s="70"/>
      <c r="DYR1" s="70"/>
      <c r="DYS1" s="70"/>
      <c r="DYT1" s="70"/>
      <c r="DYU1" s="70"/>
      <c r="DYV1" s="70"/>
      <c r="DYW1" s="70"/>
      <c r="DYX1" s="70"/>
      <c r="DYY1" s="70"/>
      <c r="DYZ1" s="70"/>
      <c r="DZA1" s="70"/>
      <c r="DZB1" s="70"/>
      <c r="DZC1" s="70"/>
      <c r="DZD1" s="70"/>
      <c r="DZE1" s="70"/>
      <c r="DZF1" s="70"/>
      <c r="DZG1" s="70"/>
      <c r="DZH1" s="70"/>
      <c r="DZI1" s="70"/>
      <c r="DZJ1" s="70"/>
      <c r="DZK1" s="70"/>
      <c r="DZL1" s="70"/>
      <c r="DZM1" s="70"/>
      <c r="DZN1" s="70"/>
      <c r="DZO1" s="70"/>
      <c r="DZP1" s="70"/>
      <c r="DZQ1" s="70"/>
      <c r="DZR1" s="70"/>
      <c r="DZS1" s="70"/>
      <c r="DZT1" s="70"/>
      <c r="DZU1" s="70"/>
      <c r="DZV1" s="70"/>
      <c r="DZW1" s="70"/>
      <c r="DZX1" s="70"/>
      <c r="DZY1" s="70"/>
      <c r="DZZ1" s="70"/>
      <c r="EAA1" s="70"/>
      <c r="EAB1" s="70"/>
      <c r="EAC1" s="70"/>
      <c r="EAD1" s="70"/>
      <c r="EAE1" s="70"/>
      <c r="EAF1" s="70"/>
      <c r="EAG1" s="70"/>
      <c r="EAH1" s="70"/>
      <c r="EAI1" s="70"/>
      <c r="EAJ1" s="70"/>
      <c r="EAK1" s="70"/>
      <c r="EAL1" s="70"/>
      <c r="EAM1" s="70"/>
      <c r="EAN1" s="70"/>
      <c r="EAO1" s="70"/>
      <c r="EAP1" s="70"/>
      <c r="EAQ1" s="70"/>
      <c r="EAR1" s="70"/>
      <c r="EAS1" s="70"/>
      <c r="EAT1" s="70"/>
      <c r="EAU1" s="70"/>
      <c r="EAV1" s="70"/>
      <c r="EAW1" s="70"/>
      <c r="EAX1" s="70"/>
      <c r="EAY1" s="70"/>
      <c r="EAZ1" s="70"/>
      <c r="EBA1" s="70"/>
      <c r="EBB1" s="70"/>
      <c r="EBC1" s="70"/>
      <c r="EBD1" s="70"/>
      <c r="EBE1" s="70"/>
      <c r="EBF1" s="70"/>
      <c r="EBG1" s="70"/>
      <c r="EBH1" s="70"/>
      <c r="EBI1" s="70"/>
      <c r="EBJ1" s="70"/>
      <c r="EBK1" s="70"/>
      <c r="EBL1" s="70"/>
      <c r="EBM1" s="70"/>
      <c r="EBN1" s="70"/>
      <c r="EBO1" s="70"/>
      <c r="EBP1" s="70"/>
      <c r="EBQ1" s="70"/>
      <c r="EBR1" s="70"/>
      <c r="EBS1" s="70"/>
      <c r="EBT1" s="70"/>
      <c r="EBU1" s="70"/>
      <c r="EBV1" s="70"/>
      <c r="EBW1" s="70"/>
      <c r="EBX1" s="70"/>
      <c r="EBY1" s="70"/>
      <c r="EBZ1" s="70"/>
      <c r="ECA1" s="70"/>
      <c r="ECB1" s="70"/>
      <c r="ECC1" s="70"/>
      <c r="ECD1" s="70"/>
      <c r="ECE1" s="70"/>
      <c r="ECF1" s="70"/>
      <c r="ECG1" s="70"/>
      <c r="ECH1" s="70"/>
      <c r="ECI1" s="70"/>
      <c r="ECJ1" s="70"/>
      <c r="ECK1" s="70"/>
      <c r="ECL1" s="70"/>
      <c r="ECM1" s="70"/>
      <c r="ECN1" s="70"/>
      <c r="ECO1" s="70"/>
      <c r="ECP1" s="70"/>
      <c r="ECQ1" s="70"/>
      <c r="ECR1" s="70"/>
      <c r="ECS1" s="70"/>
      <c r="ECT1" s="70"/>
      <c r="ECU1" s="70"/>
      <c r="ECV1" s="70"/>
      <c r="ECW1" s="70"/>
      <c r="ECX1" s="70"/>
      <c r="ECY1" s="70"/>
      <c r="ECZ1" s="70"/>
      <c r="EDA1" s="70"/>
      <c r="EDB1" s="70"/>
      <c r="EDC1" s="70"/>
      <c r="EDD1" s="70"/>
      <c r="EDE1" s="70"/>
      <c r="EDF1" s="70"/>
      <c r="EDG1" s="70"/>
      <c r="EDH1" s="70"/>
      <c r="EDI1" s="70"/>
      <c r="EDJ1" s="70"/>
      <c r="EDK1" s="70"/>
      <c r="EDL1" s="70"/>
      <c r="EDM1" s="70"/>
      <c r="EDN1" s="70"/>
      <c r="EDO1" s="70"/>
      <c r="EDP1" s="70"/>
      <c r="EDQ1" s="70"/>
      <c r="EDR1" s="70"/>
      <c r="EDS1" s="70"/>
      <c r="EDT1" s="70"/>
      <c r="EDU1" s="70"/>
      <c r="EDV1" s="70"/>
      <c r="EDW1" s="70"/>
      <c r="EDX1" s="70"/>
      <c r="EDY1" s="70"/>
      <c r="EDZ1" s="70"/>
      <c r="EEA1" s="70"/>
      <c r="EEB1" s="70"/>
      <c r="EEC1" s="70"/>
      <c r="EED1" s="70"/>
      <c r="EEE1" s="70"/>
      <c r="EEF1" s="70"/>
      <c r="EEG1" s="70"/>
      <c r="EEH1" s="70"/>
      <c r="EEI1" s="70"/>
      <c r="EEJ1" s="70"/>
      <c r="EEK1" s="70"/>
      <c r="EEL1" s="70"/>
      <c r="EEM1" s="70"/>
      <c r="EEN1" s="70"/>
      <c r="EEO1" s="70"/>
      <c r="EEP1" s="70"/>
      <c r="EEQ1" s="70"/>
      <c r="EER1" s="70"/>
      <c r="EES1" s="70"/>
      <c r="EET1" s="70"/>
      <c r="EEU1" s="70"/>
      <c r="EEV1" s="70"/>
      <c r="EEW1" s="70"/>
      <c r="EEX1" s="70"/>
      <c r="EEY1" s="70"/>
      <c r="EEZ1" s="70"/>
      <c r="EFA1" s="70"/>
      <c r="EFB1" s="70"/>
      <c r="EFC1" s="70"/>
      <c r="EFD1" s="70"/>
      <c r="EFE1" s="70"/>
      <c r="EFF1" s="70"/>
      <c r="EFG1" s="70"/>
      <c r="EFH1" s="70"/>
      <c r="EFI1" s="70"/>
      <c r="EFJ1" s="70"/>
      <c r="EFK1" s="70"/>
      <c r="EFL1" s="70"/>
      <c r="EFM1" s="70"/>
      <c r="EFN1" s="70"/>
      <c r="EFO1" s="70"/>
      <c r="EFP1" s="70"/>
      <c r="EFQ1" s="70"/>
      <c r="EFR1" s="70"/>
      <c r="EFS1" s="70"/>
      <c r="EFT1" s="70"/>
      <c r="EFU1" s="70"/>
      <c r="EFV1" s="70"/>
      <c r="EFW1" s="70"/>
      <c r="EFX1" s="70"/>
      <c r="EFY1" s="70"/>
      <c r="EFZ1" s="70"/>
      <c r="EGA1" s="70"/>
      <c r="EGB1" s="70"/>
      <c r="EGC1" s="70"/>
      <c r="EGD1" s="70"/>
      <c r="EGE1" s="70"/>
      <c r="EGF1" s="70"/>
      <c r="EGG1" s="70"/>
      <c r="EGH1" s="70"/>
      <c r="EGI1" s="70"/>
      <c r="EGJ1" s="70"/>
      <c r="EGK1" s="70"/>
      <c r="EGL1" s="70"/>
      <c r="EGM1" s="70"/>
      <c r="EGN1" s="70"/>
      <c r="EGO1" s="70"/>
      <c r="EGP1" s="70"/>
      <c r="EGQ1" s="70"/>
      <c r="EGR1" s="70"/>
      <c r="EGS1" s="70"/>
      <c r="EGT1" s="70"/>
      <c r="EGU1" s="70"/>
      <c r="EGV1" s="70"/>
      <c r="EGW1" s="70"/>
      <c r="EGX1" s="70"/>
      <c r="EGY1" s="70"/>
      <c r="EGZ1" s="70"/>
      <c r="EHA1" s="70"/>
      <c r="EHB1" s="70"/>
      <c r="EHC1" s="70"/>
      <c r="EHD1" s="70"/>
      <c r="EHE1" s="70"/>
      <c r="EHF1" s="70"/>
      <c r="EHG1" s="70"/>
      <c r="EHH1" s="70"/>
      <c r="EHI1" s="70"/>
      <c r="EHJ1" s="70"/>
      <c r="EHK1" s="70"/>
      <c r="EHL1" s="70"/>
      <c r="EHM1" s="70"/>
      <c r="EHN1" s="70"/>
      <c r="EHO1" s="70"/>
      <c r="EHP1" s="70"/>
      <c r="EHQ1" s="70"/>
      <c r="EHR1" s="70"/>
      <c r="EHS1" s="70"/>
      <c r="EHT1" s="70"/>
      <c r="EHU1" s="70"/>
      <c r="EHV1" s="70"/>
      <c r="EHW1" s="70"/>
      <c r="EHX1" s="70"/>
      <c r="EHY1" s="70"/>
      <c r="EHZ1" s="70"/>
      <c r="EIA1" s="70"/>
      <c r="EIB1" s="70"/>
      <c r="EIC1" s="70"/>
      <c r="EID1" s="70"/>
      <c r="EIE1" s="70"/>
      <c r="EIF1" s="70"/>
      <c r="EIG1" s="70"/>
      <c r="EIH1" s="70"/>
      <c r="EII1" s="70"/>
      <c r="EIJ1" s="70"/>
      <c r="EIK1" s="70"/>
      <c r="EIL1" s="70"/>
      <c r="EIM1" s="70"/>
      <c r="EIN1" s="70"/>
      <c r="EIO1" s="70"/>
      <c r="EIP1" s="70"/>
      <c r="EIQ1" s="70"/>
      <c r="EIR1" s="70"/>
      <c r="EIS1" s="70"/>
      <c r="EIT1" s="70"/>
      <c r="EIU1" s="70"/>
      <c r="EIV1" s="70"/>
      <c r="EIW1" s="70"/>
      <c r="EIX1" s="70"/>
      <c r="EIY1" s="70"/>
      <c r="EIZ1" s="70"/>
      <c r="EJA1" s="70"/>
      <c r="EJB1" s="70"/>
      <c r="EJC1" s="70"/>
      <c r="EJD1" s="70"/>
      <c r="EJE1" s="70"/>
      <c r="EJF1" s="70"/>
      <c r="EJG1" s="70"/>
      <c r="EJH1" s="70"/>
      <c r="EJI1" s="70"/>
      <c r="EJJ1" s="70"/>
      <c r="EJK1" s="70"/>
      <c r="EJL1" s="70"/>
      <c r="EJM1" s="70"/>
      <c r="EJN1" s="70"/>
      <c r="EJO1" s="70"/>
      <c r="EJP1" s="70"/>
      <c r="EJQ1" s="70"/>
      <c r="EJR1" s="70"/>
      <c r="EJS1" s="70"/>
      <c r="EJT1" s="70"/>
      <c r="EJU1" s="70"/>
      <c r="EJV1" s="70"/>
      <c r="EJW1" s="70"/>
      <c r="EJX1" s="70"/>
      <c r="EJY1" s="70"/>
      <c r="EJZ1" s="70"/>
      <c r="EKA1" s="70"/>
      <c r="EKB1" s="70"/>
      <c r="EKC1" s="70"/>
      <c r="EKD1" s="70"/>
      <c r="EKE1" s="70"/>
      <c r="EKF1" s="70"/>
      <c r="EKG1" s="70"/>
      <c r="EKH1" s="70"/>
      <c r="EKI1" s="70"/>
      <c r="EKJ1" s="70"/>
      <c r="EKK1" s="70"/>
      <c r="EKL1" s="70"/>
      <c r="EKM1" s="70"/>
      <c r="EKN1" s="70"/>
      <c r="EKO1" s="70"/>
      <c r="EKP1" s="70"/>
      <c r="EKQ1" s="70"/>
      <c r="EKR1" s="70"/>
      <c r="EKS1" s="70"/>
      <c r="EKT1" s="70"/>
      <c r="EKU1" s="70"/>
      <c r="EKV1" s="70"/>
      <c r="EKW1" s="70"/>
      <c r="EKX1" s="70"/>
      <c r="EKY1" s="70"/>
      <c r="EKZ1" s="70"/>
      <c r="ELA1" s="70"/>
      <c r="ELB1" s="70"/>
      <c r="ELC1" s="70"/>
      <c r="ELD1" s="70"/>
      <c r="ELE1" s="70"/>
      <c r="ELF1" s="70"/>
      <c r="ELG1" s="70"/>
      <c r="ELH1" s="70"/>
      <c r="ELI1" s="70"/>
      <c r="ELJ1" s="70"/>
      <c r="ELK1" s="70"/>
      <c r="ELL1" s="70"/>
      <c r="ELM1" s="70"/>
      <c r="ELN1" s="70"/>
      <c r="ELO1" s="70"/>
      <c r="ELP1" s="70"/>
      <c r="ELQ1" s="70"/>
      <c r="ELR1" s="70"/>
      <c r="ELS1" s="70"/>
      <c r="ELT1" s="70"/>
      <c r="ELU1" s="70"/>
      <c r="ELV1" s="70"/>
      <c r="ELW1" s="70"/>
      <c r="ELX1" s="70"/>
      <c r="ELY1" s="70"/>
      <c r="ELZ1" s="70"/>
      <c r="EMA1" s="70"/>
      <c r="EMB1" s="70"/>
      <c r="EMC1" s="70"/>
      <c r="EMD1" s="70"/>
      <c r="EME1" s="70"/>
      <c r="EMF1" s="70"/>
      <c r="EMG1" s="70"/>
      <c r="EMH1" s="70"/>
      <c r="EMI1" s="70"/>
      <c r="EMJ1" s="70"/>
      <c r="EMK1" s="70"/>
      <c r="EML1" s="70"/>
      <c r="EMM1" s="70"/>
      <c r="EMN1" s="70"/>
      <c r="EMO1" s="70"/>
      <c r="EMP1" s="70"/>
      <c r="EMQ1" s="70"/>
      <c r="EMR1" s="70"/>
      <c r="EMS1" s="70"/>
      <c r="EMT1" s="70"/>
      <c r="EMU1" s="70"/>
      <c r="EMV1" s="70"/>
      <c r="EMW1" s="70"/>
      <c r="EMX1" s="70"/>
      <c r="EMY1" s="70"/>
      <c r="EMZ1" s="70"/>
      <c r="ENA1" s="70"/>
      <c r="ENB1" s="70"/>
      <c r="ENC1" s="70"/>
      <c r="END1" s="70"/>
      <c r="ENE1" s="70"/>
      <c r="ENF1" s="70"/>
      <c r="ENG1" s="70"/>
      <c r="ENH1" s="70"/>
      <c r="ENI1" s="70"/>
      <c r="ENJ1" s="70"/>
      <c r="ENK1" s="70"/>
      <c r="ENL1" s="70"/>
      <c r="ENM1" s="70"/>
      <c r="ENN1" s="70"/>
      <c r="ENO1" s="70"/>
      <c r="ENP1" s="70"/>
      <c r="ENQ1" s="70"/>
      <c r="ENR1" s="70"/>
      <c r="ENS1" s="70"/>
      <c r="ENT1" s="70"/>
      <c r="ENU1" s="70"/>
      <c r="ENV1" s="70"/>
      <c r="ENW1" s="70"/>
      <c r="ENX1" s="70"/>
      <c r="ENY1" s="70"/>
      <c r="ENZ1" s="70"/>
      <c r="EOA1" s="70"/>
      <c r="EOB1" s="70"/>
      <c r="EOC1" s="70"/>
      <c r="EOD1" s="70"/>
      <c r="EOE1" s="70"/>
      <c r="EOF1" s="70"/>
      <c r="EOG1" s="70"/>
      <c r="EOH1" s="70"/>
      <c r="EOI1" s="70"/>
      <c r="EOJ1" s="70"/>
      <c r="EOK1" s="70"/>
      <c r="EOL1" s="70"/>
      <c r="EOM1" s="70"/>
      <c r="EON1" s="70"/>
      <c r="EOO1" s="70"/>
      <c r="EOP1" s="70"/>
      <c r="EOQ1" s="70"/>
      <c r="EOR1" s="70"/>
      <c r="EOS1" s="70"/>
      <c r="EOT1" s="70"/>
      <c r="EOU1" s="70"/>
      <c r="EOV1" s="70"/>
      <c r="EOW1" s="70"/>
      <c r="EOX1" s="70"/>
      <c r="EOY1" s="70"/>
      <c r="EOZ1" s="70"/>
      <c r="EPA1" s="70"/>
      <c r="EPB1" s="70"/>
      <c r="EPC1" s="70"/>
      <c r="EPD1" s="70"/>
      <c r="EPE1" s="70"/>
      <c r="EPF1" s="70"/>
      <c r="EPG1" s="70"/>
      <c r="EPH1" s="70"/>
      <c r="EPI1" s="70"/>
      <c r="EPJ1" s="70"/>
      <c r="EPK1" s="70"/>
      <c r="EPL1" s="70"/>
      <c r="EPM1" s="70"/>
      <c r="EPN1" s="70"/>
      <c r="EPO1" s="70"/>
      <c r="EPP1" s="70"/>
      <c r="EPQ1" s="70"/>
      <c r="EPR1" s="70"/>
      <c r="EPS1" s="70"/>
      <c r="EPT1" s="70"/>
      <c r="EPU1" s="70"/>
      <c r="EPV1" s="70"/>
      <c r="EPW1" s="70"/>
      <c r="EPX1" s="70"/>
      <c r="EPY1" s="70"/>
      <c r="EPZ1" s="70"/>
      <c r="EQA1" s="70"/>
      <c r="EQB1" s="70"/>
      <c r="EQC1" s="70"/>
      <c r="EQD1" s="70"/>
      <c r="EQE1" s="70"/>
      <c r="EQF1" s="70"/>
      <c r="EQG1" s="70"/>
      <c r="EQH1" s="70"/>
      <c r="EQI1" s="70"/>
      <c r="EQJ1" s="70"/>
      <c r="EQK1" s="70"/>
      <c r="EQL1" s="70"/>
      <c r="EQM1" s="70"/>
      <c r="EQN1" s="70"/>
      <c r="EQO1" s="70"/>
      <c r="EQP1" s="70"/>
      <c r="EQQ1" s="70"/>
      <c r="EQR1" s="70"/>
      <c r="EQS1" s="70"/>
      <c r="EQT1" s="70"/>
      <c r="EQU1" s="70"/>
      <c r="EQV1" s="70"/>
      <c r="EQW1" s="70"/>
      <c r="EQX1" s="70"/>
      <c r="EQY1" s="70"/>
      <c r="EQZ1" s="70"/>
      <c r="ERA1" s="70"/>
      <c r="ERB1" s="70"/>
      <c r="ERC1" s="70"/>
      <c r="ERD1" s="70"/>
      <c r="ERE1" s="70"/>
      <c r="ERF1" s="70"/>
      <c r="ERG1" s="70"/>
      <c r="ERH1" s="70"/>
      <c r="ERI1" s="70"/>
      <c r="ERJ1" s="70"/>
      <c r="ERK1" s="70"/>
      <c r="ERL1" s="70"/>
      <c r="ERM1" s="70"/>
      <c r="ERN1" s="70"/>
      <c r="ERO1" s="70"/>
      <c r="ERP1" s="70"/>
      <c r="ERQ1" s="70"/>
      <c r="ERR1" s="70"/>
      <c r="ERS1" s="70"/>
      <c r="ERT1" s="70"/>
      <c r="ERU1" s="70"/>
      <c r="ERV1" s="70"/>
      <c r="ERW1" s="70"/>
      <c r="ERX1" s="70"/>
      <c r="ERY1" s="70"/>
      <c r="ERZ1" s="70"/>
      <c r="ESA1" s="70"/>
      <c r="ESB1" s="70"/>
      <c r="ESC1" s="70"/>
      <c r="ESD1" s="70"/>
      <c r="ESE1" s="70"/>
      <c r="ESF1" s="70"/>
      <c r="ESG1" s="70"/>
      <c r="ESH1" s="70"/>
      <c r="ESI1" s="70"/>
      <c r="ESJ1" s="70"/>
      <c r="ESK1" s="70"/>
      <c r="ESL1" s="70"/>
      <c r="ESM1" s="70"/>
      <c r="ESN1" s="70"/>
      <c r="ESO1" s="70"/>
      <c r="ESP1" s="70"/>
      <c r="ESQ1" s="70"/>
      <c r="ESR1" s="70"/>
      <c r="ESS1" s="70"/>
      <c r="EST1" s="70"/>
      <c r="ESU1" s="70"/>
      <c r="ESV1" s="70"/>
      <c r="ESW1" s="70"/>
      <c r="ESX1" s="70"/>
      <c r="ESY1" s="70"/>
      <c r="ESZ1" s="70"/>
      <c r="ETA1" s="70"/>
      <c r="ETB1" s="70"/>
      <c r="ETC1" s="70"/>
      <c r="ETD1" s="70"/>
      <c r="ETE1" s="70"/>
      <c r="ETF1" s="70"/>
      <c r="ETG1" s="70"/>
      <c r="ETH1" s="70"/>
      <c r="ETI1" s="70"/>
      <c r="ETJ1" s="70"/>
      <c r="ETK1" s="70"/>
      <c r="ETL1" s="70"/>
      <c r="ETM1" s="70"/>
      <c r="ETN1" s="70"/>
      <c r="ETO1" s="70"/>
      <c r="ETP1" s="70"/>
      <c r="ETQ1" s="70"/>
      <c r="ETR1" s="70"/>
      <c r="ETS1" s="70"/>
      <c r="ETT1" s="70"/>
      <c r="ETU1" s="70"/>
      <c r="ETV1" s="70"/>
      <c r="ETW1" s="70"/>
      <c r="ETX1" s="70"/>
      <c r="ETY1" s="70"/>
      <c r="ETZ1" s="70"/>
      <c r="EUA1" s="70"/>
      <c r="EUB1" s="70"/>
      <c r="EUC1" s="70"/>
      <c r="EUD1" s="70"/>
      <c r="EUE1" s="70"/>
      <c r="EUF1" s="70"/>
      <c r="EUG1" s="70"/>
      <c r="EUH1" s="70"/>
      <c r="EUI1" s="70"/>
      <c r="EUJ1" s="70"/>
      <c r="EUK1" s="70"/>
      <c r="EUL1" s="70"/>
      <c r="EUM1" s="70"/>
      <c r="EUN1" s="70"/>
      <c r="EUO1" s="70"/>
      <c r="EUP1" s="70"/>
      <c r="EUQ1" s="70"/>
      <c r="EUR1" s="70"/>
      <c r="EUS1" s="70"/>
      <c r="EUT1" s="70"/>
      <c r="EUU1" s="70"/>
      <c r="EUV1" s="70"/>
      <c r="EUW1" s="70"/>
      <c r="EUX1" s="70"/>
      <c r="EUY1" s="70"/>
      <c r="EUZ1" s="70"/>
      <c r="EVA1" s="70"/>
      <c r="EVB1" s="70"/>
      <c r="EVC1" s="70"/>
      <c r="EVD1" s="70"/>
      <c r="EVE1" s="70"/>
      <c r="EVF1" s="70"/>
      <c r="EVG1" s="70"/>
      <c r="EVH1" s="70"/>
      <c r="EVI1" s="70"/>
      <c r="EVJ1" s="70"/>
      <c r="EVK1" s="70"/>
      <c r="EVL1" s="70"/>
      <c r="EVM1" s="70"/>
      <c r="EVN1" s="70"/>
      <c r="EVO1" s="70"/>
      <c r="EVP1" s="70"/>
      <c r="EVQ1" s="70"/>
      <c r="EVR1" s="70"/>
      <c r="EVS1" s="70"/>
      <c r="EVT1" s="70"/>
      <c r="EVU1" s="70"/>
      <c r="EVV1" s="70"/>
      <c r="EVW1" s="70"/>
      <c r="EVX1" s="70"/>
      <c r="EVY1" s="70"/>
      <c r="EVZ1" s="70"/>
      <c r="EWA1" s="70"/>
      <c r="EWB1" s="70"/>
      <c r="EWC1" s="70"/>
      <c r="EWD1" s="70"/>
      <c r="EWE1" s="70"/>
      <c r="EWF1" s="70"/>
      <c r="EWG1" s="70"/>
      <c r="EWH1" s="70"/>
      <c r="EWI1" s="70"/>
      <c r="EWJ1" s="70"/>
      <c r="EWK1" s="70"/>
      <c r="EWL1" s="70"/>
      <c r="EWM1" s="70"/>
      <c r="EWN1" s="70"/>
      <c r="EWO1" s="70"/>
      <c r="EWP1" s="70"/>
      <c r="EWQ1" s="70"/>
      <c r="EWR1" s="70"/>
      <c r="EWS1" s="70"/>
      <c r="EWT1" s="70"/>
      <c r="EWU1" s="70"/>
      <c r="EWV1" s="70"/>
      <c r="EWW1" s="70"/>
      <c r="EWX1" s="70"/>
      <c r="EWY1" s="70"/>
      <c r="EWZ1" s="70"/>
      <c r="EXA1" s="70"/>
      <c r="EXB1" s="70"/>
      <c r="EXC1" s="70"/>
      <c r="EXD1" s="70"/>
      <c r="EXE1" s="70"/>
      <c r="EXF1" s="70"/>
      <c r="EXG1" s="70"/>
      <c r="EXH1" s="70"/>
      <c r="EXI1" s="70"/>
      <c r="EXJ1" s="70"/>
      <c r="EXK1" s="70"/>
      <c r="EXL1" s="70"/>
      <c r="EXM1" s="70"/>
      <c r="EXN1" s="70"/>
      <c r="EXO1" s="70"/>
      <c r="EXP1" s="70"/>
      <c r="EXQ1" s="70"/>
      <c r="EXR1" s="70"/>
      <c r="EXS1" s="70"/>
      <c r="EXT1" s="70"/>
      <c r="EXU1" s="70"/>
      <c r="EXV1" s="70"/>
      <c r="EXW1" s="70"/>
      <c r="EXX1" s="70"/>
      <c r="EXY1" s="70"/>
      <c r="EXZ1" s="70"/>
      <c r="EYA1" s="70"/>
      <c r="EYB1" s="70"/>
      <c r="EYC1" s="70"/>
      <c r="EYD1" s="70"/>
      <c r="EYE1" s="70"/>
      <c r="EYF1" s="70"/>
      <c r="EYG1" s="70"/>
      <c r="EYH1" s="70"/>
      <c r="EYI1" s="70"/>
      <c r="EYJ1" s="70"/>
      <c r="EYK1" s="70"/>
      <c r="EYL1" s="70"/>
      <c r="EYM1" s="70"/>
      <c r="EYN1" s="70"/>
      <c r="EYO1" s="70"/>
      <c r="EYP1" s="70"/>
      <c r="EYQ1" s="70"/>
      <c r="EYR1" s="70"/>
      <c r="EYS1" s="70"/>
      <c r="EYT1" s="70"/>
      <c r="EYU1" s="70"/>
      <c r="EYV1" s="70"/>
      <c r="EYW1" s="70"/>
      <c r="EYX1" s="70"/>
      <c r="EYY1" s="70"/>
      <c r="EYZ1" s="70"/>
      <c r="EZA1" s="70"/>
      <c r="EZB1" s="70"/>
      <c r="EZC1" s="70"/>
      <c r="EZD1" s="70"/>
      <c r="EZE1" s="70"/>
      <c r="EZF1" s="70"/>
      <c r="EZG1" s="70"/>
      <c r="EZH1" s="70"/>
      <c r="EZI1" s="70"/>
      <c r="EZJ1" s="70"/>
      <c r="EZK1" s="70"/>
      <c r="EZL1" s="70"/>
      <c r="EZM1" s="70"/>
      <c r="EZN1" s="70"/>
      <c r="EZO1" s="70"/>
      <c r="EZP1" s="70"/>
      <c r="EZQ1" s="70"/>
      <c r="EZR1" s="70"/>
      <c r="EZS1" s="70"/>
      <c r="EZT1" s="70"/>
      <c r="EZU1" s="70"/>
      <c r="EZV1" s="70"/>
      <c r="EZW1" s="70"/>
      <c r="EZX1" s="70"/>
      <c r="EZY1" s="70"/>
      <c r="EZZ1" s="70"/>
      <c r="FAA1" s="70"/>
      <c r="FAB1" s="70"/>
      <c r="FAC1" s="70"/>
      <c r="FAD1" s="70"/>
      <c r="FAE1" s="70"/>
      <c r="FAF1" s="70"/>
      <c r="FAG1" s="70"/>
      <c r="FAH1" s="70"/>
      <c r="FAI1" s="70"/>
      <c r="FAJ1" s="70"/>
      <c r="FAK1" s="70"/>
      <c r="FAL1" s="70"/>
      <c r="FAM1" s="70"/>
      <c r="FAN1" s="70"/>
      <c r="FAO1" s="70"/>
      <c r="FAP1" s="70"/>
      <c r="FAQ1" s="70"/>
      <c r="FAR1" s="70"/>
      <c r="FAS1" s="70"/>
      <c r="FAT1" s="70"/>
      <c r="FAU1" s="70"/>
      <c r="FAV1" s="70"/>
      <c r="FAW1" s="70"/>
      <c r="FAX1" s="70"/>
      <c r="FAY1" s="70"/>
      <c r="FAZ1" s="70"/>
      <c r="FBA1" s="70"/>
      <c r="FBB1" s="70"/>
      <c r="FBC1" s="70"/>
      <c r="FBD1" s="70"/>
      <c r="FBE1" s="70"/>
      <c r="FBF1" s="70"/>
      <c r="FBG1" s="70"/>
      <c r="FBH1" s="70"/>
      <c r="FBI1" s="70"/>
      <c r="FBJ1" s="70"/>
      <c r="FBK1" s="70"/>
      <c r="FBL1" s="70"/>
      <c r="FBM1" s="70"/>
      <c r="FBN1" s="70"/>
      <c r="FBO1" s="70"/>
      <c r="FBP1" s="70"/>
      <c r="FBQ1" s="70"/>
      <c r="FBR1" s="70"/>
      <c r="FBS1" s="70"/>
      <c r="FBT1" s="70"/>
      <c r="FBU1" s="70"/>
      <c r="FBV1" s="70"/>
      <c r="FBW1" s="70"/>
      <c r="FBX1" s="70"/>
      <c r="FBY1" s="70"/>
      <c r="FBZ1" s="70"/>
      <c r="FCA1" s="70"/>
      <c r="FCB1" s="70"/>
      <c r="FCC1" s="70"/>
      <c r="FCD1" s="70"/>
      <c r="FCE1" s="70"/>
      <c r="FCF1" s="70"/>
      <c r="FCG1" s="70"/>
      <c r="FCH1" s="70"/>
      <c r="FCI1" s="70"/>
      <c r="FCJ1" s="70"/>
      <c r="FCK1" s="70"/>
      <c r="FCL1" s="70"/>
      <c r="FCM1" s="70"/>
      <c r="FCN1" s="70"/>
      <c r="FCO1" s="70"/>
      <c r="FCP1" s="70"/>
      <c r="FCQ1" s="70"/>
      <c r="FCR1" s="70"/>
      <c r="FCS1" s="70"/>
      <c r="FCT1" s="70"/>
      <c r="FCU1" s="70"/>
      <c r="FCV1" s="70"/>
      <c r="FCW1" s="70"/>
      <c r="FCX1" s="70"/>
      <c r="FCY1" s="70"/>
      <c r="FCZ1" s="70"/>
      <c r="FDA1" s="70"/>
      <c r="FDB1" s="70"/>
      <c r="FDC1" s="70"/>
      <c r="FDD1" s="70"/>
      <c r="FDE1" s="70"/>
      <c r="FDF1" s="70"/>
      <c r="FDG1" s="70"/>
      <c r="FDH1" s="70"/>
      <c r="FDI1" s="70"/>
      <c r="FDJ1" s="70"/>
      <c r="FDK1" s="70"/>
      <c r="FDL1" s="70"/>
      <c r="FDM1" s="70"/>
      <c r="FDN1" s="70"/>
      <c r="FDO1" s="70"/>
      <c r="FDP1" s="70"/>
      <c r="FDQ1" s="70"/>
      <c r="FDR1" s="70"/>
      <c r="FDS1" s="70"/>
      <c r="FDT1" s="70"/>
      <c r="FDU1" s="70"/>
      <c r="FDV1" s="70"/>
      <c r="FDW1" s="70"/>
      <c r="FDX1" s="70"/>
      <c r="FDY1" s="70"/>
      <c r="FDZ1" s="70"/>
      <c r="FEA1" s="70"/>
      <c r="FEB1" s="70"/>
      <c r="FEC1" s="70"/>
      <c r="FED1" s="70"/>
      <c r="FEE1" s="70"/>
      <c r="FEF1" s="70"/>
      <c r="FEG1" s="70"/>
      <c r="FEH1" s="70"/>
      <c r="FEI1" s="70"/>
      <c r="FEJ1" s="70"/>
      <c r="FEK1" s="70"/>
      <c r="FEL1" s="70"/>
      <c r="FEM1" s="70"/>
      <c r="FEN1" s="70"/>
      <c r="FEO1" s="70"/>
      <c r="FEP1" s="70"/>
      <c r="FEQ1" s="70"/>
      <c r="FER1" s="70"/>
      <c r="FES1" s="70"/>
      <c r="FET1" s="70"/>
      <c r="FEU1" s="70"/>
      <c r="FEV1" s="70"/>
      <c r="FEW1" s="70"/>
      <c r="FEX1" s="70"/>
      <c r="FEY1" s="70"/>
      <c r="FEZ1" s="70"/>
      <c r="FFA1" s="70"/>
      <c r="FFB1" s="70"/>
      <c r="FFC1" s="70"/>
      <c r="FFD1" s="70"/>
      <c r="FFE1" s="70"/>
      <c r="FFF1" s="70"/>
      <c r="FFG1" s="70"/>
      <c r="FFH1" s="70"/>
      <c r="FFI1" s="70"/>
      <c r="FFJ1" s="70"/>
      <c r="FFK1" s="70"/>
      <c r="FFL1" s="70"/>
      <c r="FFM1" s="70"/>
      <c r="FFN1" s="70"/>
      <c r="FFO1" s="70"/>
      <c r="FFP1" s="70"/>
      <c r="FFQ1" s="70"/>
      <c r="FFR1" s="70"/>
      <c r="FFS1" s="70"/>
      <c r="FFT1" s="70"/>
      <c r="FFU1" s="70"/>
      <c r="FFV1" s="70"/>
      <c r="FFW1" s="70"/>
      <c r="FFX1" s="70"/>
      <c r="FFY1" s="70"/>
      <c r="FFZ1" s="70"/>
      <c r="FGA1" s="70"/>
      <c r="FGB1" s="70"/>
      <c r="FGC1" s="70"/>
      <c r="FGD1" s="70"/>
      <c r="FGE1" s="70"/>
      <c r="FGF1" s="70"/>
      <c r="FGG1" s="70"/>
      <c r="FGH1" s="70"/>
      <c r="FGI1" s="70"/>
      <c r="FGJ1" s="70"/>
      <c r="FGK1" s="70"/>
      <c r="FGL1" s="70"/>
      <c r="FGM1" s="70"/>
      <c r="FGN1" s="70"/>
      <c r="FGO1" s="70"/>
      <c r="FGP1" s="70"/>
      <c r="FGQ1" s="70"/>
      <c r="FGR1" s="70"/>
      <c r="FGS1" s="70"/>
      <c r="FGT1" s="70"/>
      <c r="FGU1" s="70"/>
      <c r="FGV1" s="70"/>
      <c r="FGW1" s="70"/>
      <c r="FGX1" s="70"/>
      <c r="FGY1" s="70"/>
      <c r="FGZ1" s="70"/>
      <c r="FHA1" s="70"/>
      <c r="FHB1" s="70"/>
      <c r="FHC1" s="70"/>
      <c r="FHD1" s="70"/>
      <c r="FHE1" s="70"/>
      <c r="FHF1" s="70"/>
      <c r="FHG1" s="70"/>
      <c r="FHH1" s="70"/>
      <c r="FHI1" s="70"/>
      <c r="FHJ1" s="70"/>
      <c r="FHK1" s="70"/>
      <c r="FHL1" s="70"/>
      <c r="FHM1" s="70"/>
      <c r="FHN1" s="70"/>
      <c r="FHO1" s="70"/>
      <c r="FHP1" s="70"/>
      <c r="FHQ1" s="70"/>
      <c r="FHR1" s="70"/>
      <c r="FHS1" s="70"/>
      <c r="FHT1" s="70"/>
      <c r="FHU1" s="70"/>
      <c r="FHV1" s="70"/>
      <c r="FHW1" s="70"/>
      <c r="FHX1" s="70"/>
      <c r="FHY1" s="70"/>
      <c r="FHZ1" s="70"/>
      <c r="FIA1" s="70"/>
      <c r="FIB1" s="70"/>
      <c r="FIC1" s="70"/>
      <c r="FID1" s="70"/>
      <c r="FIE1" s="70"/>
      <c r="FIF1" s="70"/>
      <c r="FIG1" s="70"/>
      <c r="FIH1" s="70"/>
      <c r="FII1" s="70"/>
      <c r="FIJ1" s="70"/>
      <c r="FIK1" s="70"/>
      <c r="FIL1" s="70"/>
      <c r="FIM1" s="70"/>
      <c r="FIN1" s="70"/>
      <c r="FIO1" s="70"/>
      <c r="FIP1" s="70"/>
      <c r="FIQ1" s="70"/>
      <c r="FIR1" s="70"/>
      <c r="FIS1" s="70"/>
      <c r="FIT1" s="70"/>
      <c r="FIU1" s="70"/>
      <c r="FIV1" s="70"/>
      <c r="FIW1" s="70"/>
      <c r="FIX1" s="70"/>
      <c r="FIY1" s="70"/>
      <c r="FIZ1" s="70"/>
      <c r="FJA1" s="70"/>
      <c r="FJB1" s="70"/>
      <c r="FJC1" s="70"/>
      <c r="FJD1" s="70"/>
      <c r="FJE1" s="70"/>
      <c r="FJF1" s="70"/>
      <c r="FJG1" s="70"/>
      <c r="FJH1" s="70"/>
      <c r="FJI1" s="70"/>
      <c r="FJJ1" s="70"/>
      <c r="FJK1" s="70"/>
      <c r="FJL1" s="70"/>
      <c r="FJM1" s="70"/>
      <c r="FJN1" s="70"/>
      <c r="FJO1" s="70"/>
      <c r="FJP1" s="70"/>
      <c r="FJQ1" s="70"/>
      <c r="FJR1" s="70"/>
      <c r="FJS1" s="70"/>
      <c r="FJT1" s="70"/>
      <c r="FJU1" s="70"/>
      <c r="FJV1" s="70"/>
      <c r="FJW1" s="70"/>
      <c r="FJX1" s="70"/>
      <c r="FJY1" s="70"/>
      <c r="FJZ1" s="70"/>
      <c r="FKA1" s="70"/>
      <c r="FKB1" s="70"/>
      <c r="FKC1" s="70"/>
      <c r="FKD1" s="70"/>
      <c r="FKE1" s="70"/>
      <c r="FKF1" s="70"/>
      <c r="FKG1" s="70"/>
      <c r="FKH1" s="70"/>
      <c r="FKI1" s="70"/>
      <c r="FKJ1" s="70"/>
      <c r="FKK1" s="70"/>
      <c r="FKL1" s="70"/>
      <c r="FKM1" s="70"/>
      <c r="FKN1" s="70"/>
      <c r="FKO1" s="70"/>
      <c r="FKP1" s="70"/>
      <c r="FKQ1" s="70"/>
      <c r="FKR1" s="70"/>
      <c r="FKS1" s="70"/>
      <c r="FKT1" s="70"/>
      <c r="FKU1" s="70"/>
      <c r="FKV1" s="70"/>
      <c r="FKW1" s="70"/>
      <c r="FKX1" s="70"/>
      <c r="FKY1" s="70"/>
      <c r="FKZ1" s="70"/>
      <c r="FLA1" s="70"/>
      <c r="FLB1" s="70"/>
      <c r="FLC1" s="70"/>
      <c r="FLD1" s="70"/>
      <c r="FLE1" s="70"/>
      <c r="FLF1" s="70"/>
      <c r="FLG1" s="70"/>
      <c r="FLH1" s="70"/>
      <c r="FLI1" s="70"/>
      <c r="FLJ1" s="70"/>
      <c r="FLK1" s="70"/>
      <c r="FLL1" s="70"/>
      <c r="FLM1" s="70"/>
      <c r="FLN1" s="70"/>
      <c r="FLO1" s="70"/>
      <c r="FLP1" s="70"/>
      <c r="FLQ1" s="70"/>
      <c r="FLR1" s="70"/>
      <c r="FLS1" s="70"/>
      <c r="FLT1" s="70"/>
      <c r="FLU1" s="70"/>
      <c r="FLV1" s="70"/>
      <c r="FLW1" s="70"/>
      <c r="FLX1" s="70"/>
      <c r="FLY1" s="70"/>
      <c r="FLZ1" s="70"/>
      <c r="FMA1" s="70"/>
      <c r="FMB1" s="70"/>
      <c r="FMC1" s="70"/>
      <c r="FMD1" s="70"/>
      <c r="FME1" s="70"/>
      <c r="FMF1" s="70"/>
      <c r="FMG1" s="70"/>
      <c r="FMH1" s="70"/>
      <c r="FMI1" s="70"/>
      <c r="FMJ1" s="70"/>
      <c r="FMK1" s="70"/>
      <c r="FML1" s="70"/>
      <c r="FMM1" s="70"/>
      <c r="FMN1" s="70"/>
      <c r="FMO1" s="70"/>
      <c r="FMP1" s="70"/>
      <c r="FMQ1" s="70"/>
      <c r="FMR1" s="70"/>
      <c r="FMS1" s="70"/>
      <c r="FMT1" s="70"/>
      <c r="FMU1" s="70"/>
      <c r="FMV1" s="70"/>
      <c r="FMW1" s="70"/>
      <c r="FMX1" s="70"/>
      <c r="FMY1" s="70"/>
      <c r="FMZ1" s="70"/>
      <c r="FNA1" s="70"/>
      <c r="FNB1" s="70"/>
      <c r="FNC1" s="70"/>
      <c r="FND1" s="70"/>
      <c r="FNE1" s="70"/>
      <c r="FNF1" s="70"/>
      <c r="FNG1" s="70"/>
      <c r="FNH1" s="70"/>
      <c r="FNI1" s="70"/>
      <c r="FNJ1" s="70"/>
      <c r="FNK1" s="70"/>
      <c r="FNL1" s="70"/>
      <c r="FNM1" s="70"/>
      <c r="FNN1" s="70"/>
      <c r="FNO1" s="70"/>
      <c r="FNP1" s="70"/>
      <c r="FNQ1" s="70"/>
      <c r="FNR1" s="70"/>
      <c r="FNS1" s="70"/>
      <c r="FNT1" s="70"/>
      <c r="FNU1" s="70"/>
      <c r="FNV1" s="70"/>
      <c r="FNW1" s="70"/>
      <c r="FNX1" s="70"/>
      <c r="FNY1" s="70"/>
      <c r="FNZ1" s="70"/>
      <c r="FOA1" s="70"/>
      <c r="FOB1" s="70"/>
      <c r="FOC1" s="70"/>
      <c r="FOD1" s="70"/>
      <c r="FOE1" s="70"/>
      <c r="FOF1" s="70"/>
      <c r="FOG1" s="70"/>
      <c r="FOH1" s="70"/>
      <c r="FOI1" s="70"/>
      <c r="FOJ1" s="70"/>
      <c r="FOK1" s="70"/>
      <c r="FOL1" s="70"/>
      <c r="FOM1" s="70"/>
      <c r="FON1" s="70"/>
      <c r="FOO1" s="70"/>
      <c r="FOP1" s="70"/>
      <c r="FOQ1" s="70"/>
      <c r="FOR1" s="70"/>
      <c r="FOS1" s="70"/>
      <c r="FOT1" s="70"/>
      <c r="FOU1" s="70"/>
      <c r="FOV1" s="70"/>
      <c r="FOW1" s="70"/>
      <c r="FOX1" s="70"/>
      <c r="FOY1" s="70"/>
      <c r="FOZ1" s="70"/>
      <c r="FPA1" s="70"/>
      <c r="FPB1" s="70"/>
      <c r="FPC1" s="70"/>
      <c r="FPD1" s="70"/>
      <c r="FPE1" s="70"/>
      <c r="FPF1" s="70"/>
      <c r="FPG1" s="70"/>
      <c r="FPH1" s="70"/>
      <c r="FPI1" s="70"/>
      <c r="FPJ1" s="70"/>
      <c r="FPK1" s="70"/>
      <c r="FPL1" s="70"/>
      <c r="FPM1" s="70"/>
      <c r="FPN1" s="70"/>
      <c r="FPO1" s="70"/>
      <c r="FPP1" s="70"/>
      <c r="FPQ1" s="70"/>
      <c r="FPR1" s="70"/>
      <c r="FPS1" s="70"/>
      <c r="FPT1" s="70"/>
      <c r="FPU1" s="70"/>
      <c r="FPV1" s="70"/>
      <c r="FPW1" s="70"/>
      <c r="FPX1" s="70"/>
      <c r="FPY1" s="70"/>
      <c r="FPZ1" s="70"/>
      <c r="FQA1" s="70"/>
      <c r="FQB1" s="70"/>
      <c r="FQC1" s="70"/>
      <c r="FQD1" s="70"/>
      <c r="FQE1" s="70"/>
      <c r="FQF1" s="70"/>
      <c r="FQG1" s="70"/>
      <c r="FQH1" s="70"/>
      <c r="FQI1" s="70"/>
      <c r="FQJ1" s="70"/>
      <c r="FQK1" s="70"/>
      <c r="FQL1" s="70"/>
      <c r="FQM1" s="70"/>
      <c r="FQN1" s="70"/>
      <c r="FQO1" s="70"/>
      <c r="FQP1" s="70"/>
      <c r="FQQ1" s="70"/>
      <c r="FQR1" s="70"/>
      <c r="FQS1" s="70"/>
      <c r="FQT1" s="70"/>
      <c r="FQU1" s="70"/>
      <c r="FQV1" s="70"/>
      <c r="FQW1" s="70"/>
      <c r="FQX1" s="70"/>
      <c r="FQY1" s="70"/>
      <c r="FQZ1" s="70"/>
      <c r="FRA1" s="70"/>
      <c r="FRB1" s="70"/>
      <c r="FRC1" s="70"/>
      <c r="FRD1" s="70"/>
      <c r="FRE1" s="70"/>
      <c r="FRF1" s="70"/>
      <c r="FRG1" s="70"/>
      <c r="FRH1" s="70"/>
      <c r="FRI1" s="70"/>
      <c r="FRJ1" s="70"/>
      <c r="FRK1" s="70"/>
      <c r="FRL1" s="70"/>
      <c r="FRM1" s="70"/>
      <c r="FRN1" s="70"/>
      <c r="FRO1" s="70"/>
      <c r="FRP1" s="70"/>
      <c r="FRQ1" s="70"/>
      <c r="FRR1" s="70"/>
      <c r="FRS1" s="70"/>
      <c r="FRT1" s="70"/>
      <c r="FRU1" s="70"/>
      <c r="FRV1" s="70"/>
      <c r="FRW1" s="70"/>
      <c r="FRX1" s="70"/>
      <c r="FRY1" s="70"/>
      <c r="FRZ1" s="70"/>
      <c r="FSA1" s="70"/>
      <c r="FSB1" s="70"/>
      <c r="FSC1" s="70"/>
      <c r="FSD1" s="70"/>
      <c r="FSE1" s="70"/>
      <c r="FSF1" s="70"/>
      <c r="FSG1" s="70"/>
      <c r="FSH1" s="70"/>
      <c r="FSI1" s="70"/>
      <c r="FSJ1" s="70"/>
      <c r="FSK1" s="70"/>
      <c r="FSL1" s="70"/>
      <c r="FSM1" s="70"/>
      <c r="FSN1" s="70"/>
      <c r="FSO1" s="70"/>
      <c r="FSP1" s="70"/>
      <c r="FSQ1" s="70"/>
      <c r="FSR1" s="70"/>
      <c r="FSS1" s="70"/>
      <c r="FST1" s="70"/>
      <c r="FSU1" s="70"/>
      <c r="FSV1" s="70"/>
      <c r="FSW1" s="70"/>
      <c r="FSX1" s="70"/>
      <c r="FSY1" s="70"/>
      <c r="FSZ1" s="70"/>
      <c r="FTA1" s="70"/>
      <c r="FTB1" s="70"/>
      <c r="FTC1" s="70"/>
      <c r="FTD1" s="70"/>
      <c r="FTE1" s="70"/>
      <c r="FTF1" s="70"/>
      <c r="FTG1" s="70"/>
      <c r="FTH1" s="70"/>
      <c r="FTI1" s="70"/>
      <c r="FTJ1" s="70"/>
      <c r="FTK1" s="70"/>
      <c r="FTL1" s="70"/>
      <c r="FTM1" s="70"/>
      <c r="FTN1" s="70"/>
      <c r="FTO1" s="70"/>
      <c r="FTP1" s="70"/>
      <c r="FTQ1" s="70"/>
      <c r="FTR1" s="70"/>
      <c r="FTS1" s="70"/>
      <c r="FTT1" s="70"/>
      <c r="FTU1" s="70"/>
      <c r="FTV1" s="70"/>
      <c r="FTW1" s="70"/>
      <c r="FTX1" s="70"/>
      <c r="FTY1" s="70"/>
      <c r="FTZ1" s="70"/>
      <c r="FUA1" s="70"/>
      <c r="FUB1" s="70"/>
      <c r="FUC1" s="70"/>
      <c r="FUD1" s="70"/>
      <c r="FUE1" s="70"/>
      <c r="FUF1" s="70"/>
      <c r="FUG1" s="70"/>
      <c r="FUH1" s="70"/>
      <c r="FUI1" s="70"/>
      <c r="FUJ1" s="70"/>
      <c r="FUK1" s="70"/>
      <c r="FUL1" s="70"/>
      <c r="FUM1" s="70"/>
      <c r="FUN1" s="70"/>
      <c r="FUO1" s="70"/>
      <c r="FUP1" s="70"/>
      <c r="FUQ1" s="70"/>
      <c r="FUR1" s="70"/>
      <c r="FUS1" s="70"/>
      <c r="FUT1" s="70"/>
      <c r="FUU1" s="70"/>
      <c r="FUV1" s="70"/>
      <c r="FUW1" s="70"/>
      <c r="FUX1" s="70"/>
      <c r="FUY1" s="70"/>
      <c r="FUZ1" s="70"/>
      <c r="FVA1" s="70"/>
      <c r="FVB1" s="70"/>
      <c r="FVC1" s="70"/>
      <c r="FVD1" s="70"/>
      <c r="FVE1" s="70"/>
      <c r="FVF1" s="70"/>
      <c r="FVG1" s="70"/>
      <c r="FVH1" s="70"/>
      <c r="FVI1" s="70"/>
      <c r="FVJ1" s="70"/>
      <c r="FVK1" s="70"/>
      <c r="FVL1" s="70"/>
      <c r="FVM1" s="70"/>
      <c r="FVN1" s="70"/>
      <c r="FVO1" s="70"/>
      <c r="FVP1" s="70"/>
      <c r="FVQ1" s="70"/>
      <c r="FVR1" s="70"/>
      <c r="FVS1" s="70"/>
      <c r="FVT1" s="70"/>
      <c r="FVU1" s="70"/>
      <c r="FVV1" s="70"/>
      <c r="FVW1" s="70"/>
      <c r="FVX1" s="70"/>
      <c r="FVY1" s="70"/>
      <c r="FVZ1" s="70"/>
      <c r="FWA1" s="70"/>
      <c r="FWB1" s="70"/>
      <c r="FWC1" s="70"/>
      <c r="FWD1" s="70"/>
      <c r="FWE1" s="70"/>
      <c r="FWF1" s="70"/>
      <c r="FWG1" s="70"/>
      <c r="FWH1" s="70"/>
      <c r="FWI1" s="70"/>
      <c r="FWJ1" s="70"/>
      <c r="FWK1" s="70"/>
      <c r="FWL1" s="70"/>
      <c r="FWM1" s="70"/>
      <c r="FWN1" s="70"/>
      <c r="FWO1" s="70"/>
      <c r="FWP1" s="70"/>
      <c r="FWQ1" s="70"/>
      <c r="FWR1" s="70"/>
      <c r="FWS1" s="70"/>
      <c r="FWT1" s="70"/>
      <c r="FWU1" s="70"/>
      <c r="FWV1" s="70"/>
      <c r="FWW1" s="70"/>
      <c r="FWX1" s="70"/>
      <c r="FWY1" s="70"/>
      <c r="FWZ1" s="70"/>
      <c r="FXA1" s="70"/>
      <c r="FXB1" s="70"/>
      <c r="FXC1" s="70"/>
      <c r="FXD1" s="70"/>
      <c r="FXE1" s="70"/>
      <c r="FXF1" s="70"/>
      <c r="FXG1" s="70"/>
      <c r="FXH1" s="70"/>
      <c r="FXI1" s="70"/>
      <c r="FXJ1" s="70"/>
      <c r="FXK1" s="70"/>
      <c r="FXL1" s="70"/>
      <c r="FXM1" s="70"/>
      <c r="FXN1" s="70"/>
      <c r="FXO1" s="70"/>
      <c r="FXP1" s="70"/>
      <c r="FXQ1" s="70"/>
      <c r="FXR1" s="70"/>
      <c r="FXS1" s="70"/>
      <c r="FXT1" s="70"/>
      <c r="FXU1" s="70"/>
      <c r="FXV1" s="70"/>
      <c r="FXW1" s="70"/>
      <c r="FXX1" s="70"/>
      <c r="FXY1" s="70"/>
      <c r="FXZ1" s="70"/>
      <c r="FYA1" s="70"/>
      <c r="FYB1" s="70"/>
      <c r="FYC1" s="70"/>
      <c r="FYD1" s="70"/>
      <c r="FYE1" s="70"/>
      <c r="FYF1" s="70"/>
      <c r="FYG1" s="70"/>
      <c r="FYH1" s="70"/>
      <c r="FYI1" s="70"/>
      <c r="FYJ1" s="70"/>
      <c r="FYK1" s="70"/>
      <c r="FYL1" s="70"/>
      <c r="FYM1" s="70"/>
      <c r="FYN1" s="70"/>
      <c r="FYO1" s="70"/>
      <c r="FYP1" s="70"/>
      <c r="FYQ1" s="70"/>
      <c r="FYR1" s="70"/>
      <c r="FYS1" s="70"/>
      <c r="FYT1" s="70"/>
      <c r="FYU1" s="70"/>
      <c r="FYV1" s="70"/>
      <c r="FYW1" s="70"/>
      <c r="FYX1" s="70"/>
      <c r="FYY1" s="70"/>
      <c r="FYZ1" s="70"/>
      <c r="FZA1" s="70"/>
      <c r="FZB1" s="70"/>
      <c r="FZC1" s="70"/>
      <c r="FZD1" s="70"/>
      <c r="FZE1" s="70"/>
      <c r="FZF1" s="70"/>
      <c r="FZG1" s="70"/>
      <c r="FZH1" s="70"/>
      <c r="FZI1" s="70"/>
      <c r="FZJ1" s="70"/>
      <c r="FZK1" s="70"/>
      <c r="FZL1" s="70"/>
      <c r="FZM1" s="70"/>
      <c r="FZN1" s="70"/>
      <c r="FZO1" s="70"/>
      <c r="FZP1" s="70"/>
      <c r="FZQ1" s="70"/>
      <c r="FZR1" s="70"/>
      <c r="FZS1" s="70"/>
      <c r="FZT1" s="70"/>
      <c r="FZU1" s="70"/>
      <c r="FZV1" s="70"/>
      <c r="FZW1" s="70"/>
      <c r="FZX1" s="70"/>
      <c r="FZY1" s="70"/>
      <c r="FZZ1" s="70"/>
      <c r="GAA1" s="70"/>
      <c r="GAB1" s="70"/>
      <c r="GAC1" s="70"/>
      <c r="GAD1" s="70"/>
      <c r="GAE1" s="70"/>
      <c r="GAF1" s="70"/>
      <c r="GAG1" s="70"/>
      <c r="GAH1" s="70"/>
      <c r="GAI1" s="70"/>
      <c r="GAJ1" s="70"/>
      <c r="GAK1" s="70"/>
      <c r="GAL1" s="70"/>
      <c r="GAM1" s="70"/>
      <c r="GAN1" s="70"/>
      <c r="GAO1" s="70"/>
      <c r="GAP1" s="70"/>
      <c r="GAQ1" s="70"/>
      <c r="GAR1" s="70"/>
      <c r="GAS1" s="70"/>
      <c r="GAT1" s="70"/>
      <c r="GAU1" s="70"/>
      <c r="GAV1" s="70"/>
      <c r="GAW1" s="70"/>
      <c r="GAX1" s="70"/>
      <c r="GAY1" s="70"/>
      <c r="GAZ1" s="70"/>
      <c r="GBA1" s="70"/>
      <c r="GBB1" s="70"/>
      <c r="GBC1" s="70"/>
      <c r="GBD1" s="70"/>
      <c r="GBE1" s="70"/>
      <c r="GBF1" s="70"/>
      <c r="GBG1" s="70"/>
      <c r="GBH1" s="70"/>
      <c r="GBI1" s="70"/>
      <c r="GBJ1" s="70"/>
      <c r="GBK1" s="70"/>
      <c r="GBL1" s="70"/>
      <c r="GBM1" s="70"/>
      <c r="GBN1" s="70"/>
      <c r="GBO1" s="70"/>
      <c r="GBP1" s="70"/>
      <c r="GBQ1" s="70"/>
      <c r="GBR1" s="70"/>
      <c r="GBS1" s="70"/>
      <c r="GBT1" s="70"/>
      <c r="GBU1" s="70"/>
      <c r="GBV1" s="70"/>
      <c r="GBW1" s="70"/>
      <c r="GBX1" s="70"/>
      <c r="GBY1" s="70"/>
      <c r="GBZ1" s="70"/>
      <c r="GCA1" s="70"/>
      <c r="GCB1" s="70"/>
      <c r="GCC1" s="70"/>
      <c r="GCD1" s="70"/>
      <c r="GCE1" s="70"/>
      <c r="GCF1" s="70"/>
      <c r="GCG1" s="70"/>
      <c r="GCH1" s="70"/>
      <c r="GCI1" s="70"/>
      <c r="GCJ1" s="70"/>
      <c r="GCK1" s="70"/>
      <c r="GCL1" s="70"/>
      <c r="GCM1" s="70"/>
      <c r="GCN1" s="70"/>
      <c r="GCO1" s="70"/>
      <c r="GCP1" s="70"/>
      <c r="GCQ1" s="70"/>
      <c r="GCR1" s="70"/>
      <c r="GCS1" s="70"/>
      <c r="GCT1" s="70"/>
      <c r="GCU1" s="70"/>
      <c r="GCV1" s="70"/>
      <c r="GCW1" s="70"/>
      <c r="GCX1" s="70"/>
      <c r="GCY1" s="70"/>
      <c r="GCZ1" s="70"/>
      <c r="GDA1" s="70"/>
      <c r="GDB1" s="70"/>
      <c r="GDC1" s="70"/>
      <c r="GDD1" s="70"/>
      <c r="GDE1" s="70"/>
      <c r="GDF1" s="70"/>
      <c r="GDG1" s="70"/>
      <c r="GDH1" s="70"/>
      <c r="GDI1" s="70"/>
      <c r="GDJ1" s="70"/>
      <c r="GDK1" s="70"/>
      <c r="GDL1" s="70"/>
      <c r="GDM1" s="70"/>
      <c r="GDN1" s="70"/>
      <c r="GDO1" s="70"/>
      <c r="GDP1" s="70"/>
      <c r="GDQ1" s="70"/>
      <c r="GDR1" s="70"/>
      <c r="GDS1" s="70"/>
      <c r="GDT1" s="70"/>
      <c r="GDU1" s="70"/>
      <c r="GDV1" s="70"/>
      <c r="GDW1" s="70"/>
      <c r="GDX1" s="70"/>
      <c r="GDY1" s="70"/>
      <c r="GDZ1" s="70"/>
      <c r="GEA1" s="70"/>
      <c r="GEB1" s="70"/>
      <c r="GEC1" s="70"/>
      <c r="GED1" s="70"/>
      <c r="GEE1" s="70"/>
      <c r="GEF1" s="70"/>
      <c r="GEG1" s="70"/>
      <c r="GEH1" s="70"/>
      <c r="GEI1" s="70"/>
      <c r="GEJ1" s="70"/>
      <c r="GEK1" s="70"/>
      <c r="GEL1" s="70"/>
      <c r="GEM1" s="70"/>
      <c r="GEN1" s="70"/>
      <c r="GEO1" s="70"/>
      <c r="GEP1" s="70"/>
      <c r="GEQ1" s="70"/>
      <c r="GER1" s="70"/>
      <c r="GES1" s="70"/>
      <c r="GET1" s="70"/>
      <c r="GEU1" s="70"/>
      <c r="GEV1" s="70"/>
      <c r="GEW1" s="70"/>
      <c r="GEX1" s="70"/>
      <c r="GEY1" s="70"/>
      <c r="GEZ1" s="70"/>
      <c r="GFA1" s="70"/>
      <c r="GFB1" s="70"/>
      <c r="GFC1" s="70"/>
      <c r="GFD1" s="70"/>
      <c r="GFE1" s="70"/>
      <c r="GFF1" s="70"/>
      <c r="GFG1" s="70"/>
      <c r="GFH1" s="70"/>
      <c r="GFI1" s="70"/>
      <c r="GFJ1" s="70"/>
      <c r="GFK1" s="70"/>
      <c r="GFL1" s="70"/>
      <c r="GFM1" s="70"/>
      <c r="GFN1" s="70"/>
      <c r="GFO1" s="70"/>
      <c r="GFP1" s="70"/>
      <c r="GFQ1" s="70"/>
      <c r="GFR1" s="70"/>
      <c r="GFS1" s="70"/>
      <c r="GFT1" s="70"/>
      <c r="GFU1" s="70"/>
      <c r="GFV1" s="70"/>
      <c r="GFW1" s="70"/>
      <c r="GFX1" s="70"/>
      <c r="GFY1" s="70"/>
      <c r="GFZ1" s="70"/>
      <c r="GGA1" s="70"/>
      <c r="GGB1" s="70"/>
      <c r="GGC1" s="70"/>
      <c r="GGD1" s="70"/>
      <c r="GGE1" s="70"/>
      <c r="GGF1" s="70"/>
      <c r="GGG1" s="70"/>
      <c r="GGH1" s="70"/>
      <c r="GGI1" s="70"/>
      <c r="GGJ1" s="70"/>
      <c r="GGK1" s="70"/>
      <c r="GGL1" s="70"/>
      <c r="GGM1" s="70"/>
      <c r="GGN1" s="70"/>
      <c r="GGO1" s="70"/>
      <c r="GGP1" s="70"/>
      <c r="GGQ1" s="70"/>
      <c r="GGR1" s="70"/>
      <c r="GGS1" s="70"/>
      <c r="GGT1" s="70"/>
      <c r="GGU1" s="70"/>
      <c r="GGV1" s="70"/>
      <c r="GGW1" s="70"/>
      <c r="GGX1" s="70"/>
      <c r="GGY1" s="70"/>
      <c r="GGZ1" s="70"/>
      <c r="GHA1" s="70"/>
      <c r="GHB1" s="70"/>
      <c r="GHC1" s="70"/>
      <c r="GHD1" s="70"/>
      <c r="GHE1" s="70"/>
      <c r="GHF1" s="70"/>
      <c r="GHG1" s="70"/>
      <c r="GHH1" s="70"/>
      <c r="GHI1" s="70"/>
      <c r="GHJ1" s="70"/>
      <c r="GHK1" s="70"/>
      <c r="GHL1" s="70"/>
      <c r="GHM1" s="70"/>
      <c r="GHN1" s="70"/>
      <c r="GHO1" s="70"/>
      <c r="GHP1" s="70"/>
      <c r="GHQ1" s="70"/>
      <c r="GHR1" s="70"/>
      <c r="GHS1" s="70"/>
      <c r="GHT1" s="70"/>
      <c r="GHU1" s="70"/>
      <c r="GHV1" s="70"/>
      <c r="GHW1" s="70"/>
      <c r="GHX1" s="70"/>
      <c r="GHY1" s="70"/>
      <c r="GHZ1" s="70"/>
      <c r="GIA1" s="70"/>
      <c r="GIB1" s="70"/>
      <c r="GIC1" s="70"/>
      <c r="GID1" s="70"/>
      <c r="GIE1" s="70"/>
      <c r="GIF1" s="70"/>
      <c r="GIG1" s="70"/>
      <c r="GIH1" s="70"/>
      <c r="GII1" s="70"/>
      <c r="GIJ1" s="70"/>
      <c r="GIK1" s="70"/>
      <c r="GIL1" s="70"/>
      <c r="GIM1" s="70"/>
      <c r="GIN1" s="70"/>
      <c r="GIO1" s="70"/>
      <c r="GIP1" s="70"/>
      <c r="GIQ1" s="70"/>
      <c r="GIR1" s="70"/>
      <c r="GIS1" s="70"/>
      <c r="GIT1" s="70"/>
      <c r="GIU1" s="70"/>
      <c r="GIV1" s="70"/>
      <c r="GIW1" s="70"/>
      <c r="GIX1" s="70"/>
      <c r="GIY1" s="70"/>
      <c r="GIZ1" s="70"/>
      <c r="GJA1" s="70"/>
      <c r="GJB1" s="70"/>
      <c r="GJC1" s="70"/>
      <c r="GJD1" s="70"/>
      <c r="GJE1" s="70"/>
      <c r="GJF1" s="70"/>
      <c r="GJG1" s="70"/>
      <c r="GJH1" s="70"/>
      <c r="GJI1" s="70"/>
      <c r="GJJ1" s="70"/>
      <c r="GJK1" s="70"/>
      <c r="GJL1" s="70"/>
      <c r="GJM1" s="70"/>
      <c r="GJN1" s="70"/>
      <c r="GJO1" s="70"/>
      <c r="GJP1" s="70"/>
      <c r="GJQ1" s="70"/>
      <c r="GJR1" s="70"/>
      <c r="GJS1" s="70"/>
      <c r="GJT1" s="70"/>
      <c r="GJU1" s="70"/>
      <c r="GJV1" s="70"/>
      <c r="GJW1" s="70"/>
      <c r="GJX1" s="70"/>
      <c r="GJY1" s="70"/>
      <c r="GJZ1" s="70"/>
      <c r="GKA1" s="70"/>
      <c r="GKB1" s="70"/>
      <c r="GKC1" s="70"/>
      <c r="GKD1" s="70"/>
      <c r="GKE1" s="70"/>
      <c r="GKF1" s="70"/>
      <c r="GKG1" s="70"/>
      <c r="GKH1" s="70"/>
      <c r="GKI1" s="70"/>
      <c r="GKJ1" s="70"/>
      <c r="GKK1" s="70"/>
      <c r="GKL1" s="70"/>
      <c r="GKM1" s="70"/>
      <c r="GKN1" s="70"/>
      <c r="GKO1" s="70"/>
      <c r="GKP1" s="70"/>
      <c r="GKQ1" s="70"/>
      <c r="GKR1" s="70"/>
      <c r="GKS1" s="70"/>
      <c r="GKT1" s="70"/>
      <c r="GKU1" s="70"/>
      <c r="GKV1" s="70"/>
      <c r="GKW1" s="70"/>
      <c r="GKX1" s="70"/>
      <c r="GKY1" s="70"/>
      <c r="GKZ1" s="70"/>
      <c r="GLA1" s="70"/>
      <c r="GLB1" s="70"/>
      <c r="GLC1" s="70"/>
      <c r="GLD1" s="70"/>
      <c r="GLE1" s="70"/>
      <c r="GLF1" s="70"/>
      <c r="GLG1" s="70"/>
      <c r="GLH1" s="70"/>
      <c r="GLI1" s="70"/>
      <c r="GLJ1" s="70"/>
      <c r="GLK1" s="70"/>
      <c r="GLL1" s="70"/>
      <c r="GLM1" s="70"/>
      <c r="GLN1" s="70"/>
      <c r="GLO1" s="70"/>
      <c r="GLP1" s="70"/>
      <c r="GLQ1" s="70"/>
      <c r="GLR1" s="70"/>
      <c r="GLS1" s="70"/>
      <c r="GLT1" s="70"/>
      <c r="GLU1" s="70"/>
      <c r="GLV1" s="70"/>
      <c r="GLW1" s="70"/>
      <c r="GLX1" s="70"/>
      <c r="GLY1" s="70"/>
      <c r="GLZ1" s="70"/>
      <c r="GMA1" s="70"/>
      <c r="GMB1" s="70"/>
      <c r="GMC1" s="70"/>
      <c r="GMD1" s="70"/>
      <c r="GME1" s="70"/>
      <c r="GMF1" s="70"/>
      <c r="GMG1" s="70"/>
      <c r="GMH1" s="70"/>
      <c r="GMI1" s="70"/>
      <c r="GMJ1" s="70"/>
      <c r="GMK1" s="70"/>
      <c r="GML1" s="70"/>
      <c r="GMM1" s="70"/>
      <c r="GMN1" s="70"/>
      <c r="GMO1" s="70"/>
      <c r="GMP1" s="70"/>
      <c r="GMQ1" s="70"/>
      <c r="GMR1" s="70"/>
      <c r="GMS1" s="70"/>
      <c r="GMT1" s="70"/>
      <c r="GMU1" s="70"/>
      <c r="GMV1" s="70"/>
      <c r="GMW1" s="70"/>
      <c r="GMX1" s="70"/>
      <c r="GMY1" s="70"/>
      <c r="GMZ1" s="70"/>
      <c r="GNA1" s="70"/>
      <c r="GNB1" s="70"/>
      <c r="GNC1" s="70"/>
      <c r="GND1" s="70"/>
      <c r="GNE1" s="70"/>
      <c r="GNF1" s="70"/>
      <c r="GNG1" s="70"/>
      <c r="GNH1" s="70"/>
      <c r="GNI1" s="70"/>
      <c r="GNJ1" s="70"/>
      <c r="GNK1" s="70"/>
      <c r="GNL1" s="70"/>
      <c r="GNM1" s="70"/>
      <c r="GNN1" s="70"/>
      <c r="GNO1" s="70"/>
      <c r="GNP1" s="70"/>
      <c r="GNQ1" s="70"/>
      <c r="GNR1" s="70"/>
      <c r="GNS1" s="70"/>
      <c r="GNT1" s="70"/>
      <c r="GNU1" s="70"/>
      <c r="GNV1" s="70"/>
      <c r="GNW1" s="70"/>
      <c r="GNX1" s="70"/>
      <c r="GNY1" s="70"/>
      <c r="GNZ1" s="70"/>
      <c r="GOA1" s="70"/>
      <c r="GOB1" s="70"/>
      <c r="GOC1" s="70"/>
      <c r="GOD1" s="70"/>
      <c r="GOE1" s="70"/>
      <c r="GOF1" s="70"/>
      <c r="GOG1" s="70"/>
      <c r="GOH1" s="70"/>
      <c r="GOI1" s="70"/>
      <c r="GOJ1" s="70"/>
      <c r="GOK1" s="70"/>
      <c r="GOL1" s="70"/>
      <c r="GOM1" s="70"/>
      <c r="GON1" s="70"/>
      <c r="GOO1" s="70"/>
      <c r="GOP1" s="70"/>
      <c r="GOQ1" s="70"/>
      <c r="GOR1" s="70"/>
      <c r="GOS1" s="70"/>
      <c r="GOT1" s="70"/>
      <c r="GOU1" s="70"/>
      <c r="GOV1" s="70"/>
      <c r="GOW1" s="70"/>
      <c r="GOX1" s="70"/>
      <c r="GOY1" s="70"/>
      <c r="GOZ1" s="70"/>
      <c r="GPA1" s="70"/>
      <c r="GPB1" s="70"/>
      <c r="GPC1" s="70"/>
      <c r="GPD1" s="70"/>
      <c r="GPE1" s="70"/>
      <c r="GPF1" s="70"/>
      <c r="GPG1" s="70"/>
      <c r="GPH1" s="70"/>
      <c r="GPI1" s="70"/>
      <c r="GPJ1" s="70"/>
      <c r="GPK1" s="70"/>
      <c r="GPL1" s="70"/>
      <c r="GPM1" s="70"/>
      <c r="GPN1" s="70"/>
      <c r="GPO1" s="70"/>
      <c r="GPP1" s="70"/>
      <c r="GPQ1" s="70"/>
      <c r="GPR1" s="70"/>
      <c r="GPS1" s="70"/>
      <c r="GPT1" s="70"/>
      <c r="GPU1" s="70"/>
      <c r="GPV1" s="70"/>
      <c r="GPW1" s="70"/>
      <c r="GPX1" s="70"/>
      <c r="GPY1" s="70"/>
      <c r="GPZ1" s="70"/>
      <c r="GQA1" s="70"/>
      <c r="GQB1" s="70"/>
      <c r="GQC1" s="70"/>
      <c r="GQD1" s="70"/>
      <c r="GQE1" s="70"/>
      <c r="GQF1" s="70"/>
      <c r="GQG1" s="70"/>
      <c r="GQH1" s="70"/>
      <c r="GQI1" s="70"/>
      <c r="GQJ1" s="70"/>
      <c r="GQK1" s="70"/>
      <c r="GQL1" s="70"/>
      <c r="GQM1" s="70"/>
      <c r="GQN1" s="70"/>
      <c r="GQO1" s="70"/>
      <c r="GQP1" s="70"/>
      <c r="GQQ1" s="70"/>
      <c r="GQR1" s="70"/>
      <c r="GQS1" s="70"/>
      <c r="GQT1" s="70"/>
      <c r="GQU1" s="70"/>
      <c r="GQV1" s="70"/>
      <c r="GQW1" s="70"/>
      <c r="GQX1" s="70"/>
      <c r="GQY1" s="70"/>
      <c r="GQZ1" s="70"/>
      <c r="GRA1" s="70"/>
      <c r="GRB1" s="70"/>
      <c r="GRC1" s="70"/>
      <c r="GRD1" s="70"/>
      <c r="GRE1" s="70"/>
      <c r="GRF1" s="70"/>
      <c r="GRG1" s="70"/>
      <c r="GRH1" s="70"/>
      <c r="GRI1" s="70"/>
      <c r="GRJ1" s="70"/>
      <c r="GRK1" s="70"/>
      <c r="GRL1" s="70"/>
      <c r="GRM1" s="70"/>
      <c r="GRN1" s="70"/>
      <c r="GRO1" s="70"/>
      <c r="GRP1" s="70"/>
      <c r="GRQ1" s="70"/>
      <c r="GRR1" s="70"/>
      <c r="GRS1" s="70"/>
      <c r="GRT1" s="70"/>
      <c r="GRU1" s="70"/>
      <c r="GRV1" s="70"/>
      <c r="GRW1" s="70"/>
      <c r="GRX1" s="70"/>
      <c r="GRY1" s="70"/>
      <c r="GRZ1" s="70"/>
      <c r="GSA1" s="70"/>
      <c r="GSB1" s="70"/>
      <c r="GSC1" s="70"/>
      <c r="GSD1" s="70"/>
      <c r="GSE1" s="70"/>
      <c r="GSF1" s="70"/>
      <c r="GSG1" s="70"/>
      <c r="GSH1" s="70"/>
      <c r="GSI1" s="70"/>
      <c r="GSJ1" s="70"/>
      <c r="GSK1" s="70"/>
      <c r="GSL1" s="70"/>
      <c r="GSM1" s="70"/>
      <c r="GSN1" s="70"/>
      <c r="GSO1" s="70"/>
      <c r="GSP1" s="70"/>
      <c r="GSQ1" s="70"/>
      <c r="GSR1" s="70"/>
      <c r="GSS1" s="70"/>
      <c r="GST1" s="70"/>
      <c r="GSU1" s="70"/>
      <c r="GSV1" s="70"/>
      <c r="GSW1" s="70"/>
      <c r="GSX1" s="70"/>
      <c r="GSY1" s="70"/>
      <c r="GSZ1" s="70"/>
      <c r="GTA1" s="70"/>
      <c r="GTB1" s="70"/>
      <c r="GTC1" s="70"/>
      <c r="GTD1" s="70"/>
      <c r="GTE1" s="70"/>
      <c r="GTF1" s="70"/>
      <c r="GTG1" s="70"/>
      <c r="GTH1" s="70"/>
      <c r="GTI1" s="70"/>
      <c r="GTJ1" s="70"/>
      <c r="GTK1" s="70"/>
      <c r="GTL1" s="70"/>
      <c r="GTM1" s="70"/>
      <c r="GTN1" s="70"/>
      <c r="GTO1" s="70"/>
      <c r="GTP1" s="70"/>
      <c r="GTQ1" s="70"/>
      <c r="GTR1" s="70"/>
      <c r="GTS1" s="70"/>
      <c r="GTT1" s="70"/>
      <c r="GTU1" s="70"/>
      <c r="GTV1" s="70"/>
      <c r="GTW1" s="70"/>
      <c r="GTX1" s="70"/>
      <c r="GTY1" s="70"/>
      <c r="GTZ1" s="70"/>
      <c r="GUA1" s="70"/>
      <c r="GUB1" s="70"/>
      <c r="GUC1" s="70"/>
      <c r="GUD1" s="70"/>
      <c r="GUE1" s="70"/>
      <c r="GUF1" s="70"/>
      <c r="GUG1" s="70"/>
      <c r="GUH1" s="70"/>
      <c r="GUI1" s="70"/>
      <c r="GUJ1" s="70"/>
      <c r="GUK1" s="70"/>
      <c r="GUL1" s="70"/>
      <c r="GUM1" s="70"/>
      <c r="GUN1" s="70"/>
      <c r="GUO1" s="70"/>
      <c r="GUP1" s="70"/>
      <c r="GUQ1" s="70"/>
      <c r="GUR1" s="70"/>
      <c r="GUS1" s="70"/>
      <c r="GUT1" s="70"/>
      <c r="GUU1" s="70"/>
      <c r="GUV1" s="70"/>
      <c r="GUW1" s="70"/>
      <c r="GUX1" s="70"/>
      <c r="GUY1" s="70"/>
      <c r="GUZ1" s="70"/>
      <c r="GVA1" s="70"/>
      <c r="GVB1" s="70"/>
      <c r="GVC1" s="70"/>
      <c r="GVD1" s="70"/>
      <c r="GVE1" s="70"/>
      <c r="GVF1" s="70"/>
      <c r="GVG1" s="70"/>
      <c r="GVH1" s="70"/>
      <c r="GVI1" s="70"/>
      <c r="GVJ1" s="70"/>
      <c r="GVK1" s="70"/>
      <c r="GVL1" s="70"/>
      <c r="GVM1" s="70"/>
      <c r="GVN1" s="70"/>
      <c r="GVO1" s="70"/>
      <c r="GVP1" s="70"/>
      <c r="GVQ1" s="70"/>
      <c r="GVR1" s="70"/>
      <c r="GVS1" s="70"/>
      <c r="GVT1" s="70"/>
      <c r="GVU1" s="70"/>
      <c r="GVV1" s="70"/>
      <c r="GVW1" s="70"/>
      <c r="GVX1" s="70"/>
      <c r="GVY1" s="70"/>
      <c r="GVZ1" s="70"/>
      <c r="GWA1" s="70"/>
      <c r="GWB1" s="70"/>
      <c r="GWC1" s="70"/>
      <c r="GWD1" s="70"/>
      <c r="GWE1" s="70"/>
      <c r="GWF1" s="70"/>
      <c r="GWG1" s="70"/>
      <c r="GWH1" s="70"/>
      <c r="GWI1" s="70"/>
      <c r="GWJ1" s="70"/>
      <c r="GWK1" s="70"/>
      <c r="GWL1" s="70"/>
      <c r="GWM1" s="70"/>
      <c r="GWN1" s="70"/>
      <c r="GWO1" s="70"/>
      <c r="GWP1" s="70"/>
      <c r="GWQ1" s="70"/>
      <c r="GWR1" s="70"/>
      <c r="GWS1" s="70"/>
      <c r="GWT1" s="70"/>
      <c r="GWU1" s="70"/>
      <c r="GWV1" s="70"/>
      <c r="GWW1" s="70"/>
      <c r="GWX1" s="70"/>
      <c r="GWY1" s="70"/>
      <c r="GWZ1" s="70"/>
      <c r="GXA1" s="70"/>
      <c r="GXB1" s="70"/>
      <c r="GXC1" s="70"/>
      <c r="GXD1" s="70"/>
      <c r="GXE1" s="70"/>
      <c r="GXF1" s="70"/>
      <c r="GXG1" s="70"/>
      <c r="GXH1" s="70"/>
      <c r="GXI1" s="70"/>
      <c r="GXJ1" s="70"/>
      <c r="GXK1" s="70"/>
      <c r="GXL1" s="70"/>
      <c r="GXM1" s="70"/>
      <c r="GXN1" s="70"/>
      <c r="GXO1" s="70"/>
      <c r="GXP1" s="70"/>
      <c r="GXQ1" s="70"/>
      <c r="GXR1" s="70"/>
      <c r="GXS1" s="70"/>
      <c r="GXT1" s="70"/>
      <c r="GXU1" s="70"/>
      <c r="GXV1" s="70"/>
      <c r="GXW1" s="70"/>
      <c r="GXX1" s="70"/>
      <c r="GXY1" s="70"/>
      <c r="GXZ1" s="70"/>
      <c r="GYA1" s="70"/>
      <c r="GYB1" s="70"/>
      <c r="GYC1" s="70"/>
      <c r="GYD1" s="70"/>
      <c r="GYE1" s="70"/>
      <c r="GYF1" s="70"/>
      <c r="GYG1" s="70"/>
      <c r="GYH1" s="70"/>
      <c r="GYI1" s="70"/>
      <c r="GYJ1" s="70"/>
      <c r="GYK1" s="70"/>
      <c r="GYL1" s="70"/>
      <c r="GYM1" s="70"/>
      <c r="GYN1" s="70"/>
      <c r="GYO1" s="70"/>
      <c r="GYP1" s="70"/>
      <c r="GYQ1" s="70"/>
      <c r="GYR1" s="70"/>
      <c r="GYS1" s="70"/>
      <c r="GYT1" s="70"/>
      <c r="GYU1" s="70"/>
      <c r="GYV1" s="70"/>
      <c r="GYW1" s="70"/>
      <c r="GYX1" s="70"/>
      <c r="GYY1" s="70"/>
      <c r="GYZ1" s="70"/>
      <c r="GZA1" s="70"/>
      <c r="GZB1" s="70"/>
      <c r="GZC1" s="70"/>
      <c r="GZD1" s="70"/>
      <c r="GZE1" s="70"/>
      <c r="GZF1" s="70"/>
      <c r="GZG1" s="70"/>
      <c r="GZH1" s="70"/>
      <c r="GZI1" s="70"/>
      <c r="GZJ1" s="70"/>
      <c r="GZK1" s="70"/>
      <c r="GZL1" s="70"/>
      <c r="GZM1" s="70"/>
      <c r="GZN1" s="70"/>
      <c r="GZO1" s="70"/>
      <c r="GZP1" s="70"/>
      <c r="GZQ1" s="70"/>
      <c r="GZR1" s="70"/>
      <c r="GZS1" s="70"/>
      <c r="GZT1" s="70"/>
      <c r="GZU1" s="70"/>
      <c r="GZV1" s="70"/>
      <c r="GZW1" s="70"/>
      <c r="GZX1" s="70"/>
      <c r="GZY1" s="70"/>
      <c r="GZZ1" s="70"/>
      <c r="HAA1" s="70"/>
      <c r="HAB1" s="70"/>
      <c r="HAC1" s="70"/>
      <c r="HAD1" s="70"/>
      <c r="HAE1" s="70"/>
      <c r="HAF1" s="70"/>
      <c r="HAG1" s="70"/>
      <c r="HAH1" s="70"/>
      <c r="HAI1" s="70"/>
      <c r="HAJ1" s="70"/>
      <c r="HAK1" s="70"/>
      <c r="HAL1" s="70"/>
      <c r="HAM1" s="70"/>
      <c r="HAN1" s="70"/>
      <c r="HAO1" s="70"/>
      <c r="HAP1" s="70"/>
      <c r="HAQ1" s="70"/>
      <c r="HAR1" s="70"/>
      <c r="HAS1" s="70"/>
      <c r="HAT1" s="70"/>
      <c r="HAU1" s="70"/>
      <c r="HAV1" s="70"/>
      <c r="HAW1" s="70"/>
      <c r="HAX1" s="70"/>
      <c r="HAY1" s="70"/>
      <c r="HAZ1" s="70"/>
      <c r="HBA1" s="70"/>
      <c r="HBB1" s="70"/>
      <c r="HBC1" s="70"/>
      <c r="HBD1" s="70"/>
      <c r="HBE1" s="70"/>
      <c r="HBF1" s="70"/>
      <c r="HBG1" s="70"/>
      <c r="HBH1" s="70"/>
      <c r="HBI1" s="70"/>
      <c r="HBJ1" s="70"/>
      <c r="HBK1" s="70"/>
      <c r="HBL1" s="70"/>
      <c r="HBM1" s="70"/>
      <c r="HBN1" s="70"/>
      <c r="HBO1" s="70"/>
      <c r="HBP1" s="70"/>
      <c r="HBQ1" s="70"/>
      <c r="HBR1" s="70"/>
      <c r="HBS1" s="70"/>
      <c r="HBT1" s="70"/>
      <c r="HBU1" s="70"/>
      <c r="HBV1" s="70"/>
      <c r="HBW1" s="70"/>
      <c r="HBX1" s="70"/>
      <c r="HBY1" s="70"/>
      <c r="HBZ1" s="70"/>
      <c r="HCA1" s="70"/>
      <c r="HCB1" s="70"/>
      <c r="HCC1" s="70"/>
      <c r="HCD1" s="70"/>
      <c r="HCE1" s="70"/>
      <c r="HCF1" s="70"/>
      <c r="HCG1" s="70"/>
      <c r="HCH1" s="70"/>
      <c r="HCI1" s="70"/>
      <c r="HCJ1" s="70"/>
      <c r="HCK1" s="70"/>
      <c r="HCL1" s="70"/>
      <c r="HCM1" s="70"/>
      <c r="HCN1" s="70"/>
      <c r="HCO1" s="70"/>
      <c r="HCP1" s="70"/>
      <c r="HCQ1" s="70"/>
      <c r="HCR1" s="70"/>
      <c r="HCS1" s="70"/>
      <c r="HCT1" s="70"/>
      <c r="HCU1" s="70"/>
      <c r="HCV1" s="70"/>
      <c r="HCW1" s="70"/>
      <c r="HCX1" s="70"/>
      <c r="HCY1" s="70"/>
      <c r="HCZ1" s="70"/>
      <c r="HDA1" s="70"/>
      <c r="HDB1" s="70"/>
      <c r="HDC1" s="70"/>
      <c r="HDD1" s="70"/>
      <c r="HDE1" s="70"/>
      <c r="HDF1" s="70"/>
      <c r="HDG1" s="70"/>
      <c r="HDH1" s="70"/>
      <c r="HDI1" s="70"/>
      <c r="HDJ1" s="70"/>
      <c r="HDK1" s="70"/>
      <c r="HDL1" s="70"/>
      <c r="HDM1" s="70"/>
      <c r="HDN1" s="70"/>
      <c r="HDO1" s="70"/>
      <c r="HDP1" s="70"/>
      <c r="HDQ1" s="70"/>
      <c r="HDR1" s="70"/>
      <c r="HDS1" s="70"/>
      <c r="HDT1" s="70"/>
      <c r="HDU1" s="70"/>
      <c r="HDV1" s="70"/>
      <c r="HDW1" s="70"/>
      <c r="HDX1" s="70"/>
      <c r="HDY1" s="70"/>
      <c r="HDZ1" s="70"/>
      <c r="HEA1" s="70"/>
      <c r="HEB1" s="70"/>
      <c r="HEC1" s="70"/>
      <c r="HED1" s="70"/>
      <c r="HEE1" s="70"/>
      <c r="HEF1" s="70"/>
      <c r="HEG1" s="70"/>
      <c r="HEH1" s="70"/>
      <c r="HEI1" s="70"/>
      <c r="HEJ1" s="70"/>
      <c r="HEK1" s="70"/>
      <c r="HEL1" s="70"/>
      <c r="HEM1" s="70"/>
      <c r="HEN1" s="70"/>
      <c r="HEO1" s="70"/>
      <c r="HEP1" s="70"/>
      <c r="HEQ1" s="70"/>
      <c r="HER1" s="70"/>
      <c r="HES1" s="70"/>
      <c r="HET1" s="70"/>
      <c r="HEU1" s="70"/>
      <c r="HEV1" s="70"/>
      <c r="HEW1" s="70"/>
      <c r="HEX1" s="70"/>
      <c r="HEY1" s="70"/>
      <c r="HEZ1" s="70"/>
      <c r="HFA1" s="70"/>
      <c r="HFB1" s="70"/>
      <c r="HFC1" s="70"/>
      <c r="HFD1" s="70"/>
      <c r="HFE1" s="70"/>
      <c r="HFF1" s="70"/>
      <c r="HFG1" s="70"/>
      <c r="HFH1" s="70"/>
      <c r="HFI1" s="70"/>
      <c r="HFJ1" s="70"/>
      <c r="HFK1" s="70"/>
      <c r="HFL1" s="70"/>
      <c r="HFM1" s="70"/>
      <c r="HFN1" s="70"/>
      <c r="HFO1" s="70"/>
      <c r="HFP1" s="70"/>
      <c r="HFQ1" s="70"/>
      <c r="HFR1" s="70"/>
      <c r="HFS1" s="70"/>
      <c r="HFT1" s="70"/>
      <c r="HFU1" s="70"/>
      <c r="HFV1" s="70"/>
      <c r="HFW1" s="70"/>
      <c r="HFX1" s="70"/>
      <c r="HFY1" s="70"/>
      <c r="HFZ1" s="70"/>
      <c r="HGA1" s="70"/>
      <c r="HGB1" s="70"/>
      <c r="HGC1" s="70"/>
      <c r="HGD1" s="70"/>
      <c r="HGE1" s="70"/>
      <c r="HGF1" s="70"/>
      <c r="HGG1" s="70"/>
      <c r="HGH1" s="70"/>
      <c r="HGI1" s="70"/>
      <c r="HGJ1" s="70"/>
      <c r="HGK1" s="70"/>
      <c r="HGL1" s="70"/>
      <c r="HGM1" s="70"/>
      <c r="HGN1" s="70"/>
      <c r="HGO1" s="70"/>
      <c r="HGP1" s="70"/>
      <c r="HGQ1" s="70"/>
      <c r="HGR1" s="70"/>
      <c r="HGS1" s="70"/>
      <c r="HGT1" s="70"/>
      <c r="HGU1" s="70"/>
      <c r="HGV1" s="70"/>
      <c r="HGW1" s="70"/>
      <c r="HGX1" s="70"/>
      <c r="HGY1" s="70"/>
      <c r="HGZ1" s="70"/>
      <c r="HHA1" s="70"/>
      <c r="HHB1" s="70"/>
      <c r="HHC1" s="70"/>
      <c r="HHD1" s="70"/>
      <c r="HHE1" s="70"/>
      <c r="HHF1" s="70"/>
      <c r="HHG1" s="70"/>
      <c r="HHH1" s="70"/>
      <c r="HHI1" s="70"/>
      <c r="HHJ1" s="70"/>
      <c r="HHK1" s="70"/>
      <c r="HHL1" s="70"/>
      <c r="HHM1" s="70"/>
      <c r="HHN1" s="70"/>
      <c r="HHO1" s="70"/>
      <c r="HHP1" s="70"/>
      <c r="HHQ1" s="70"/>
      <c r="HHR1" s="70"/>
      <c r="HHS1" s="70"/>
      <c r="HHT1" s="70"/>
      <c r="HHU1" s="70"/>
      <c r="HHV1" s="70"/>
      <c r="HHW1" s="70"/>
      <c r="HHX1" s="70"/>
      <c r="HHY1" s="70"/>
      <c r="HHZ1" s="70"/>
      <c r="HIA1" s="70"/>
      <c r="HIB1" s="70"/>
      <c r="HIC1" s="70"/>
      <c r="HID1" s="70"/>
      <c r="HIE1" s="70"/>
      <c r="HIF1" s="70"/>
      <c r="HIG1" s="70"/>
      <c r="HIH1" s="70"/>
      <c r="HII1" s="70"/>
      <c r="HIJ1" s="70"/>
      <c r="HIK1" s="70"/>
      <c r="HIL1" s="70"/>
      <c r="HIM1" s="70"/>
      <c r="HIN1" s="70"/>
      <c r="HIO1" s="70"/>
      <c r="HIP1" s="70"/>
      <c r="HIQ1" s="70"/>
      <c r="HIR1" s="70"/>
      <c r="HIS1" s="70"/>
      <c r="HIT1" s="70"/>
      <c r="HIU1" s="70"/>
      <c r="HIV1" s="70"/>
      <c r="HIW1" s="70"/>
      <c r="HIX1" s="70"/>
      <c r="HIY1" s="70"/>
      <c r="HIZ1" s="70"/>
      <c r="HJA1" s="70"/>
      <c r="HJB1" s="70"/>
      <c r="HJC1" s="70"/>
      <c r="HJD1" s="70"/>
      <c r="HJE1" s="70"/>
      <c r="HJF1" s="70"/>
      <c r="HJG1" s="70"/>
      <c r="HJH1" s="70"/>
      <c r="HJI1" s="70"/>
      <c r="HJJ1" s="70"/>
      <c r="HJK1" s="70"/>
      <c r="HJL1" s="70"/>
      <c r="HJM1" s="70"/>
      <c r="HJN1" s="70"/>
      <c r="HJO1" s="70"/>
      <c r="HJP1" s="70"/>
      <c r="HJQ1" s="70"/>
      <c r="HJR1" s="70"/>
      <c r="HJS1" s="70"/>
      <c r="HJT1" s="70"/>
      <c r="HJU1" s="70"/>
      <c r="HJV1" s="70"/>
      <c r="HJW1" s="70"/>
      <c r="HJX1" s="70"/>
      <c r="HJY1" s="70"/>
      <c r="HJZ1" s="70"/>
      <c r="HKA1" s="70"/>
      <c r="HKB1" s="70"/>
      <c r="HKC1" s="70"/>
      <c r="HKD1" s="70"/>
      <c r="HKE1" s="70"/>
      <c r="HKF1" s="70"/>
      <c r="HKG1" s="70"/>
      <c r="HKH1" s="70"/>
      <c r="HKI1" s="70"/>
      <c r="HKJ1" s="70"/>
      <c r="HKK1" s="70"/>
      <c r="HKL1" s="70"/>
      <c r="HKM1" s="70"/>
      <c r="HKN1" s="70"/>
      <c r="HKO1" s="70"/>
      <c r="HKP1" s="70"/>
      <c r="HKQ1" s="70"/>
      <c r="HKR1" s="70"/>
      <c r="HKS1" s="70"/>
      <c r="HKT1" s="70"/>
      <c r="HKU1" s="70"/>
      <c r="HKV1" s="70"/>
      <c r="HKW1" s="70"/>
      <c r="HKX1" s="70"/>
      <c r="HKY1" s="70"/>
      <c r="HKZ1" s="70"/>
      <c r="HLA1" s="70"/>
      <c r="HLB1" s="70"/>
      <c r="HLC1" s="70"/>
      <c r="HLD1" s="70"/>
      <c r="HLE1" s="70"/>
      <c r="HLF1" s="70"/>
      <c r="HLG1" s="70"/>
      <c r="HLH1" s="70"/>
      <c r="HLI1" s="70"/>
      <c r="HLJ1" s="70"/>
      <c r="HLK1" s="70"/>
      <c r="HLL1" s="70"/>
      <c r="HLM1" s="70"/>
      <c r="HLN1" s="70"/>
      <c r="HLO1" s="70"/>
      <c r="HLP1" s="70"/>
      <c r="HLQ1" s="70"/>
      <c r="HLR1" s="70"/>
      <c r="HLS1" s="70"/>
      <c r="HLT1" s="70"/>
      <c r="HLU1" s="70"/>
      <c r="HLV1" s="70"/>
      <c r="HLW1" s="70"/>
      <c r="HLX1" s="70"/>
      <c r="HLY1" s="70"/>
      <c r="HLZ1" s="70"/>
      <c r="HMA1" s="70"/>
      <c r="HMB1" s="70"/>
      <c r="HMC1" s="70"/>
      <c r="HMD1" s="70"/>
      <c r="HME1" s="70"/>
      <c r="HMF1" s="70"/>
      <c r="HMG1" s="70"/>
      <c r="HMH1" s="70"/>
      <c r="HMI1" s="70"/>
      <c r="HMJ1" s="70"/>
      <c r="HMK1" s="70"/>
      <c r="HML1" s="70"/>
      <c r="HMM1" s="70"/>
      <c r="HMN1" s="70"/>
      <c r="HMO1" s="70"/>
      <c r="HMP1" s="70"/>
      <c r="HMQ1" s="70"/>
      <c r="HMR1" s="70"/>
      <c r="HMS1" s="70"/>
      <c r="HMT1" s="70"/>
      <c r="HMU1" s="70"/>
      <c r="HMV1" s="70"/>
      <c r="HMW1" s="70"/>
      <c r="HMX1" s="70"/>
      <c r="HMY1" s="70"/>
      <c r="HMZ1" s="70"/>
      <c r="HNA1" s="70"/>
      <c r="HNB1" s="70"/>
      <c r="HNC1" s="70"/>
      <c r="HND1" s="70"/>
      <c r="HNE1" s="70"/>
      <c r="HNF1" s="70"/>
      <c r="HNG1" s="70"/>
      <c r="HNH1" s="70"/>
      <c r="HNI1" s="70"/>
      <c r="HNJ1" s="70"/>
      <c r="HNK1" s="70"/>
      <c r="HNL1" s="70"/>
      <c r="HNM1" s="70"/>
      <c r="HNN1" s="70"/>
      <c r="HNO1" s="70"/>
      <c r="HNP1" s="70"/>
      <c r="HNQ1" s="70"/>
      <c r="HNR1" s="70"/>
      <c r="HNS1" s="70"/>
      <c r="HNT1" s="70"/>
      <c r="HNU1" s="70"/>
      <c r="HNV1" s="70"/>
      <c r="HNW1" s="70"/>
      <c r="HNX1" s="70"/>
      <c r="HNY1" s="70"/>
      <c r="HNZ1" s="70"/>
      <c r="HOA1" s="70"/>
      <c r="HOB1" s="70"/>
      <c r="HOC1" s="70"/>
      <c r="HOD1" s="70"/>
      <c r="HOE1" s="70"/>
      <c r="HOF1" s="70"/>
      <c r="HOG1" s="70"/>
      <c r="HOH1" s="70"/>
      <c r="HOI1" s="70"/>
      <c r="HOJ1" s="70"/>
      <c r="HOK1" s="70"/>
      <c r="HOL1" s="70"/>
      <c r="HOM1" s="70"/>
      <c r="HON1" s="70"/>
      <c r="HOO1" s="70"/>
      <c r="HOP1" s="70"/>
      <c r="HOQ1" s="70"/>
      <c r="HOR1" s="70"/>
      <c r="HOS1" s="70"/>
      <c r="HOT1" s="70"/>
      <c r="HOU1" s="70"/>
      <c r="HOV1" s="70"/>
      <c r="HOW1" s="70"/>
      <c r="HOX1" s="70"/>
      <c r="HOY1" s="70"/>
      <c r="HOZ1" s="70"/>
      <c r="HPA1" s="70"/>
      <c r="HPB1" s="70"/>
      <c r="HPC1" s="70"/>
      <c r="HPD1" s="70"/>
      <c r="HPE1" s="70"/>
      <c r="HPF1" s="70"/>
      <c r="HPG1" s="70"/>
      <c r="HPH1" s="70"/>
      <c r="HPI1" s="70"/>
      <c r="HPJ1" s="70"/>
      <c r="HPK1" s="70"/>
      <c r="HPL1" s="70"/>
      <c r="HPM1" s="70"/>
      <c r="HPN1" s="70"/>
      <c r="HPO1" s="70"/>
      <c r="HPP1" s="70"/>
      <c r="HPQ1" s="70"/>
      <c r="HPR1" s="70"/>
      <c r="HPS1" s="70"/>
      <c r="HPT1" s="70"/>
      <c r="HPU1" s="70"/>
      <c r="HPV1" s="70"/>
      <c r="HPW1" s="70"/>
      <c r="HPX1" s="70"/>
      <c r="HPY1" s="70"/>
      <c r="HPZ1" s="70"/>
      <c r="HQA1" s="70"/>
      <c r="HQB1" s="70"/>
      <c r="HQC1" s="70"/>
      <c r="HQD1" s="70"/>
      <c r="HQE1" s="70"/>
      <c r="HQF1" s="70"/>
      <c r="HQG1" s="70"/>
      <c r="HQH1" s="70"/>
      <c r="HQI1" s="70"/>
      <c r="HQJ1" s="70"/>
      <c r="HQK1" s="70"/>
      <c r="HQL1" s="70"/>
      <c r="HQM1" s="70"/>
      <c r="HQN1" s="70"/>
      <c r="HQO1" s="70"/>
      <c r="HQP1" s="70"/>
      <c r="HQQ1" s="70"/>
      <c r="HQR1" s="70"/>
      <c r="HQS1" s="70"/>
      <c r="HQT1" s="70"/>
      <c r="HQU1" s="70"/>
      <c r="HQV1" s="70"/>
      <c r="HQW1" s="70"/>
      <c r="HQX1" s="70"/>
      <c r="HQY1" s="70"/>
      <c r="HQZ1" s="70"/>
      <c r="HRA1" s="70"/>
      <c r="HRB1" s="70"/>
      <c r="HRC1" s="70"/>
      <c r="HRD1" s="70"/>
      <c r="HRE1" s="70"/>
      <c r="HRF1" s="70"/>
      <c r="HRG1" s="70"/>
      <c r="HRH1" s="70"/>
      <c r="HRI1" s="70"/>
      <c r="HRJ1" s="70"/>
      <c r="HRK1" s="70"/>
      <c r="HRL1" s="70"/>
      <c r="HRM1" s="70"/>
      <c r="HRN1" s="70"/>
      <c r="HRO1" s="70"/>
      <c r="HRP1" s="70"/>
      <c r="HRQ1" s="70"/>
      <c r="HRR1" s="70"/>
      <c r="HRS1" s="70"/>
      <c r="HRT1" s="70"/>
      <c r="HRU1" s="70"/>
      <c r="HRV1" s="70"/>
      <c r="HRW1" s="70"/>
      <c r="HRX1" s="70"/>
      <c r="HRY1" s="70"/>
      <c r="HRZ1" s="70"/>
      <c r="HSA1" s="70"/>
      <c r="HSB1" s="70"/>
      <c r="HSC1" s="70"/>
      <c r="HSD1" s="70"/>
      <c r="HSE1" s="70"/>
      <c r="HSF1" s="70"/>
      <c r="HSG1" s="70"/>
      <c r="HSH1" s="70"/>
      <c r="HSI1" s="70"/>
      <c r="HSJ1" s="70"/>
      <c r="HSK1" s="70"/>
      <c r="HSL1" s="70"/>
      <c r="HSM1" s="70"/>
      <c r="HSN1" s="70"/>
      <c r="HSO1" s="70"/>
      <c r="HSP1" s="70"/>
      <c r="HSQ1" s="70"/>
      <c r="HSR1" s="70"/>
      <c r="HSS1" s="70"/>
      <c r="HST1" s="70"/>
      <c r="HSU1" s="70"/>
      <c r="HSV1" s="70"/>
      <c r="HSW1" s="70"/>
      <c r="HSX1" s="70"/>
      <c r="HSY1" s="70"/>
      <c r="HSZ1" s="70"/>
      <c r="HTA1" s="70"/>
      <c r="HTB1" s="70"/>
      <c r="HTC1" s="70"/>
      <c r="HTD1" s="70"/>
      <c r="HTE1" s="70"/>
      <c r="HTF1" s="70"/>
      <c r="HTG1" s="70"/>
      <c r="HTH1" s="70"/>
      <c r="HTI1" s="70"/>
      <c r="HTJ1" s="70"/>
      <c r="HTK1" s="70"/>
      <c r="HTL1" s="70"/>
      <c r="HTM1" s="70"/>
      <c r="HTN1" s="70"/>
      <c r="HTO1" s="70"/>
      <c r="HTP1" s="70"/>
      <c r="HTQ1" s="70"/>
      <c r="HTR1" s="70"/>
      <c r="HTS1" s="70"/>
      <c r="HTT1" s="70"/>
      <c r="HTU1" s="70"/>
      <c r="HTV1" s="70"/>
      <c r="HTW1" s="70"/>
      <c r="HTX1" s="70"/>
      <c r="HTY1" s="70"/>
      <c r="HTZ1" s="70"/>
      <c r="HUA1" s="70"/>
      <c r="HUB1" s="70"/>
      <c r="HUC1" s="70"/>
      <c r="HUD1" s="70"/>
      <c r="HUE1" s="70"/>
      <c r="HUF1" s="70"/>
      <c r="HUG1" s="70"/>
      <c r="HUH1" s="70"/>
      <c r="HUI1" s="70"/>
      <c r="HUJ1" s="70"/>
      <c r="HUK1" s="70"/>
      <c r="HUL1" s="70"/>
      <c r="HUM1" s="70"/>
      <c r="HUN1" s="70"/>
      <c r="HUO1" s="70"/>
      <c r="HUP1" s="70"/>
      <c r="HUQ1" s="70"/>
      <c r="HUR1" s="70"/>
      <c r="HUS1" s="70"/>
      <c r="HUT1" s="70"/>
      <c r="HUU1" s="70"/>
      <c r="HUV1" s="70"/>
      <c r="HUW1" s="70"/>
      <c r="HUX1" s="70"/>
      <c r="HUY1" s="70"/>
      <c r="HUZ1" s="70"/>
      <c r="HVA1" s="70"/>
      <c r="HVB1" s="70"/>
      <c r="HVC1" s="70"/>
      <c r="HVD1" s="70"/>
      <c r="HVE1" s="70"/>
      <c r="HVF1" s="70"/>
      <c r="HVG1" s="70"/>
      <c r="HVH1" s="70"/>
      <c r="HVI1" s="70"/>
      <c r="HVJ1" s="70"/>
      <c r="HVK1" s="70"/>
      <c r="HVL1" s="70"/>
      <c r="HVM1" s="70"/>
      <c r="HVN1" s="70"/>
      <c r="HVO1" s="70"/>
      <c r="HVP1" s="70"/>
      <c r="HVQ1" s="70"/>
      <c r="HVR1" s="70"/>
      <c r="HVS1" s="70"/>
      <c r="HVT1" s="70"/>
      <c r="HVU1" s="70"/>
      <c r="HVV1" s="70"/>
      <c r="HVW1" s="70"/>
      <c r="HVX1" s="70"/>
      <c r="HVY1" s="70"/>
      <c r="HVZ1" s="70"/>
      <c r="HWA1" s="70"/>
      <c r="HWB1" s="70"/>
      <c r="HWC1" s="70"/>
      <c r="HWD1" s="70"/>
      <c r="HWE1" s="70"/>
      <c r="HWF1" s="70"/>
      <c r="HWG1" s="70"/>
      <c r="HWH1" s="70"/>
      <c r="HWI1" s="70"/>
      <c r="HWJ1" s="70"/>
      <c r="HWK1" s="70"/>
      <c r="HWL1" s="70"/>
      <c r="HWM1" s="70"/>
      <c r="HWN1" s="70"/>
      <c r="HWO1" s="70"/>
      <c r="HWP1" s="70"/>
      <c r="HWQ1" s="70"/>
      <c r="HWR1" s="70"/>
      <c r="HWS1" s="70"/>
      <c r="HWT1" s="70"/>
      <c r="HWU1" s="70"/>
      <c r="HWV1" s="70"/>
      <c r="HWW1" s="70"/>
      <c r="HWX1" s="70"/>
      <c r="HWY1" s="70"/>
      <c r="HWZ1" s="70"/>
      <c r="HXA1" s="70"/>
      <c r="HXB1" s="70"/>
      <c r="HXC1" s="70"/>
      <c r="HXD1" s="70"/>
      <c r="HXE1" s="70"/>
      <c r="HXF1" s="70"/>
      <c r="HXG1" s="70"/>
      <c r="HXH1" s="70"/>
      <c r="HXI1" s="70"/>
      <c r="HXJ1" s="70"/>
      <c r="HXK1" s="70"/>
      <c r="HXL1" s="70"/>
      <c r="HXM1" s="70"/>
      <c r="HXN1" s="70"/>
      <c r="HXO1" s="70"/>
      <c r="HXP1" s="70"/>
      <c r="HXQ1" s="70"/>
      <c r="HXR1" s="70"/>
      <c r="HXS1" s="70"/>
      <c r="HXT1" s="70"/>
      <c r="HXU1" s="70"/>
      <c r="HXV1" s="70"/>
      <c r="HXW1" s="70"/>
      <c r="HXX1" s="70"/>
      <c r="HXY1" s="70"/>
      <c r="HXZ1" s="70"/>
      <c r="HYA1" s="70"/>
      <c r="HYB1" s="70"/>
      <c r="HYC1" s="70"/>
      <c r="HYD1" s="70"/>
      <c r="HYE1" s="70"/>
      <c r="HYF1" s="70"/>
      <c r="HYG1" s="70"/>
      <c r="HYH1" s="70"/>
      <c r="HYI1" s="70"/>
      <c r="HYJ1" s="70"/>
      <c r="HYK1" s="70"/>
      <c r="HYL1" s="70"/>
      <c r="HYM1" s="70"/>
      <c r="HYN1" s="70"/>
      <c r="HYO1" s="70"/>
      <c r="HYP1" s="70"/>
      <c r="HYQ1" s="70"/>
      <c r="HYR1" s="70"/>
      <c r="HYS1" s="70"/>
      <c r="HYT1" s="70"/>
      <c r="HYU1" s="70"/>
      <c r="HYV1" s="70"/>
      <c r="HYW1" s="70"/>
      <c r="HYX1" s="70"/>
      <c r="HYY1" s="70"/>
      <c r="HYZ1" s="70"/>
      <c r="HZA1" s="70"/>
      <c r="HZB1" s="70"/>
      <c r="HZC1" s="70"/>
      <c r="HZD1" s="70"/>
      <c r="HZE1" s="70"/>
      <c r="HZF1" s="70"/>
      <c r="HZG1" s="70"/>
      <c r="HZH1" s="70"/>
      <c r="HZI1" s="70"/>
      <c r="HZJ1" s="70"/>
      <c r="HZK1" s="70"/>
      <c r="HZL1" s="70"/>
      <c r="HZM1" s="70"/>
      <c r="HZN1" s="70"/>
      <c r="HZO1" s="70"/>
      <c r="HZP1" s="70"/>
      <c r="HZQ1" s="70"/>
      <c r="HZR1" s="70"/>
      <c r="HZS1" s="70"/>
      <c r="HZT1" s="70"/>
      <c r="HZU1" s="70"/>
      <c r="HZV1" s="70"/>
      <c r="HZW1" s="70"/>
      <c r="HZX1" s="70"/>
      <c r="HZY1" s="70"/>
      <c r="HZZ1" s="70"/>
      <c r="IAA1" s="70"/>
      <c r="IAB1" s="70"/>
      <c r="IAC1" s="70"/>
      <c r="IAD1" s="70"/>
      <c r="IAE1" s="70"/>
      <c r="IAF1" s="70"/>
      <c r="IAG1" s="70"/>
      <c r="IAH1" s="70"/>
      <c r="IAI1" s="70"/>
      <c r="IAJ1" s="70"/>
      <c r="IAK1" s="70"/>
      <c r="IAL1" s="70"/>
      <c r="IAM1" s="70"/>
      <c r="IAN1" s="70"/>
      <c r="IAO1" s="70"/>
      <c r="IAP1" s="70"/>
      <c r="IAQ1" s="70"/>
      <c r="IAR1" s="70"/>
      <c r="IAS1" s="70"/>
      <c r="IAT1" s="70"/>
      <c r="IAU1" s="70"/>
      <c r="IAV1" s="70"/>
      <c r="IAW1" s="70"/>
      <c r="IAX1" s="70"/>
      <c r="IAY1" s="70"/>
      <c r="IAZ1" s="70"/>
      <c r="IBA1" s="70"/>
      <c r="IBB1" s="70"/>
      <c r="IBC1" s="70"/>
      <c r="IBD1" s="70"/>
      <c r="IBE1" s="70"/>
      <c r="IBF1" s="70"/>
      <c r="IBG1" s="70"/>
      <c r="IBH1" s="70"/>
      <c r="IBI1" s="70"/>
      <c r="IBJ1" s="70"/>
      <c r="IBK1" s="70"/>
      <c r="IBL1" s="70"/>
      <c r="IBM1" s="70"/>
      <c r="IBN1" s="70"/>
      <c r="IBO1" s="70"/>
      <c r="IBP1" s="70"/>
      <c r="IBQ1" s="70"/>
      <c r="IBR1" s="70"/>
      <c r="IBS1" s="70"/>
      <c r="IBT1" s="70"/>
      <c r="IBU1" s="70"/>
      <c r="IBV1" s="70"/>
      <c r="IBW1" s="70"/>
      <c r="IBX1" s="70"/>
      <c r="IBY1" s="70"/>
      <c r="IBZ1" s="70"/>
      <c r="ICA1" s="70"/>
      <c r="ICB1" s="70"/>
      <c r="ICC1" s="70"/>
      <c r="ICD1" s="70"/>
      <c r="ICE1" s="70"/>
      <c r="ICF1" s="70"/>
      <c r="ICG1" s="70"/>
      <c r="ICH1" s="70"/>
      <c r="ICI1" s="70"/>
      <c r="ICJ1" s="70"/>
      <c r="ICK1" s="70"/>
      <c r="ICL1" s="70"/>
      <c r="ICM1" s="70"/>
      <c r="ICN1" s="70"/>
      <c r="ICO1" s="70"/>
      <c r="ICP1" s="70"/>
      <c r="ICQ1" s="70"/>
      <c r="ICR1" s="70"/>
      <c r="ICS1" s="70"/>
      <c r="ICT1" s="70"/>
      <c r="ICU1" s="70"/>
      <c r="ICV1" s="70"/>
      <c r="ICW1" s="70"/>
      <c r="ICX1" s="70"/>
      <c r="ICY1" s="70"/>
      <c r="ICZ1" s="70"/>
      <c r="IDA1" s="70"/>
      <c r="IDB1" s="70"/>
      <c r="IDC1" s="70"/>
      <c r="IDD1" s="70"/>
      <c r="IDE1" s="70"/>
      <c r="IDF1" s="70"/>
      <c r="IDG1" s="70"/>
      <c r="IDH1" s="70"/>
      <c r="IDI1" s="70"/>
      <c r="IDJ1" s="70"/>
      <c r="IDK1" s="70"/>
      <c r="IDL1" s="70"/>
      <c r="IDM1" s="70"/>
      <c r="IDN1" s="70"/>
      <c r="IDO1" s="70"/>
      <c r="IDP1" s="70"/>
      <c r="IDQ1" s="70"/>
      <c r="IDR1" s="70"/>
      <c r="IDS1" s="70"/>
      <c r="IDT1" s="70"/>
      <c r="IDU1" s="70"/>
      <c r="IDV1" s="70"/>
      <c r="IDW1" s="70"/>
      <c r="IDX1" s="70"/>
      <c r="IDY1" s="70"/>
      <c r="IDZ1" s="70"/>
      <c r="IEA1" s="70"/>
      <c r="IEB1" s="70"/>
      <c r="IEC1" s="70"/>
      <c r="IED1" s="70"/>
      <c r="IEE1" s="70"/>
      <c r="IEF1" s="70"/>
      <c r="IEG1" s="70"/>
      <c r="IEH1" s="70"/>
      <c r="IEI1" s="70"/>
      <c r="IEJ1" s="70"/>
      <c r="IEK1" s="70"/>
      <c r="IEL1" s="70"/>
      <c r="IEM1" s="70"/>
      <c r="IEN1" s="70"/>
      <c r="IEO1" s="70"/>
      <c r="IEP1" s="70"/>
      <c r="IEQ1" s="70"/>
      <c r="IER1" s="70"/>
      <c r="IES1" s="70"/>
      <c r="IET1" s="70"/>
      <c r="IEU1" s="70"/>
      <c r="IEV1" s="70"/>
      <c r="IEW1" s="70"/>
      <c r="IEX1" s="70"/>
      <c r="IEY1" s="70"/>
      <c r="IEZ1" s="70"/>
      <c r="IFA1" s="70"/>
      <c r="IFB1" s="70"/>
      <c r="IFC1" s="70"/>
      <c r="IFD1" s="70"/>
      <c r="IFE1" s="70"/>
      <c r="IFF1" s="70"/>
      <c r="IFG1" s="70"/>
      <c r="IFH1" s="70"/>
      <c r="IFI1" s="70"/>
      <c r="IFJ1" s="70"/>
      <c r="IFK1" s="70"/>
      <c r="IFL1" s="70"/>
      <c r="IFM1" s="70"/>
      <c r="IFN1" s="70"/>
      <c r="IFO1" s="70"/>
      <c r="IFP1" s="70"/>
      <c r="IFQ1" s="70"/>
      <c r="IFR1" s="70"/>
      <c r="IFS1" s="70"/>
      <c r="IFT1" s="70"/>
      <c r="IFU1" s="70"/>
      <c r="IFV1" s="70"/>
      <c r="IFW1" s="70"/>
      <c r="IFX1" s="70"/>
      <c r="IFY1" s="70"/>
      <c r="IFZ1" s="70"/>
      <c r="IGA1" s="70"/>
      <c r="IGB1" s="70"/>
      <c r="IGC1" s="70"/>
      <c r="IGD1" s="70"/>
      <c r="IGE1" s="70"/>
      <c r="IGF1" s="70"/>
      <c r="IGG1" s="70"/>
      <c r="IGH1" s="70"/>
      <c r="IGI1" s="70"/>
      <c r="IGJ1" s="70"/>
      <c r="IGK1" s="70"/>
      <c r="IGL1" s="70"/>
      <c r="IGM1" s="70"/>
      <c r="IGN1" s="70"/>
      <c r="IGO1" s="70"/>
      <c r="IGP1" s="70"/>
      <c r="IGQ1" s="70"/>
      <c r="IGR1" s="70"/>
      <c r="IGS1" s="70"/>
      <c r="IGT1" s="70"/>
      <c r="IGU1" s="70"/>
      <c r="IGV1" s="70"/>
      <c r="IGW1" s="70"/>
      <c r="IGX1" s="70"/>
      <c r="IGY1" s="70"/>
      <c r="IGZ1" s="70"/>
      <c r="IHA1" s="70"/>
      <c r="IHB1" s="70"/>
      <c r="IHC1" s="70"/>
      <c r="IHD1" s="70"/>
      <c r="IHE1" s="70"/>
      <c r="IHF1" s="70"/>
      <c r="IHG1" s="70"/>
      <c r="IHH1" s="70"/>
      <c r="IHI1" s="70"/>
      <c r="IHJ1" s="70"/>
      <c r="IHK1" s="70"/>
      <c r="IHL1" s="70"/>
      <c r="IHM1" s="70"/>
      <c r="IHN1" s="70"/>
      <c r="IHO1" s="70"/>
      <c r="IHP1" s="70"/>
      <c r="IHQ1" s="70"/>
      <c r="IHR1" s="70"/>
      <c r="IHS1" s="70"/>
      <c r="IHT1" s="70"/>
      <c r="IHU1" s="70"/>
      <c r="IHV1" s="70"/>
      <c r="IHW1" s="70"/>
      <c r="IHX1" s="70"/>
      <c r="IHY1" s="70"/>
      <c r="IHZ1" s="70"/>
      <c r="IIA1" s="70"/>
      <c r="IIB1" s="70"/>
      <c r="IIC1" s="70"/>
      <c r="IID1" s="70"/>
      <c r="IIE1" s="70"/>
      <c r="IIF1" s="70"/>
      <c r="IIG1" s="70"/>
      <c r="IIH1" s="70"/>
      <c r="III1" s="70"/>
      <c r="IIJ1" s="70"/>
      <c r="IIK1" s="70"/>
      <c r="IIL1" s="70"/>
      <c r="IIM1" s="70"/>
      <c r="IIN1" s="70"/>
      <c r="IIO1" s="70"/>
      <c r="IIP1" s="70"/>
      <c r="IIQ1" s="70"/>
      <c r="IIR1" s="70"/>
      <c r="IIS1" s="70"/>
      <c r="IIT1" s="70"/>
      <c r="IIU1" s="70"/>
      <c r="IIV1" s="70"/>
      <c r="IIW1" s="70"/>
      <c r="IIX1" s="70"/>
      <c r="IIY1" s="70"/>
      <c r="IIZ1" s="70"/>
      <c r="IJA1" s="70"/>
      <c r="IJB1" s="70"/>
      <c r="IJC1" s="70"/>
      <c r="IJD1" s="70"/>
      <c r="IJE1" s="70"/>
      <c r="IJF1" s="70"/>
      <c r="IJG1" s="70"/>
      <c r="IJH1" s="70"/>
      <c r="IJI1" s="70"/>
      <c r="IJJ1" s="70"/>
      <c r="IJK1" s="70"/>
      <c r="IJL1" s="70"/>
      <c r="IJM1" s="70"/>
      <c r="IJN1" s="70"/>
      <c r="IJO1" s="70"/>
      <c r="IJP1" s="70"/>
      <c r="IJQ1" s="70"/>
      <c r="IJR1" s="70"/>
      <c r="IJS1" s="70"/>
      <c r="IJT1" s="70"/>
      <c r="IJU1" s="70"/>
      <c r="IJV1" s="70"/>
      <c r="IJW1" s="70"/>
      <c r="IJX1" s="70"/>
      <c r="IJY1" s="70"/>
      <c r="IJZ1" s="70"/>
      <c r="IKA1" s="70"/>
      <c r="IKB1" s="70"/>
      <c r="IKC1" s="70"/>
      <c r="IKD1" s="70"/>
      <c r="IKE1" s="70"/>
      <c r="IKF1" s="70"/>
      <c r="IKG1" s="70"/>
      <c r="IKH1" s="70"/>
      <c r="IKI1" s="70"/>
      <c r="IKJ1" s="70"/>
      <c r="IKK1" s="70"/>
      <c r="IKL1" s="70"/>
      <c r="IKM1" s="70"/>
      <c r="IKN1" s="70"/>
      <c r="IKO1" s="70"/>
      <c r="IKP1" s="70"/>
      <c r="IKQ1" s="70"/>
      <c r="IKR1" s="70"/>
      <c r="IKS1" s="70"/>
      <c r="IKT1" s="70"/>
      <c r="IKU1" s="70"/>
      <c r="IKV1" s="70"/>
      <c r="IKW1" s="70"/>
      <c r="IKX1" s="70"/>
      <c r="IKY1" s="70"/>
      <c r="IKZ1" s="70"/>
      <c r="ILA1" s="70"/>
      <c r="ILB1" s="70"/>
      <c r="ILC1" s="70"/>
      <c r="ILD1" s="70"/>
      <c r="ILE1" s="70"/>
      <c r="ILF1" s="70"/>
      <c r="ILG1" s="70"/>
      <c r="ILH1" s="70"/>
      <c r="ILI1" s="70"/>
      <c r="ILJ1" s="70"/>
      <c r="ILK1" s="70"/>
      <c r="ILL1" s="70"/>
      <c r="ILM1" s="70"/>
      <c r="ILN1" s="70"/>
      <c r="ILO1" s="70"/>
      <c r="ILP1" s="70"/>
      <c r="ILQ1" s="70"/>
      <c r="ILR1" s="70"/>
      <c r="ILS1" s="70"/>
      <c r="ILT1" s="70"/>
      <c r="ILU1" s="70"/>
      <c r="ILV1" s="70"/>
      <c r="ILW1" s="70"/>
      <c r="ILX1" s="70"/>
      <c r="ILY1" s="70"/>
      <c r="ILZ1" s="70"/>
      <c r="IMA1" s="70"/>
      <c r="IMB1" s="70"/>
      <c r="IMC1" s="70"/>
      <c r="IMD1" s="70"/>
      <c r="IME1" s="70"/>
      <c r="IMF1" s="70"/>
      <c r="IMG1" s="70"/>
      <c r="IMH1" s="70"/>
      <c r="IMI1" s="70"/>
      <c r="IMJ1" s="70"/>
      <c r="IMK1" s="70"/>
      <c r="IML1" s="70"/>
      <c r="IMM1" s="70"/>
      <c r="IMN1" s="70"/>
      <c r="IMO1" s="70"/>
      <c r="IMP1" s="70"/>
      <c r="IMQ1" s="70"/>
      <c r="IMR1" s="70"/>
      <c r="IMS1" s="70"/>
      <c r="IMT1" s="70"/>
      <c r="IMU1" s="70"/>
      <c r="IMV1" s="70"/>
      <c r="IMW1" s="70"/>
      <c r="IMX1" s="70"/>
      <c r="IMY1" s="70"/>
      <c r="IMZ1" s="70"/>
      <c r="INA1" s="70"/>
      <c r="INB1" s="70"/>
      <c r="INC1" s="70"/>
      <c r="IND1" s="70"/>
      <c r="INE1" s="70"/>
      <c r="INF1" s="70"/>
      <c r="ING1" s="70"/>
      <c r="INH1" s="70"/>
      <c r="INI1" s="70"/>
      <c r="INJ1" s="70"/>
      <c r="INK1" s="70"/>
      <c r="INL1" s="70"/>
      <c r="INM1" s="70"/>
      <c r="INN1" s="70"/>
      <c r="INO1" s="70"/>
      <c r="INP1" s="70"/>
      <c r="INQ1" s="70"/>
      <c r="INR1" s="70"/>
      <c r="INS1" s="70"/>
      <c r="INT1" s="70"/>
      <c r="INU1" s="70"/>
      <c r="INV1" s="70"/>
      <c r="INW1" s="70"/>
      <c r="INX1" s="70"/>
      <c r="INY1" s="70"/>
      <c r="INZ1" s="70"/>
      <c r="IOA1" s="70"/>
      <c r="IOB1" s="70"/>
      <c r="IOC1" s="70"/>
      <c r="IOD1" s="70"/>
      <c r="IOE1" s="70"/>
      <c r="IOF1" s="70"/>
      <c r="IOG1" s="70"/>
      <c r="IOH1" s="70"/>
      <c r="IOI1" s="70"/>
      <c r="IOJ1" s="70"/>
      <c r="IOK1" s="70"/>
      <c r="IOL1" s="70"/>
      <c r="IOM1" s="70"/>
      <c r="ION1" s="70"/>
      <c r="IOO1" s="70"/>
      <c r="IOP1" s="70"/>
      <c r="IOQ1" s="70"/>
      <c r="IOR1" s="70"/>
      <c r="IOS1" s="70"/>
      <c r="IOT1" s="70"/>
      <c r="IOU1" s="70"/>
      <c r="IOV1" s="70"/>
      <c r="IOW1" s="70"/>
      <c r="IOX1" s="70"/>
      <c r="IOY1" s="70"/>
      <c r="IOZ1" s="70"/>
      <c r="IPA1" s="70"/>
      <c r="IPB1" s="70"/>
      <c r="IPC1" s="70"/>
      <c r="IPD1" s="70"/>
      <c r="IPE1" s="70"/>
      <c r="IPF1" s="70"/>
      <c r="IPG1" s="70"/>
      <c r="IPH1" s="70"/>
      <c r="IPI1" s="70"/>
      <c r="IPJ1" s="70"/>
      <c r="IPK1" s="70"/>
      <c r="IPL1" s="70"/>
      <c r="IPM1" s="70"/>
      <c r="IPN1" s="70"/>
      <c r="IPO1" s="70"/>
      <c r="IPP1" s="70"/>
      <c r="IPQ1" s="70"/>
      <c r="IPR1" s="70"/>
      <c r="IPS1" s="70"/>
      <c r="IPT1" s="70"/>
      <c r="IPU1" s="70"/>
      <c r="IPV1" s="70"/>
      <c r="IPW1" s="70"/>
      <c r="IPX1" s="70"/>
      <c r="IPY1" s="70"/>
      <c r="IPZ1" s="70"/>
      <c r="IQA1" s="70"/>
      <c r="IQB1" s="70"/>
      <c r="IQC1" s="70"/>
      <c r="IQD1" s="70"/>
      <c r="IQE1" s="70"/>
      <c r="IQF1" s="70"/>
      <c r="IQG1" s="70"/>
      <c r="IQH1" s="70"/>
      <c r="IQI1" s="70"/>
      <c r="IQJ1" s="70"/>
      <c r="IQK1" s="70"/>
      <c r="IQL1" s="70"/>
      <c r="IQM1" s="70"/>
      <c r="IQN1" s="70"/>
      <c r="IQO1" s="70"/>
      <c r="IQP1" s="70"/>
      <c r="IQQ1" s="70"/>
      <c r="IQR1" s="70"/>
      <c r="IQS1" s="70"/>
      <c r="IQT1" s="70"/>
      <c r="IQU1" s="70"/>
      <c r="IQV1" s="70"/>
      <c r="IQW1" s="70"/>
      <c r="IQX1" s="70"/>
      <c r="IQY1" s="70"/>
      <c r="IQZ1" s="70"/>
      <c r="IRA1" s="70"/>
      <c r="IRB1" s="70"/>
      <c r="IRC1" s="70"/>
      <c r="IRD1" s="70"/>
      <c r="IRE1" s="70"/>
      <c r="IRF1" s="70"/>
      <c r="IRG1" s="70"/>
      <c r="IRH1" s="70"/>
      <c r="IRI1" s="70"/>
      <c r="IRJ1" s="70"/>
      <c r="IRK1" s="70"/>
      <c r="IRL1" s="70"/>
      <c r="IRM1" s="70"/>
      <c r="IRN1" s="70"/>
      <c r="IRO1" s="70"/>
      <c r="IRP1" s="70"/>
      <c r="IRQ1" s="70"/>
      <c r="IRR1" s="70"/>
      <c r="IRS1" s="70"/>
      <c r="IRT1" s="70"/>
      <c r="IRU1" s="70"/>
      <c r="IRV1" s="70"/>
      <c r="IRW1" s="70"/>
      <c r="IRX1" s="70"/>
      <c r="IRY1" s="70"/>
      <c r="IRZ1" s="70"/>
      <c r="ISA1" s="70"/>
      <c r="ISB1" s="70"/>
      <c r="ISC1" s="70"/>
      <c r="ISD1" s="70"/>
      <c r="ISE1" s="70"/>
      <c r="ISF1" s="70"/>
      <c r="ISG1" s="70"/>
      <c r="ISH1" s="70"/>
      <c r="ISI1" s="70"/>
      <c r="ISJ1" s="70"/>
      <c r="ISK1" s="70"/>
      <c r="ISL1" s="70"/>
      <c r="ISM1" s="70"/>
      <c r="ISN1" s="70"/>
      <c r="ISO1" s="70"/>
      <c r="ISP1" s="70"/>
      <c r="ISQ1" s="70"/>
      <c r="ISR1" s="70"/>
      <c r="ISS1" s="70"/>
      <c r="IST1" s="70"/>
      <c r="ISU1" s="70"/>
      <c r="ISV1" s="70"/>
      <c r="ISW1" s="70"/>
      <c r="ISX1" s="70"/>
      <c r="ISY1" s="70"/>
      <c r="ISZ1" s="70"/>
      <c r="ITA1" s="70"/>
      <c r="ITB1" s="70"/>
      <c r="ITC1" s="70"/>
      <c r="ITD1" s="70"/>
      <c r="ITE1" s="70"/>
      <c r="ITF1" s="70"/>
      <c r="ITG1" s="70"/>
      <c r="ITH1" s="70"/>
      <c r="ITI1" s="70"/>
      <c r="ITJ1" s="70"/>
      <c r="ITK1" s="70"/>
      <c r="ITL1" s="70"/>
      <c r="ITM1" s="70"/>
      <c r="ITN1" s="70"/>
      <c r="ITO1" s="70"/>
      <c r="ITP1" s="70"/>
      <c r="ITQ1" s="70"/>
      <c r="ITR1" s="70"/>
      <c r="ITS1" s="70"/>
      <c r="ITT1" s="70"/>
      <c r="ITU1" s="70"/>
      <c r="ITV1" s="70"/>
      <c r="ITW1" s="70"/>
      <c r="ITX1" s="70"/>
      <c r="ITY1" s="70"/>
      <c r="ITZ1" s="70"/>
      <c r="IUA1" s="70"/>
      <c r="IUB1" s="70"/>
      <c r="IUC1" s="70"/>
      <c r="IUD1" s="70"/>
      <c r="IUE1" s="70"/>
      <c r="IUF1" s="70"/>
      <c r="IUG1" s="70"/>
      <c r="IUH1" s="70"/>
      <c r="IUI1" s="70"/>
      <c r="IUJ1" s="70"/>
      <c r="IUK1" s="70"/>
      <c r="IUL1" s="70"/>
      <c r="IUM1" s="70"/>
      <c r="IUN1" s="70"/>
      <c r="IUO1" s="70"/>
      <c r="IUP1" s="70"/>
      <c r="IUQ1" s="70"/>
      <c r="IUR1" s="70"/>
      <c r="IUS1" s="70"/>
      <c r="IUT1" s="70"/>
      <c r="IUU1" s="70"/>
      <c r="IUV1" s="70"/>
      <c r="IUW1" s="70"/>
      <c r="IUX1" s="70"/>
      <c r="IUY1" s="70"/>
      <c r="IUZ1" s="70"/>
      <c r="IVA1" s="70"/>
      <c r="IVB1" s="70"/>
      <c r="IVC1" s="70"/>
      <c r="IVD1" s="70"/>
      <c r="IVE1" s="70"/>
      <c r="IVF1" s="70"/>
      <c r="IVG1" s="70"/>
      <c r="IVH1" s="70"/>
      <c r="IVI1" s="70"/>
      <c r="IVJ1" s="70"/>
      <c r="IVK1" s="70"/>
      <c r="IVL1" s="70"/>
      <c r="IVM1" s="70"/>
      <c r="IVN1" s="70"/>
      <c r="IVO1" s="70"/>
      <c r="IVP1" s="70"/>
      <c r="IVQ1" s="70"/>
      <c r="IVR1" s="70"/>
      <c r="IVS1" s="70"/>
      <c r="IVT1" s="70"/>
      <c r="IVU1" s="70"/>
      <c r="IVV1" s="70"/>
      <c r="IVW1" s="70"/>
      <c r="IVX1" s="70"/>
      <c r="IVY1" s="70"/>
      <c r="IVZ1" s="70"/>
      <c r="IWA1" s="70"/>
      <c r="IWB1" s="70"/>
      <c r="IWC1" s="70"/>
      <c r="IWD1" s="70"/>
      <c r="IWE1" s="70"/>
      <c r="IWF1" s="70"/>
      <c r="IWG1" s="70"/>
      <c r="IWH1" s="70"/>
      <c r="IWI1" s="70"/>
      <c r="IWJ1" s="70"/>
      <c r="IWK1" s="70"/>
      <c r="IWL1" s="70"/>
      <c r="IWM1" s="70"/>
      <c r="IWN1" s="70"/>
      <c r="IWO1" s="70"/>
      <c r="IWP1" s="70"/>
      <c r="IWQ1" s="70"/>
      <c r="IWR1" s="70"/>
      <c r="IWS1" s="70"/>
      <c r="IWT1" s="70"/>
      <c r="IWU1" s="70"/>
      <c r="IWV1" s="70"/>
      <c r="IWW1" s="70"/>
      <c r="IWX1" s="70"/>
      <c r="IWY1" s="70"/>
      <c r="IWZ1" s="70"/>
      <c r="IXA1" s="70"/>
      <c r="IXB1" s="70"/>
      <c r="IXC1" s="70"/>
      <c r="IXD1" s="70"/>
      <c r="IXE1" s="70"/>
      <c r="IXF1" s="70"/>
      <c r="IXG1" s="70"/>
      <c r="IXH1" s="70"/>
      <c r="IXI1" s="70"/>
      <c r="IXJ1" s="70"/>
      <c r="IXK1" s="70"/>
      <c r="IXL1" s="70"/>
      <c r="IXM1" s="70"/>
      <c r="IXN1" s="70"/>
      <c r="IXO1" s="70"/>
      <c r="IXP1" s="70"/>
      <c r="IXQ1" s="70"/>
      <c r="IXR1" s="70"/>
      <c r="IXS1" s="70"/>
      <c r="IXT1" s="70"/>
      <c r="IXU1" s="70"/>
      <c r="IXV1" s="70"/>
      <c r="IXW1" s="70"/>
      <c r="IXX1" s="70"/>
      <c r="IXY1" s="70"/>
      <c r="IXZ1" s="70"/>
      <c r="IYA1" s="70"/>
      <c r="IYB1" s="70"/>
      <c r="IYC1" s="70"/>
      <c r="IYD1" s="70"/>
      <c r="IYE1" s="70"/>
      <c r="IYF1" s="70"/>
      <c r="IYG1" s="70"/>
      <c r="IYH1" s="70"/>
      <c r="IYI1" s="70"/>
      <c r="IYJ1" s="70"/>
      <c r="IYK1" s="70"/>
      <c r="IYL1" s="70"/>
      <c r="IYM1" s="70"/>
      <c r="IYN1" s="70"/>
      <c r="IYO1" s="70"/>
      <c r="IYP1" s="70"/>
      <c r="IYQ1" s="70"/>
      <c r="IYR1" s="70"/>
      <c r="IYS1" s="70"/>
      <c r="IYT1" s="70"/>
      <c r="IYU1" s="70"/>
      <c r="IYV1" s="70"/>
      <c r="IYW1" s="70"/>
      <c r="IYX1" s="70"/>
      <c r="IYY1" s="70"/>
      <c r="IYZ1" s="70"/>
      <c r="IZA1" s="70"/>
      <c r="IZB1" s="70"/>
      <c r="IZC1" s="70"/>
      <c r="IZD1" s="70"/>
      <c r="IZE1" s="70"/>
      <c r="IZF1" s="70"/>
      <c r="IZG1" s="70"/>
      <c r="IZH1" s="70"/>
      <c r="IZI1" s="70"/>
      <c r="IZJ1" s="70"/>
      <c r="IZK1" s="70"/>
      <c r="IZL1" s="70"/>
      <c r="IZM1" s="70"/>
      <c r="IZN1" s="70"/>
      <c r="IZO1" s="70"/>
      <c r="IZP1" s="70"/>
      <c r="IZQ1" s="70"/>
      <c r="IZR1" s="70"/>
      <c r="IZS1" s="70"/>
      <c r="IZT1" s="70"/>
      <c r="IZU1" s="70"/>
      <c r="IZV1" s="70"/>
      <c r="IZW1" s="70"/>
      <c r="IZX1" s="70"/>
      <c r="IZY1" s="70"/>
      <c r="IZZ1" s="70"/>
      <c r="JAA1" s="70"/>
      <c r="JAB1" s="70"/>
      <c r="JAC1" s="70"/>
      <c r="JAD1" s="70"/>
      <c r="JAE1" s="70"/>
      <c r="JAF1" s="70"/>
      <c r="JAG1" s="70"/>
      <c r="JAH1" s="70"/>
      <c r="JAI1" s="70"/>
      <c r="JAJ1" s="70"/>
      <c r="JAK1" s="70"/>
      <c r="JAL1" s="70"/>
      <c r="JAM1" s="70"/>
      <c r="JAN1" s="70"/>
      <c r="JAO1" s="70"/>
      <c r="JAP1" s="70"/>
      <c r="JAQ1" s="70"/>
      <c r="JAR1" s="70"/>
      <c r="JAS1" s="70"/>
      <c r="JAT1" s="70"/>
      <c r="JAU1" s="70"/>
      <c r="JAV1" s="70"/>
      <c r="JAW1" s="70"/>
      <c r="JAX1" s="70"/>
      <c r="JAY1" s="70"/>
      <c r="JAZ1" s="70"/>
      <c r="JBA1" s="70"/>
      <c r="JBB1" s="70"/>
      <c r="JBC1" s="70"/>
      <c r="JBD1" s="70"/>
      <c r="JBE1" s="70"/>
      <c r="JBF1" s="70"/>
      <c r="JBG1" s="70"/>
      <c r="JBH1" s="70"/>
      <c r="JBI1" s="70"/>
      <c r="JBJ1" s="70"/>
      <c r="JBK1" s="70"/>
      <c r="JBL1" s="70"/>
      <c r="JBM1" s="70"/>
      <c r="JBN1" s="70"/>
      <c r="JBO1" s="70"/>
      <c r="JBP1" s="70"/>
      <c r="JBQ1" s="70"/>
      <c r="JBR1" s="70"/>
      <c r="JBS1" s="70"/>
      <c r="JBT1" s="70"/>
      <c r="JBU1" s="70"/>
      <c r="JBV1" s="70"/>
      <c r="JBW1" s="70"/>
      <c r="JBX1" s="70"/>
      <c r="JBY1" s="70"/>
      <c r="JBZ1" s="70"/>
      <c r="JCA1" s="70"/>
      <c r="JCB1" s="70"/>
      <c r="JCC1" s="70"/>
      <c r="JCD1" s="70"/>
      <c r="JCE1" s="70"/>
      <c r="JCF1" s="70"/>
      <c r="JCG1" s="70"/>
      <c r="JCH1" s="70"/>
      <c r="JCI1" s="70"/>
      <c r="JCJ1" s="70"/>
      <c r="JCK1" s="70"/>
      <c r="JCL1" s="70"/>
      <c r="JCM1" s="70"/>
      <c r="JCN1" s="70"/>
      <c r="JCO1" s="70"/>
      <c r="JCP1" s="70"/>
      <c r="JCQ1" s="70"/>
      <c r="JCR1" s="70"/>
      <c r="JCS1" s="70"/>
      <c r="JCT1" s="70"/>
      <c r="JCU1" s="70"/>
      <c r="JCV1" s="70"/>
      <c r="JCW1" s="70"/>
      <c r="JCX1" s="70"/>
      <c r="JCY1" s="70"/>
      <c r="JCZ1" s="70"/>
      <c r="JDA1" s="70"/>
      <c r="JDB1" s="70"/>
      <c r="JDC1" s="70"/>
      <c r="JDD1" s="70"/>
      <c r="JDE1" s="70"/>
      <c r="JDF1" s="70"/>
      <c r="JDG1" s="70"/>
      <c r="JDH1" s="70"/>
      <c r="JDI1" s="70"/>
      <c r="JDJ1" s="70"/>
      <c r="JDK1" s="70"/>
      <c r="JDL1" s="70"/>
      <c r="JDM1" s="70"/>
      <c r="JDN1" s="70"/>
      <c r="JDO1" s="70"/>
      <c r="JDP1" s="70"/>
      <c r="JDQ1" s="70"/>
      <c r="JDR1" s="70"/>
      <c r="JDS1" s="70"/>
      <c r="JDT1" s="70"/>
      <c r="JDU1" s="70"/>
      <c r="JDV1" s="70"/>
      <c r="JDW1" s="70"/>
      <c r="JDX1" s="70"/>
      <c r="JDY1" s="70"/>
      <c r="JDZ1" s="70"/>
      <c r="JEA1" s="70"/>
      <c r="JEB1" s="70"/>
      <c r="JEC1" s="70"/>
      <c r="JED1" s="70"/>
      <c r="JEE1" s="70"/>
      <c r="JEF1" s="70"/>
      <c r="JEG1" s="70"/>
      <c r="JEH1" s="70"/>
      <c r="JEI1" s="70"/>
      <c r="JEJ1" s="70"/>
      <c r="JEK1" s="70"/>
      <c r="JEL1" s="70"/>
      <c r="JEM1" s="70"/>
      <c r="JEN1" s="70"/>
      <c r="JEO1" s="70"/>
      <c r="JEP1" s="70"/>
      <c r="JEQ1" s="70"/>
      <c r="JER1" s="70"/>
      <c r="JES1" s="70"/>
      <c r="JET1" s="70"/>
      <c r="JEU1" s="70"/>
      <c r="JEV1" s="70"/>
      <c r="JEW1" s="70"/>
      <c r="JEX1" s="70"/>
      <c r="JEY1" s="70"/>
      <c r="JEZ1" s="70"/>
      <c r="JFA1" s="70"/>
      <c r="JFB1" s="70"/>
      <c r="JFC1" s="70"/>
      <c r="JFD1" s="70"/>
      <c r="JFE1" s="70"/>
      <c r="JFF1" s="70"/>
      <c r="JFG1" s="70"/>
      <c r="JFH1" s="70"/>
      <c r="JFI1" s="70"/>
      <c r="JFJ1" s="70"/>
      <c r="JFK1" s="70"/>
      <c r="JFL1" s="70"/>
      <c r="JFM1" s="70"/>
      <c r="JFN1" s="70"/>
      <c r="JFO1" s="70"/>
      <c r="JFP1" s="70"/>
      <c r="JFQ1" s="70"/>
      <c r="JFR1" s="70"/>
      <c r="JFS1" s="70"/>
      <c r="JFT1" s="70"/>
      <c r="JFU1" s="70"/>
      <c r="JFV1" s="70"/>
      <c r="JFW1" s="70"/>
      <c r="JFX1" s="70"/>
      <c r="JFY1" s="70"/>
      <c r="JFZ1" s="70"/>
      <c r="JGA1" s="70"/>
      <c r="JGB1" s="70"/>
      <c r="JGC1" s="70"/>
      <c r="JGD1" s="70"/>
      <c r="JGE1" s="70"/>
      <c r="JGF1" s="70"/>
      <c r="JGG1" s="70"/>
      <c r="JGH1" s="70"/>
      <c r="JGI1" s="70"/>
      <c r="JGJ1" s="70"/>
      <c r="JGK1" s="70"/>
      <c r="JGL1" s="70"/>
      <c r="JGM1" s="70"/>
      <c r="JGN1" s="70"/>
      <c r="JGO1" s="70"/>
      <c r="JGP1" s="70"/>
      <c r="JGQ1" s="70"/>
      <c r="JGR1" s="70"/>
      <c r="JGS1" s="70"/>
      <c r="JGT1" s="70"/>
      <c r="JGU1" s="70"/>
      <c r="JGV1" s="70"/>
      <c r="JGW1" s="70"/>
      <c r="JGX1" s="70"/>
      <c r="JGY1" s="70"/>
      <c r="JGZ1" s="70"/>
      <c r="JHA1" s="70"/>
      <c r="JHB1" s="70"/>
      <c r="JHC1" s="70"/>
      <c r="JHD1" s="70"/>
      <c r="JHE1" s="70"/>
      <c r="JHF1" s="70"/>
      <c r="JHG1" s="70"/>
      <c r="JHH1" s="70"/>
      <c r="JHI1" s="70"/>
      <c r="JHJ1" s="70"/>
      <c r="JHK1" s="70"/>
      <c r="JHL1" s="70"/>
      <c r="JHM1" s="70"/>
      <c r="JHN1" s="70"/>
      <c r="JHO1" s="70"/>
      <c r="JHP1" s="70"/>
      <c r="JHQ1" s="70"/>
      <c r="JHR1" s="70"/>
      <c r="JHS1" s="70"/>
      <c r="JHT1" s="70"/>
      <c r="JHU1" s="70"/>
      <c r="JHV1" s="70"/>
      <c r="JHW1" s="70"/>
      <c r="JHX1" s="70"/>
      <c r="JHY1" s="70"/>
      <c r="JHZ1" s="70"/>
      <c r="JIA1" s="70"/>
      <c r="JIB1" s="70"/>
      <c r="JIC1" s="70"/>
      <c r="JID1" s="70"/>
      <c r="JIE1" s="70"/>
      <c r="JIF1" s="70"/>
      <c r="JIG1" s="70"/>
      <c r="JIH1" s="70"/>
      <c r="JII1" s="70"/>
      <c r="JIJ1" s="70"/>
      <c r="JIK1" s="70"/>
      <c r="JIL1" s="70"/>
      <c r="JIM1" s="70"/>
      <c r="JIN1" s="70"/>
      <c r="JIO1" s="70"/>
      <c r="JIP1" s="70"/>
      <c r="JIQ1" s="70"/>
      <c r="JIR1" s="70"/>
      <c r="JIS1" s="70"/>
      <c r="JIT1" s="70"/>
      <c r="JIU1" s="70"/>
      <c r="JIV1" s="70"/>
      <c r="JIW1" s="70"/>
      <c r="JIX1" s="70"/>
      <c r="JIY1" s="70"/>
      <c r="JIZ1" s="70"/>
      <c r="JJA1" s="70"/>
      <c r="JJB1" s="70"/>
      <c r="JJC1" s="70"/>
      <c r="JJD1" s="70"/>
      <c r="JJE1" s="70"/>
      <c r="JJF1" s="70"/>
      <c r="JJG1" s="70"/>
      <c r="JJH1" s="70"/>
      <c r="JJI1" s="70"/>
      <c r="JJJ1" s="70"/>
      <c r="JJK1" s="70"/>
      <c r="JJL1" s="70"/>
      <c r="JJM1" s="70"/>
      <c r="JJN1" s="70"/>
      <c r="JJO1" s="70"/>
      <c r="JJP1" s="70"/>
      <c r="JJQ1" s="70"/>
      <c r="JJR1" s="70"/>
      <c r="JJS1" s="70"/>
      <c r="JJT1" s="70"/>
      <c r="JJU1" s="70"/>
      <c r="JJV1" s="70"/>
      <c r="JJW1" s="70"/>
      <c r="JJX1" s="70"/>
      <c r="JJY1" s="70"/>
      <c r="JJZ1" s="70"/>
      <c r="JKA1" s="70"/>
      <c r="JKB1" s="70"/>
      <c r="JKC1" s="70"/>
      <c r="JKD1" s="70"/>
      <c r="JKE1" s="70"/>
      <c r="JKF1" s="70"/>
      <c r="JKG1" s="70"/>
      <c r="JKH1" s="70"/>
      <c r="JKI1" s="70"/>
      <c r="JKJ1" s="70"/>
      <c r="JKK1" s="70"/>
      <c r="JKL1" s="70"/>
      <c r="JKM1" s="70"/>
      <c r="JKN1" s="70"/>
      <c r="JKO1" s="70"/>
      <c r="JKP1" s="70"/>
      <c r="JKQ1" s="70"/>
      <c r="JKR1" s="70"/>
      <c r="JKS1" s="70"/>
      <c r="JKT1" s="70"/>
      <c r="JKU1" s="70"/>
      <c r="JKV1" s="70"/>
      <c r="JKW1" s="70"/>
      <c r="JKX1" s="70"/>
      <c r="JKY1" s="70"/>
      <c r="JKZ1" s="70"/>
      <c r="JLA1" s="70"/>
      <c r="JLB1" s="70"/>
      <c r="JLC1" s="70"/>
      <c r="JLD1" s="70"/>
      <c r="JLE1" s="70"/>
      <c r="JLF1" s="70"/>
      <c r="JLG1" s="70"/>
      <c r="JLH1" s="70"/>
      <c r="JLI1" s="70"/>
      <c r="JLJ1" s="70"/>
      <c r="JLK1" s="70"/>
      <c r="JLL1" s="70"/>
      <c r="JLM1" s="70"/>
      <c r="JLN1" s="70"/>
      <c r="JLO1" s="70"/>
      <c r="JLP1" s="70"/>
      <c r="JLQ1" s="70"/>
      <c r="JLR1" s="70"/>
      <c r="JLS1" s="70"/>
      <c r="JLT1" s="70"/>
      <c r="JLU1" s="70"/>
      <c r="JLV1" s="70"/>
      <c r="JLW1" s="70"/>
      <c r="JLX1" s="70"/>
      <c r="JLY1" s="70"/>
      <c r="JLZ1" s="70"/>
      <c r="JMA1" s="70"/>
      <c r="JMB1" s="70"/>
      <c r="JMC1" s="70"/>
      <c r="JMD1" s="70"/>
      <c r="JME1" s="70"/>
      <c r="JMF1" s="70"/>
      <c r="JMG1" s="70"/>
      <c r="JMH1" s="70"/>
      <c r="JMI1" s="70"/>
      <c r="JMJ1" s="70"/>
      <c r="JMK1" s="70"/>
      <c r="JML1" s="70"/>
      <c r="JMM1" s="70"/>
      <c r="JMN1" s="70"/>
      <c r="JMO1" s="70"/>
      <c r="JMP1" s="70"/>
      <c r="JMQ1" s="70"/>
      <c r="JMR1" s="70"/>
      <c r="JMS1" s="70"/>
      <c r="JMT1" s="70"/>
      <c r="JMU1" s="70"/>
      <c r="JMV1" s="70"/>
      <c r="JMW1" s="70"/>
      <c r="JMX1" s="70"/>
      <c r="JMY1" s="70"/>
      <c r="JMZ1" s="70"/>
      <c r="JNA1" s="70"/>
      <c r="JNB1" s="70"/>
      <c r="JNC1" s="70"/>
      <c r="JND1" s="70"/>
      <c r="JNE1" s="70"/>
      <c r="JNF1" s="70"/>
      <c r="JNG1" s="70"/>
      <c r="JNH1" s="70"/>
      <c r="JNI1" s="70"/>
      <c r="JNJ1" s="70"/>
      <c r="JNK1" s="70"/>
      <c r="JNL1" s="70"/>
      <c r="JNM1" s="70"/>
      <c r="JNN1" s="70"/>
      <c r="JNO1" s="70"/>
      <c r="JNP1" s="70"/>
      <c r="JNQ1" s="70"/>
      <c r="JNR1" s="70"/>
      <c r="JNS1" s="70"/>
      <c r="JNT1" s="70"/>
      <c r="JNU1" s="70"/>
      <c r="JNV1" s="70"/>
      <c r="JNW1" s="70"/>
      <c r="JNX1" s="70"/>
      <c r="JNY1" s="70"/>
      <c r="JNZ1" s="70"/>
      <c r="JOA1" s="70"/>
      <c r="JOB1" s="70"/>
      <c r="JOC1" s="70"/>
      <c r="JOD1" s="70"/>
      <c r="JOE1" s="70"/>
      <c r="JOF1" s="70"/>
      <c r="JOG1" s="70"/>
      <c r="JOH1" s="70"/>
      <c r="JOI1" s="70"/>
      <c r="JOJ1" s="70"/>
      <c r="JOK1" s="70"/>
      <c r="JOL1" s="70"/>
      <c r="JOM1" s="70"/>
      <c r="JON1" s="70"/>
      <c r="JOO1" s="70"/>
      <c r="JOP1" s="70"/>
      <c r="JOQ1" s="70"/>
      <c r="JOR1" s="70"/>
      <c r="JOS1" s="70"/>
      <c r="JOT1" s="70"/>
      <c r="JOU1" s="70"/>
      <c r="JOV1" s="70"/>
      <c r="JOW1" s="70"/>
      <c r="JOX1" s="70"/>
      <c r="JOY1" s="70"/>
      <c r="JOZ1" s="70"/>
      <c r="JPA1" s="70"/>
      <c r="JPB1" s="70"/>
      <c r="JPC1" s="70"/>
      <c r="JPD1" s="70"/>
      <c r="JPE1" s="70"/>
      <c r="JPF1" s="70"/>
      <c r="JPG1" s="70"/>
      <c r="JPH1" s="70"/>
      <c r="JPI1" s="70"/>
      <c r="JPJ1" s="70"/>
      <c r="JPK1" s="70"/>
      <c r="JPL1" s="70"/>
      <c r="JPM1" s="70"/>
      <c r="JPN1" s="70"/>
      <c r="JPO1" s="70"/>
      <c r="JPP1" s="70"/>
      <c r="JPQ1" s="70"/>
      <c r="JPR1" s="70"/>
      <c r="JPS1" s="70"/>
      <c r="JPT1" s="70"/>
      <c r="JPU1" s="70"/>
      <c r="JPV1" s="70"/>
      <c r="JPW1" s="70"/>
      <c r="JPX1" s="70"/>
      <c r="JPY1" s="70"/>
      <c r="JPZ1" s="70"/>
      <c r="JQA1" s="70"/>
      <c r="JQB1" s="70"/>
      <c r="JQC1" s="70"/>
      <c r="JQD1" s="70"/>
      <c r="JQE1" s="70"/>
      <c r="JQF1" s="70"/>
      <c r="JQG1" s="70"/>
      <c r="JQH1" s="70"/>
      <c r="JQI1" s="70"/>
      <c r="JQJ1" s="70"/>
      <c r="JQK1" s="70"/>
      <c r="JQL1" s="70"/>
      <c r="JQM1" s="70"/>
      <c r="JQN1" s="70"/>
      <c r="JQO1" s="70"/>
      <c r="JQP1" s="70"/>
      <c r="JQQ1" s="70"/>
      <c r="JQR1" s="70"/>
      <c r="JQS1" s="70"/>
      <c r="JQT1" s="70"/>
      <c r="JQU1" s="70"/>
      <c r="JQV1" s="70"/>
      <c r="JQW1" s="70"/>
      <c r="JQX1" s="70"/>
      <c r="JQY1" s="70"/>
      <c r="JQZ1" s="70"/>
      <c r="JRA1" s="70"/>
      <c r="JRB1" s="70"/>
      <c r="JRC1" s="70"/>
      <c r="JRD1" s="70"/>
      <c r="JRE1" s="70"/>
      <c r="JRF1" s="70"/>
      <c r="JRG1" s="70"/>
      <c r="JRH1" s="70"/>
      <c r="JRI1" s="70"/>
      <c r="JRJ1" s="70"/>
      <c r="JRK1" s="70"/>
      <c r="JRL1" s="70"/>
      <c r="JRM1" s="70"/>
      <c r="JRN1" s="70"/>
      <c r="JRO1" s="70"/>
      <c r="JRP1" s="70"/>
      <c r="JRQ1" s="70"/>
      <c r="JRR1" s="70"/>
      <c r="JRS1" s="70"/>
      <c r="JRT1" s="70"/>
      <c r="JRU1" s="70"/>
      <c r="JRV1" s="70"/>
      <c r="JRW1" s="70"/>
      <c r="JRX1" s="70"/>
      <c r="JRY1" s="70"/>
      <c r="JRZ1" s="70"/>
      <c r="JSA1" s="70"/>
      <c r="JSB1" s="70"/>
      <c r="JSC1" s="70"/>
      <c r="JSD1" s="70"/>
      <c r="JSE1" s="70"/>
      <c r="JSF1" s="70"/>
      <c r="JSG1" s="70"/>
      <c r="JSH1" s="70"/>
      <c r="JSI1" s="70"/>
      <c r="JSJ1" s="70"/>
      <c r="JSK1" s="70"/>
      <c r="JSL1" s="70"/>
      <c r="JSM1" s="70"/>
      <c r="JSN1" s="70"/>
      <c r="JSO1" s="70"/>
      <c r="JSP1" s="70"/>
      <c r="JSQ1" s="70"/>
      <c r="JSR1" s="70"/>
      <c r="JSS1" s="70"/>
      <c r="JST1" s="70"/>
      <c r="JSU1" s="70"/>
      <c r="JSV1" s="70"/>
      <c r="JSW1" s="70"/>
      <c r="JSX1" s="70"/>
      <c r="JSY1" s="70"/>
      <c r="JSZ1" s="70"/>
      <c r="JTA1" s="70"/>
      <c r="JTB1" s="70"/>
      <c r="JTC1" s="70"/>
      <c r="JTD1" s="70"/>
      <c r="JTE1" s="70"/>
      <c r="JTF1" s="70"/>
      <c r="JTG1" s="70"/>
      <c r="JTH1" s="70"/>
      <c r="JTI1" s="70"/>
      <c r="JTJ1" s="70"/>
      <c r="JTK1" s="70"/>
      <c r="JTL1" s="70"/>
      <c r="JTM1" s="70"/>
      <c r="JTN1" s="70"/>
      <c r="JTO1" s="70"/>
      <c r="JTP1" s="70"/>
      <c r="JTQ1" s="70"/>
      <c r="JTR1" s="70"/>
      <c r="JTS1" s="70"/>
      <c r="JTT1" s="70"/>
      <c r="JTU1" s="70"/>
      <c r="JTV1" s="70"/>
      <c r="JTW1" s="70"/>
      <c r="JTX1" s="70"/>
      <c r="JTY1" s="70"/>
      <c r="JTZ1" s="70"/>
      <c r="JUA1" s="70"/>
      <c r="JUB1" s="70"/>
      <c r="JUC1" s="70"/>
      <c r="JUD1" s="70"/>
      <c r="JUE1" s="70"/>
      <c r="JUF1" s="70"/>
      <c r="JUG1" s="70"/>
      <c r="JUH1" s="70"/>
      <c r="JUI1" s="70"/>
      <c r="JUJ1" s="70"/>
      <c r="JUK1" s="70"/>
      <c r="JUL1" s="70"/>
      <c r="JUM1" s="70"/>
      <c r="JUN1" s="70"/>
      <c r="JUO1" s="70"/>
      <c r="JUP1" s="70"/>
      <c r="JUQ1" s="70"/>
      <c r="JUR1" s="70"/>
      <c r="JUS1" s="70"/>
      <c r="JUT1" s="70"/>
      <c r="JUU1" s="70"/>
      <c r="JUV1" s="70"/>
      <c r="JUW1" s="70"/>
      <c r="JUX1" s="70"/>
      <c r="JUY1" s="70"/>
      <c r="JUZ1" s="70"/>
      <c r="JVA1" s="70"/>
      <c r="JVB1" s="70"/>
      <c r="JVC1" s="70"/>
      <c r="JVD1" s="70"/>
      <c r="JVE1" s="70"/>
      <c r="JVF1" s="70"/>
      <c r="JVG1" s="70"/>
      <c r="JVH1" s="70"/>
      <c r="JVI1" s="70"/>
      <c r="JVJ1" s="70"/>
      <c r="JVK1" s="70"/>
      <c r="JVL1" s="70"/>
      <c r="JVM1" s="70"/>
      <c r="JVN1" s="70"/>
      <c r="JVO1" s="70"/>
      <c r="JVP1" s="70"/>
      <c r="JVQ1" s="70"/>
      <c r="JVR1" s="70"/>
      <c r="JVS1" s="70"/>
      <c r="JVT1" s="70"/>
      <c r="JVU1" s="70"/>
      <c r="JVV1" s="70"/>
      <c r="JVW1" s="70"/>
      <c r="JVX1" s="70"/>
      <c r="JVY1" s="70"/>
      <c r="JVZ1" s="70"/>
      <c r="JWA1" s="70"/>
      <c r="JWB1" s="70"/>
      <c r="JWC1" s="70"/>
      <c r="JWD1" s="70"/>
      <c r="JWE1" s="70"/>
      <c r="JWF1" s="70"/>
      <c r="JWG1" s="70"/>
      <c r="JWH1" s="70"/>
      <c r="JWI1" s="70"/>
      <c r="JWJ1" s="70"/>
      <c r="JWK1" s="70"/>
      <c r="JWL1" s="70"/>
      <c r="JWM1" s="70"/>
      <c r="JWN1" s="70"/>
      <c r="JWO1" s="70"/>
      <c r="JWP1" s="70"/>
      <c r="JWQ1" s="70"/>
      <c r="JWR1" s="70"/>
      <c r="JWS1" s="70"/>
      <c r="JWT1" s="70"/>
      <c r="JWU1" s="70"/>
      <c r="JWV1" s="70"/>
      <c r="JWW1" s="70"/>
      <c r="JWX1" s="70"/>
      <c r="JWY1" s="70"/>
      <c r="JWZ1" s="70"/>
      <c r="JXA1" s="70"/>
      <c r="JXB1" s="70"/>
      <c r="JXC1" s="70"/>
      <c r="JXD1" s="70"/>
      <c r="JXE1" s="70"/>
      <c r="JXF1" s="70"/>
      <c r="JXG1" s="70"/>
      <c r="JXH1" s="70"/>
      <c r="JXI1" s="70"/>
      <c r="JXJ1" s="70"/>
      <c r="JXK1" s="70"/>
      <c r="JXL1" s="70"/>
      <c r="JXM1" s="70"/>
      <c r="JXN1" s="70"/>
      <c r="JXO1" s="70"/>
      <c r="JXP1" s="70"/>
      <c r="JXQ1" s="70"/>
      <c r="JXR1" s="70"/>
      <c r="JXS1" s="70"/>
      <c r="JXT1" s="70"/>
      <c r="JXU1" s="70"/>
      <c r="JXV1" s="70"/>
      <c r="JXW1" s="70"/>
      <c r="JXX1" s="70"/>
      <c r="JXY1" s="70"/>
      <c r="JXZ1" s="70"/>
      <c r="JYA1" s="70"/>
      <c r="JYB1" s="70"/>
      <c r="JYC1" s="70"/>
      <c r="JYD1" s="70"/>
      <c r="JYE1" s="70"/>
      <c r="JYF1" s="70"/>
      <c r="JYG1" s="70"/>
      <c r="JYH1" s="70"/>
      <c r="JYI1" s="70"/>
      <c r="JYJ1" s="70"/>
      <c r="JYK1" s="70"/>
      <c r="JYL1" s="70"/>
      <c r="JYM1" s="70"/>
      <c r="JYN1" s="70"/>
      <c r="JYO1" s="70"/>
      <c r="JYP1" s="70"/>
      <c r="JYQ1" s="70"/>
      <c r="JYR1" s="70"/>
      <c r="JYS1" s="70"/>
      <c r="JYT1" s="70"/>
      <c r="JYU1" s="70"/>
      <c r="JYV1" s="70"/>
      <c r="JYW1" s="70"/>
      <c r="JYX1" s="70"/>
      <c r="JYY1" s="70"/>
      <c r="JYZ1" s="70"/>
      <c r="JZA1" s="70"/>
      <c r="JZB1" s="70"/>
      <c r="JZC1" s="70"/>
      <c r="JZD1" s="70"/>
      <c r="JZE1" s="70"/>
      <c r="JZF1" s="70"/>
      <c r="JZG1" s="70"/>
      <c r="JZH1" s="70"/>
      <c r="JZI1" s="70"/>
      <c r="JZJ1" s="70"/>
      <c r="JZK1" s="70"/>
      <c r="JZL1" s="70"/>
      <c r="JZM1" s="70"/>
      <c r="JZN1" s="70"/>
      <c r="JZO1" s="70"/>
      <c r="JZP1" s="70"/>
      <c r="JZQ1" s="70"/>
      <c r="JZR1" s="70"/>
      <c r="JZS1" s="70"/>
      <c r="JZT1" s="70"/>
      <c r="JZU1" s="70"/>
      <c r="JZV1" s="70"/>
      <c r="JZW1" s="70"/>
      <c r="JZX1" s="70"/>
      <c r="JZY1" s="70"/>
      <c r="JZZ1" s="70"/>
      <c r="KAA1" s="70"/>
      <c r="KAB1" s="70"/>
      <c r="KAC1" s="70"/>
      <c r="KAD1" s="70"/>
      <c r="KAE1" s="70"/>
      <c r="KAF1" s="70"/>
      <c r="KAG1" s="70"/>
      <c r="KAH1" s="70"/>
      <c r="KAI1" s="70"/>
      <c r="KAJ1" s="70"/>
      <c r="KAK1" s="70"/>
      <c r="KAL1" s="70"/>
      <c r="KAM1" s="70"/>
      <c r="KAN1" s="70"/>
      <c r="KAO1" s="70"/>
      <c r="KAP1" s="70"/>
      <c r="KAQ1" s="70"/>
      <c r="KAR1" s="70"/>
      <c r="KAS1" s="70"/>
      <c r="KAT1" s="70"/>
      <c r="KAU1" s="70"/>
      <c r="KAV1" s="70"/>
      <c r="KAW1" s="70"/>
      <c r="KAX1" s="70"/>
      <c r="KAY1" s="70"/>
      <c r="KAZ1" s="70"/>
      <c r="KBA1" s="70"/>
      <c r="KBB1" s="70"/>
      <c r="KBC1" s="70"/>
      <c r="KBD1" s="70"/>
      <c r="KBE1" s="70"/>
      <c r="KBF1" s="70"/>
      <c r="KBG1" s="70"/>
      <c r="KBH1" s="70"/>
      <c r="KBI1" s="70"/>
      <c r="KBJ1" s="70"/>
      <c r="KBK1" s="70"/>
      <c r="KBL1" s="70"/>
      <c r="KBM1" s="70"/>
      <c r="KBN1" s="70"/>
      <c r="KBO1" s="70"/>
      <c r="KBP1" s="70"/>
      <c r="KBQ1" s="70"/>
      <c r="KBR1" s="70"/>
      <c r="KBS1" s="70"/>
      <c r="KBT1" s="70"/>
      <c r="KBU1" s="70"/>
      <c r="KBV1" s="70"/>
      <c r="KBW1" s="70"/>
      <c r="KBX1" s="70"/>
      <c r="KBY1" s="70"/>
      <c r="KBZ1" s="70"/>
      <c r="KCA1" s="70"/>
      <c r="KCB1" s="70"/>
      <c r="KCC1" s="70"/>
      <c r="KCD1" s="70"/>
      <c r="KCE1" s="70"/>
      <c r="KCF1" s="70"/>
      <c r="KCG1" s="70"/>
      <c r="KCH1" s="70"/>
      <c r="KCI1" s="70"/>
      <c r="KCJ1" s="70"/>
      <c r="KCK1" s="70"/>
      <c r="KCL1" s="70"/>
      <c r="KCM1" s="70"/>
      <c r="KCN1" s="70"/>
      <c r="KCO1" s="70"/>
      <c r="KCP1" s="70"/>
      <c r="KCQ1" s="70"/>
      <c r="KCR1" s="70"/>
      <c r="KCS1" s="70"/>
      <c r="KCT1" s="70"/>
      <c r="KCU1" s="70"/>
      <c r="KCV1" s="70"/>
      <c r="KCW1" s="70"/>
      <c r="KCX1" s="70"/>
      <c r="KCY1" s="70"/>
      <c r="KCZ1" s="70"/>
      <c r="KDA1" s="70"/>
      <c r="KDB1" s="70"/>
      <c r="KDC1" s="70"/>
      <c r="KDD1" s="70"/>
      <c r="KDE1" s="70"/>
      <c r="KDF1" s="70"/>
      <c r="KDG1" s="70"/>
      <c r="KDH1" s="70"/>
      <c r="KDI1" s="70"/>
      <c r="KDJ1" s="70"/>
      <c r="KDK1" s="70"/>
      <c r="KDL1" s="70"/>
      <c r="KDM1" s="70"/>
      <c r="KDN1" s="70"/>
      <c r="KDO1" s="70"/>
      <c r="KDP1" s="70"/>
      <c r="KDQ1" s="70"/>
      <c r="KDR1" s="70"/>
      <c r="KDS1" s="70"/>
      <c r="KDT1" s="70"/>
      <c r="KDU1" s="70"/>
      <c r="KDV1" s="70"/>
      <c r="KDW1" s="70"/>
      <c r="KDX1" s="70"/>
      <c r="KDY1" s="70"/>
      <c r="KDZ1" s="70"/>
      <c r="KEA1" s="70"/>
      <c r="KEB1" s="70"/>
      <c r="KEC1" s="70"/>
      <c r="KED1" s="70"/>
      <c r="KEE1" s="70"/>
      <c r="KEF1" s="70"/>
      <c r="KEG1" s="70"/>
      <c r="KEH1" s="70"/>
      <c r="KEI1" s="70"/>
      <c r="KEJ1" s="70"/>
      <c r="KEK1" s="70"/>
      <c r="KEL1" s="70"/>
      <c r="KEM1" s="70"/>
      <c r="KEN1" s="70"/>
      <c r="KEO1" s="70"/>
      <c r="KEP1" s="70"/>
      <c r="KEQ1" s="70"/>
      <c r="KER1" s="70"/>
      <c r="KES1" s="70"/>
      <c r="KET1" s="70"/>
      <c r="KEU1" s="70"/>
      <c r="KEV1" s="70"/>
      <c r="KEW1" s="70"/>
      <c r="KEX1" s="70"/>
      <c r="KEY1" s="70"/>
      <c r="KEZ1" s="70"/>
      <c r="KFA1" s="70"/>
      <c r="KFB1" s="70"/>
      <c r="KFC1" s="70"/>
      <c r="KFD1" s="70"/>
      <c r="KFE1" s="70"/>
      <c r="KFF1" s="70"/>
      <c r="KFG1" s="70"/>
      <c r="KFH1" s="70"/>
      <c r="KFI1" s="70"/>
      <c r="KFJ1" s="70"/>
      <c r="KFK1" s="70"/>
      <c r="KFL1" s="70"/>
      <c r="KFM1" s="70"/>
      <c r="KFN1" s="70"/>
      <c r="KFO1" s="70"/>
      <c r="KFP1" s="70"/>
      <c r="KFQ1" s="70"/>
      <c r="KFR1" s="70"/>
      <c r="KFS1" s="70"/>
      <c r="KFT1" s="70"/>
      <c r="KFU1" s="70"/>
      <c r="KFV1" s="70"/>
      <c r="KFW1" s="70"/>
      <c r="KFX1" s="70"/>
      <c r="KFY1" s="70"/>
      <c r="KFZ1" s="70"/>
      <c r="KGA1" s="70"/>
      <c r="KGB1" s="70"/>
      <c r="KGC1" s="70"/>
      <c r="KGD1" s="70"/>
      <c r="KGE1" s="70"/>
      <c r="KGF1" s="70"/>
      <c r="KGG1" s="70"/>
      <c r="KGH1" s="70"/>
      <c r="KGI1" s="70"/>
      <c r="KGJ1" s="70"/>
      <c r="KGK1" s="70"/>
      <c r="KGL1" s="70"/>
      <c r="KGM1" s="70"/>
      <c r="KGN1" s="70"/>
      <c r="KGO1" s="70"/>
      <c r="KGP1" s="70"/>
      <c r="KGQ1" s="70"/>
      <c r="KGR1" s="70"/>
      <c r="KGS1" s="70"/>
      <c r="KGT1" s="70"/>
      <c r="KGU1" s="70"/>
      <c r="KGV1" s="70"/>
      <c r="KGW1" s="70"/>
      <c r="KGX1" s="70"/>
      <c r="KGY1" s="70"/>
      <c r="KGZ1" s="70"/>
      <c r="KHA1" s="70"/>
      <c r="KHB1" s="70"/>
      <c r="KHC1" s="70"/>
      <c r="KHD1" s="70"/>
      <c r="KHE1" s="70"/>
      <c r="KHF1" s="70"/>
      <c r="KHG1" s="70"/>
      <c r="KHH1" s="70"/>
      <c r="KHI1" s="70"/>
      <c r="KHJ1" s="70"/>
      <c r="KHK1" s="70"/>
      <c r="KHL1" s="70"/>
      <c r="KHM1" s="70"/>
      <c r="KHN1" s="70"/>
      <c r="KHO1" s="70"/>
      <c r="KHP1" s="70"/>
      <c r="KHQ1" s="70"/>
      <c r="KHR1" s="70"/>
      <c r="KHS1" s="70"/>
      <c r="KHT1" s="70"/>
      <c r="KHU1" s="70"/>
      <c r="KHV1" s="70"/>
      <c r="KHW1" s="70"/>
      <c r="KHX1" s="70"/>
      <c r="KHY1" s="70"/>
      <c r="KHZ1" s="70"/>
      <c r="KIA1" s="70"/>
      <c r="KIB1" s="70"/>
      <c r="KIC1" s="70"/>
      <c r="KID1" s="70"/>
      <c r="KIE1" s="70"/>
      <c r="KIF1" s="70"/>
      <c r="KIG1" s="70"/>
      <c r="KIH1" s="70"/>
      <c r="KII1" s="70"/>
      <c r="KIJ1" s="70"/>
      <c r="KIK1" s="70"/>
      <c r="KIL1" s="70"/>
      <c r="KIM1" s="70"/>
      <c r="KIN1" s="70"/>
      <c r="KIO1" s="70"/>
      <c r="KIP1" s="70"/>
      <c r="KIQ1" s="70"/>
      <c r="KIR1" s="70"/>
      <c r="KIS1" s="70"/>
      <c r="KIT1" s="70"/>
      <c r="KIU1" s="70"/>
      <c r="KIV1" s="70"/>
      <c r="KIW1" s="70"/>
      <c r="KIX1" s="70"/>
      <c r="KIY1" s="70"/>
      <c r="KIZ1" s="70"/>
      <c r="KJA1" s="70"/>
      <c r="KJB1" s="70"/>
      <c r="KJC1" s="70"/>
      <c r="KJD1" s="70"/>
      <c r="KJE1" s="70"/>
      <c r="KJF1" s="70"/>
      <c r="KJG1" s="70"/>
      <c r="KJH1" s="70"/>
      <c r="KJI1" s="70"/>
      <c r="KJJ1" s="70"/>
      <c r="KJK1" s="70"/>
      <c r="KJL1" s="70"/>
      <c r="KJM1" s="70"/>
      <c r="KJN1" s="70"/>
      <c r="KJO1" s="70"/>
      <c r="KJP1" s="70"/>
      <c r="KJQ1" s="70"/>
      <c r="KJR1" s="70"/>
      <c r="KJS1" s="70"/>
      <c r="KJT1" s="70"/>
      <c r="KJU1" s="70"/>
      <c r="KJV1" s="70"/>
      <c r="KJW1" s="70"/>
      <c r="KJX1" s="70"/>
      <c r="KJY1" s="70"/>
      <c r="KJZ1" s="70"/>
      <c r="KKA1" s="70"/>
      <c r="KKB1" s="70"/>
      <c r="KKC1" s="70"/>
      <c r="KKD1" s="70"/>
      <c r="KKE1" s="70"/>
      <c r="KKF1" s="70"/>
      <c r="KKG1" s="70"/>
      <c r="KKH1" s="70"/>
      <c r="KKI1" s="70"/>
      <c r="KKJ1" s="70"/>
      <c r="KKK1" s="70"/>
      <c r="KKL1" s="70"/>
      <c r="KKM1" s="70"/>
      <c r="KKN1" s="70"/>
      <c r="KKO1" s="70"/>
      <c r="KKP1" s="70"/>
      <c r="KKQ1" s="70"/>
      <c r="KKR1" s="70"/>
      <c r="KKS1" s="70"/>
      <c r="KKT1" s="70"/>
      <c r="KKU1" s="70"/>
      <c r="KKV1" s="70"/>
      <c r="KKW1" s="70"/>
      <c r="KKX1" s="70"/>
      <c r="KKY1" s="70"/>
      <c r="KKZ1" s="70"/>
      <c r="KLA1" s="70"/>
      <c r="KLB1" s="70"/>
      <c r="KLC1" s="70"/>
      <c r="KLD1" s="70"/>
      <c r="KLE1" s="70"/>
      <c r="KLF1" s="70"/>
      <c r="KLG1" s="70"/>
      <c r="KLH1" s="70"/>
      <c r="KLI1" s="70"/>
      <c r="KLJ1" s="70"/>
      <c r="KLK1" s="70"/>
      <c r="KLL1" s="70"/>
      <c r="KLM1" s="70"/>
      <c r="KLN1" s="70"/>
      <c r="KLO1" s="70"/>
      <c r="KLP1" s="70"/>
      <c r="KLQ1" s="70"/>
      <c r="KLR1" s="70"/>
      <c r="KLS1" s="70"/>
      <c r="KLT1" s="70"/>
      <c r="KLU1" s="70"/>
      <c r="KLV1" s="70"/>
      <c r="KLW1" s="70"/>
      <c r="KLX1" s="70"/>
      <c r="KLY1" s="70"/>
      <c r="KLZ1" s="70"/>
      <c r="KMA1" s="70"/>
      <c r="KMB1" s="70"/>
      <c r="KMC1" s="70"/>
      <c r="KMD1" s="70"/>
      <c r="KME1" s="70"/>
      <c r="KMF1" s="70"/>
      <c r="KMG1" s="70"/>
      <c r="KMH1" s="70"/>
      <c r="KMI1" s="70"/>
      <c r="KMJ1" s="70"/>
      <c r="KMK1" s="70"/>
      <c r="KML1" s="70"/>
      <c r="KMM1" s="70"/>
      <c r="KMN1" s="70"/>
      <c r="KMO1" s="70"/>
      <c r="KMP1" s="70"/>
      <c r="KMQ1" s="70"/>
      <c r="KMR1" s="70"/>
      <c r="KMS1" s="70"/>
      <c r="KMT1" s="70"/>
      <c r="KMU1" s="70"/>
      <c r="KMV1" s="70"/>
      <c r="KMW1" s="70"/>
      <c r="KMX1" s="70"/>
      <c r="KMY1" s="70"/>
      <c r="KMZ1" s="70"/>
      <c r="KNA1" s="70"/>
      <c r="KNB1" s="70"/>
      <c r="KNC1" s="70"/>
      <c r="KND1" s="70"/>
      <c r="KNE1" s="70"/>
      <c r="KNF1" s="70"/>
      <c r="KNG1" s="70"/>
      <c r="KNH1" s="70"/>
      <c r="KNI1" s="70"/>
      <c r="KNJ1" s="70"/>
      <c r="KNK1" s="70"/>
      <c r="KNL1" s="70"/>
      <c r="KNM1" s="70"/>
      <c r="KNN1" s="70"/>
      <c r="KNO1" s="70"/>
      <c r="KNP1" s="70"/>
      <c r="KNQ1" s="70"/>
      <c r="KNR1" s="70"/>
      <c r="KNS1" s="70"/>
      <c r="KNT1" s="70"/>
      <c r="KNU1" s="70"/>
      <c r="KNV1" s="70"/>
      <c r="KNW1" s="70"/>
      <c r="KNX1" s="70"/>
      <c r="KNY1" s="70"/>
      <c r="KNZ1" s="70"/>
      <c r="KOA1" s="70"/>
      <c r="KOB1" s="70"/>
      <c r="KOC1" s="70"/>
      <c r="KOD1" s="70"/>
      <c r="KOE1" s="70"/>
      <c r="KOF1" s="70"/>
      <c r="KOG1" s="70"/>
      <c r="KOH1" s="70"/>
      <c r="KOI1" s="70"/>
      <c r="KOJ1" s="70"/>
      <c r="KOK1" s="70"/>
      <c r="KOL1" s="70"/>
      <c r="KOM1" s="70"/>
      <c r="KON1" s="70"/>
      <c r="KOO1" s="70"/>
      <c r="KOP1" s="70"/>
      <c r="KOQ1" s="70"/>
      <c r="KOR1" s="70"/>
      <c r="KOS1" s="70"/>
      <c r="KOT1" s="70"/>
      <c r="KOU1" s="70"/>
      <c r="KOV1" s="70"/>
      <c r="KOW1" s="70"/>
      <c r="KOX1" s="70"/>
      <c r="KOY1" s="70"/>
      <c r="KOZ1" s="70"/>
      <c r="KPA1" s="70"/>
      <c r="KPB1" s="70"/>
      <c r="KPC1" s="70"/>
      <c r="KPD1" s="70"/>
      <c r="KPE1" s="70"/>
      <c r="KPF1" s="70"/>
      <c r="KPG1" s="70"/>
      <c r="KPH1" s="70"/>
      <c r="KPI1" s="70"/>
      <c r="KPJ1" s="70"/>
      <c r="KPK1" s="70"/>
      <c r="KPL1" s="70"/>
      <c r="KPM1" s="70"/>
      <c r="KPN1" s="70"/>
      <c r="KPO1" s="70"/>
      <c r="KPP1" s="70"/>
      <c r="KPQ1" s="70"/>
      <c r="KPR1" s="70"/>
      <c r="KPS1" s="70"/>
      <c r="KPT1" s="70"/>
      <c r="KPU1" s="70"/>
      <c r="KPV1" s="70"/>
      <c r="KPW1" s="70"/>
      <c r="KPX1" s="70"/>
      <c r="KPY1" s="70"/>
      <c r="KPZ1" s="70"/>
      <c r="KQA1" s="70"/>
      <c r="KQB1" s="70"/>
      <c r="KQC1" s="70"/>
      <c r="KQD1" s="70"/>
      <c r="KQE1" s="70"/>
      <c r="KQF1" s="70"/>
      <c r="KQG1" s="70"/>
      <c r="KQH1" s="70"/>
      <c r="KQI1" s="70"/>
      <c r="KQJ1" s="70"/>
      <c r="KQK1" s="70"/>
      <c r="KQL1" s="70"/>
      <c r="KQM1" s="70"/>
      <c r="KQN1" s="70"/>
      <c r="KQO1" s="70"/>
      <c r="KQP1" s="70"/>
      <c r="KQQ1" s="70"/>
      <c r="KQR1" s="70"/>
      <c r="KQS1" s="70"/>
      <c r="KQT1" s="70"/>
      <c r="KQU1" s="70"/>
      <c r="KQV1" s="70"/>
      <c r="KQW1" s="70"/>
      <c r="KQX1" s="70"/>
      <c r="KQY1" s="70"/>
      <c r="KQZ1" s="70"/>
      <c r="KRA1" s="70"/>
      <c r="KRB1" s="70"/>
      <c r="KRC1" s="70"/>
      <c r="KRD1" s="70"/>
      <c r="KRE1" s="70"/>
      <c r="KRF1" s="70"/>
      <c r="KRG1" s="70"/>
      <c r="KRH1" s="70"/>
      <c r="KRI1" s="70"/>
      <c r="KRJ1" s="70"/>
      <c r="KRK1" s="70"/>
      <c r="KRL1" s="70"/>
      <c r="KRM1" s="70"/>
      <c r="KRN1" s="70"/>
      <c r="KRO1" s="70"/>
      <c r="KRP1" s="70"/>
      <c r="KRQ1" s="70"/>
      <c r="KRR1" s="70"/>
      <c r="KRS1" s="70"/>
      <c r="KRT1" s="70"/>
      <c r="KRU1" s="70"/>
      <c r="KRV1" s="70"/>
      <c r="KRW1" s="70"/>
      <c r="KRX1" s="70"/>
      <c r="KRY1" s="70"/>
      <c r="KRZ1" s="70"/>
      <c r="KSA1" s="70"/>
      <c r="KSB1" s="70"/>
      <c r="KSC1" s="70"/>
      <c r="KSD1" s="70"/>
      <c r="KSE1" s="70"/>
      <c r="KSF1" s="70"/>
      <c r="KSG1" s="70"/>
      <c r="KSH1" s="70"/>
      <c r="KSI1" s="70"/>
      <c r="KSJ1" s="70"/>
      <c r="KSK1" s="70"/>
      <c r="KSL1" s="70"/>
      <c r="KSM1" s="70"/>
      <c r="KSN1" s="70"/>
      <c r="KSO1" s="70"/>
      <c r="KSP1" s="70"/>
      <c r="KSQ1" s="70"/>
      <c r="KSR1" s="70"/>
      <c r="KSS1" s="70"/>
      <c r="KST1" s="70"/>
      <c r="KSU1" s="70"/>
      <c r="KSV1" s="70"/>
      <c r="KSW1" s="70"/>
      <c r="KSX1" s="70"/>
      <c r="KSY1" s="70"/>
      <c r="KSZ1" s="70"/>
      <c r="KTA1" s="70"/>
      <c r="KTB1" s="70"/>
      <c r="KTC1" s="70"/>
      <c r="KTD1" s="70"/>
      <c r="KTE1" s="70"/>
      <c r="KTF1" s="70"/>
      <c r="KTG1" s="70"/>
      <c r="KTH1" s="70"/>
      <c r="KTI1" s="70"/>
      <c r="KTJ1" s="70"/>
      <c r="KTK1" s="70"/>
      <c r="KTL1" s="70"/>
      <c r="KTM1" s="70"/>
      <c r="KTN1" s="70"/>
      <c r="KTO1" s="70"/>
      <c r="KTP1" s="70"/>
      <c r="KTQ1" s="70"/>
      <c r="KTR1" s="70"/>
      <c r="KTS1" s="70"/>
      <c r="KTT1" s="70"/>
      <c r="KTU1" s="70"/>
      <c r="KTV1" s="70"/>
      <c r="KTW1" s="70"/>
      <c r="KTX1" s="70"/>
      <c r="KTY1" s="70"/>
      <c r="KTZ1" s="70"/>
      <c r="KUA1" s="70"/>
      <c r="KUB1" s="70"/>
      <c r="KUC1" s="70"/>
      <c r="KUD1" s="70"/>
      <c r="KUE1" s="70"/>
      <c r="KUF1" s="70"/>
      <c r="KUG1" s="70"/>
      <c r="KUH1" s="70"/>
      <c r="KUI1" s="70"/>
      <c r="KUJ1" s="70"/>
      <c r="KUK1" s="70"/>
      <c r="KUL1" s="70"/>
      <c r="KUM1" s="70"/>
      <c r="KUN1" s="70"/>
      <c r="KUO1" s="70"/>
      <c r="KUP1" s="70"/>
      <c r="KUQ1" s="70"/>
      <c r="KUR1" s="70"/>
      <c r="KUS1" s="70"/>
      <c r="KUT1" s="70"/>
      <c r="KUU1" s="70"/>
      <c r="KUV1" s="70"/>
      <c r="KUW1" s="70"/>
      <c r="KUX1" s="70"/>
      <c r="KUY1" s="70"/>
      <c r="KUZ1" s="70"/>
      <c r="KVA1" s="70"/>
      <c r="KVB1" s="70"/>
      <c r="KVC1" s="70"/>
      <c r="KVD1" s="70"/>
      <c r="KVE1" s="70"/>
      <c r="KVF1" s="70"/>
      <c r="KVG1" s="70"/>
      <c r="KVH1" s="70"/>
      <c r="KVI1" s="70"/>
      <c r="KVJ1" s="70"/>
      <c r="KVK1" s="70"/>
      <c r="KVL1" s="70"/>
      <c r="KVM1" s="70"/>
      <c r="KVN1" s="70"/>
      <c r="KVO1" s="70"/>
      <c r="KVP1" s="70"/>
      <c r="KVQ1" s="70"/>
      <c r="KVR1" s="70"/>
      <c r="KVS1" s="70"/>
      <c r="KVT1" s="70"/>
      <c r="KVU1" s="70"/>
      <c r="KVV1" s="70"/>
      <c r="KVW1" s="70"/>
      <c r="KVX1" s="70"/>
      <c r="KVY1" s="70"/>
      <c r="KVZ1" s="70"/>
      <c r="KWA1" s="70"/>
      <c r="KWB1" s="70"/>
      <c r="KWC1" s="70"/>
      <c r="KWD1" s="70"/>
      <c r="KWE1" s="70"/>
      <c r="KWF1" s="70"/>
      <c r="KWG1" s="70"/>
      <c r="KWH1" s="70"/>
      <c r="KWI1" s="70"/>
      <c r="KWJ1" s="70"/>
      <c r="KWK1" s="70"/>
      <c r="KWL1" s="70"/>
      <c r="KWM1" s="70"/>
      <c r="KWN1" s="70"/>
      <c r="KWO1" s="70"/>
      <c r="KWP1" s="70"/>
      <c r="KWQ1" s="70"/>
      <c r="KWR1" s="70"/>
      <c r="KWS1" s="70"/>
      <c r="KWT1" s="70"/>
      <c r="KWU1" s="70"/>
      <c r="KWV1" s="70"/>
      <c r="KWW1" s="70"/>
      <c r="KWX1" s="70"/>
      <c r="KWY1" s="70"/>
      <c r="KWZ1" s="70"/>
      <c r="KXA1" s="70"/>
      <c r="KXB1" s="70"/>
      <c r="KXC1" s="70"/>
      <c r="KXD1" s="70"/>
      <c r="KXE1" s="70"/>
      <c r="KXF1" s="70"/>
      <c r="KXG1" s="70"/>
      <c r="KXH1" s="70"/>
      <c r="KXI1" s="70"/>
      <c r="KXJ1" s="70"/>
      <c r="KXK1" s="70"/>
      <c r="KXL1" s="70"/>
      <c r="KXM1" s="70"/>
      <c r="KXN1" s="70"/>
      <c r="KXO1" s="70"/>
      <c r="KXP1" s="70"/>
      <c r="KXQ1" s="70"/>
      <c r="KXR1" s="70"/>
      <c r="KXS1" s="70"/>
      <c r="KXT1" s="70"/>
      <c r="KXU1" s="70"/>
      <c r="KXV1" s="70"/>
      <c r="KXW1" s="70"/>
      <c r="KXX1" s="70"/>
      <c r="KXY1" s="70"/>
      <c r="KXZ1" s="70"/>
      <c r="KYA1" s="70"/>
      <c r="KYB1" s="70"/>
      <c r="KYC1" s="70"/>
      <c r="KYD1" s="70"/>
      <c r="KYE1" s="70"/>
      <c r="KYF1" s="70"/>
      <c r="KYG1" s="70"/>
      <c r="KYH1" s="70"/>
      <c r="KYI1" s="70"/>
      <c r="KYJ1" s="70"/>
      <c r="KYK1" s="70"/>
      <c r="KYL1" s="70"/>
      <c r="KYM1" s="70"/>
      <c r="KYN1" s="70"/>
      <c r="KYO1" s="70"/>
      <c r="KYP1" s="70"/>
      <c r="KYQ1" s="70"/>
      <c r="KYR1" s="70"/>
      <c r="KYS1" s="70"/>
      <c r="KYT1" s="70"/>
      <c r="KYU1" s="70"/>
      <c r="KYV1" s="70"/>
      <c r="KYW1" s="70"/>
      <c r="KYX1" s="70"/>
      <c r="KYY1" s="70"/>
      <c r="KYZ1" s="70"/>
      <c r="KZA1" s="70"/>
      <c r="KZB1" s="70"/>
      <c r="KZC1" s="70"/>
      <c r="KZD1" s="70"/>
      <c r="KZE1" s="70"/>
      <c r="KZF1" s="70"/>
      <c r="KZG1" s="70"/>
      <c r="KZH1" s="70"/>
      <c r="KZI1" s="70"/>
      <c r="KZJ1" s="70"/>
      <c r="KZK1" s="70"/>
      <c r="KZL1" s="70"/>
      <c r="KZM1" s="70"/>
      <c r="KZN1" s="70"/>
      <c r="KZO1" s="70"/>
      <c r="KZP1" s="70"/>
      <c r="KZQ1" s="70"/>
      <c r="KZR1" s="70"/>
      <c r="KZS1" s="70"/>
      <c r="KZT1" s="70"/>
      <c r="KZU1" s="70"/>
      <c r="KZV1" s="70"/>
      <c r="KZW1" s="70"/>
      <c r="KZX1" s="70"/>
      <c r="KZY1" s="70"/>
      <c r="KZZ1" s="70"/>
      <c r="LAA1" s="70"/>
      <c r="LAB1" s="70"/>
      <c r="LAC1" s="70"/>
      <c r="LAD1" s="70"/>
      <c r="LAE1" s="70"/>
      <c r="LAF1" s="70"/>
      <c r="LAG1" s="70"/>
      <c r="LAH1" s="70"/>
      <c r="LAI1" s="70"/>
      <c r="LAJ1" s="70"/>
      <c r="LAK1" s="70"/>
      <c r="LAL1" s="70"/>
      <c r="LAM1" s="70"/>
      <c r="LAN1" s="70"/>
      <c r="LAO1" s="70"/>
      <c r="LAP1" s="70"/>
      <c r="LAQ1" s="70"/>
      <c r="LAR1" s="70"/>
      <c r="LAS1" s="70"/>
      <c r="LAT1" s="70"/>
      <c r="LAU1" s="70"/>
      <c r="LAV1" s="70"/>
      <c r="LAW1" s="70"/>
      <c r="LAX1" s="70"/>
      <c r="LAY1" s="70"/>
      <c r="LAZ1" s="70"/>
      <c r="LBA1" s="70"/>
      <c r="LBB1" s="70"/>
      <c r="LBC1" s="70"/>
      <c r="LBD1" s="70"/>
      <c r="LBE1" s="70"/>
      <c r="LBF1" s="70"/>
      <c r="LBG1" s="70"/>
      <c r="LBH1" s="70"/>
      <c r="LBI1" s="70"/>
      <c r="LBJ1" s="70"/>
      <c r="LBK1" s="70"/>
      <c r="LBL1" s="70"/>
      <c r="LBM1" s="70"/>
      <c r="LBN1" s="70"/>
      <c r="LBO1" s="70"/>
      <c r="LBP1" s="70"/>
      <c r="LBQ1" s="70"/>
      <c r="LBR1" s="70"/>
      <c r="LBS1" s="70"/>
      <c r="LBT1" s="70"/>
      <c r="LBU1" s="70"/>
      <c r="LBV1" s="70"/>
      <c r="LBW1" s="70"/>
      <c r="LBX1" s="70"/>
      <c r="LBY1" s="70"/>
      <c r="LBZ1" s="70"/>
      <c r="LCA1" s="70"/>
      <c r="LCB1" s="70"/>
      <c r="LCC1" s="70"/>
      <c r="LCD1" s="70"/>
      <c r="LCE1" s="70"/>
      <c r="LCF1" s="70"/>
      <c r="LCG1" s="70"/>
      <c r="LCH1" s="70"/>
      <c r="LCI1" s="70"/>
      <c r="LCJ1" s="70"/>
      <c r="LCK1" s="70"/>
      <c r="LCL1" s="70"/>
      <c r="LCM1" s="70"/>
      <c r="LCN1" s="70"/>
      <c r="LCO1" s="70"/>
      <c r="LCP1" s="70"/>
      <c r="LCQ1" s="70"/>
      <c r="LCR1" s="70"/>
      <c r="LCS1" s="70"/>
      <c r="LCT1" s="70"/>
      <c r="LCU1" s="70"/>
      <c r="LCV1" s="70"/>
      <c r="LCW1" s="70"/>
      <c r="LCX1" s="70"/>
      <c r="LCY1" s="70"/>
      <c r="LCZ1" s="70"/>
      <c r="LDA1" s="70"/>
      <c r="LDB1" s="70"/>
      <c r="LDC1" s="70"/>
      <c r="LDD1" s="70"/>
      <c r="LDE1" s="70"/>
      <c r="LDF1" s="70"/>
      <c r="LDG1" s="70"/>
      <c r="LDH1" s="70"/>
      <c r="LDI1" s="70"/>
      <c r="LDJ1" s="70"/>
      <c r="LDK1" s="70"/>
      <c r="LDL1" s="70"/>
      <c r="LDM1" s="70"/>
      <c r="LDN1" s="70"/>
      <c r="LDO1" s="70"/>
      <c r="LDP1" s="70"/>
      <c r="LDQ1" s="70"/>
      <c r="LDR1" s="70"/>
      <c r="LDS1" s="70"/>
      <c r="LDT1" s="70"/>
      <c r="LDU1" s="70"/>
      <c r="LDV1" s="70"/>
      <c r="LDW1" s="70"/>
      <c r="LDX1" s="70"/>
      <c r="LDY1" s="70"/>
      <c r="LDZ1" s="70"/>
      <c r="LEA1" s="70"/>
      <c r="LEB1" s="70"/>
      <c r="LEC1" s="70"/>
      <c r="LED1" s="70"/>
      <c r="LEE1" s="70"/>
      <c r="LEF1" s="70"/>
      <c r="LEG1" s="70"/>
      <c r="LEH1" s="70"/>
      <c r="LEI1" s="70"/>
      <c r="LEJ1" s="70"/>
      <c r="LEK1" s="70"/>
      <c r="LEL1" s="70"/>
      <c r="LEM1" s="70"/>
      <c r="LEN1" s="70"/>
      <c r="LEO1" s="70"/>
      <c r="LEP1" s="70"/>
      <c r="LEQ1" s="70"/>
      <c r="LER1" s="70"/>
      <c r="LES1" s="70"/>
      <c r="LET1" s="70"/>
      <c r="LEU1" s="70"/>
      <c r="LEV1" s="70"/>
      <c r="LEW1" s="70"/>
      <c r="LEX1" s="70"/>
      <c r="LEY1" s="70"/>
      <c r="LEZ1" s="70"/>
      <c r="LFA1" s="70"/>
      <c r="LFB1" s="70"/>
      <c r="LFC1" s="70"/>
      <c r="LFD1" s="70"/>
      <c r="LFE1" s="70"/>
      <c r="LFF1" s="70"/>
      <c r="LFG1" s="70"/>
      <c r="LFH1" s="70"/>
      <c r="LFI1" s="70"/>
      <c r="LFJ1" s="70"/>
      <c r="LFK1" s="70"/>
      <c r="LFL1" s="70"/>
      <c r="LFM1" s="70"/>
      <c r="LFN1" s="70"/>
      <c r="LFO1" s="70"/>
      <c r="LFP1" s="70"/>
      <c r="LFQ1" s="70"/>
      <c r="LFR1" s="70"/>
      <c r="LFS1" s="70"/>
      <c r="LFT1" s="70"/>
      <c r="LFU1" s="70"/>
      <c r="LFV1" s="70"/>
      <c r="LFW1" s="70"/>
      <c r="LFX1" s="70"/>
      <c r="LFY1" s="70"/>
      <c r="LFZ1" s="70"/>
      <c r="LGA1" s="70"/>
      <c r="LGB1" s="70"/>
      <c r="LGC1" s="70"/>
      <c r="LGD1" s="70"/>
      <c r="LGE1" s="70"/>
      <c r="LGF1" s="70"/>
      <c r="LGG1" s="70"/>
      <c r="LGH1" s="70"/>
      <c r="LGI1" s="70"/>
      <c r="LGJ1" s="70"/>
      <c r="LGK1" s="70"/>
      <c r="LGL1" s="70"/>
      <c r="LGM1" s="70"/>
      <c r="LGN1" s="70"/>
      <c r="LGO1" s="70"/>
      <c r="LGP1" s="70"/>
      <c r="LGQ1" s="70"/>
      <c r="LGR1" s="70"/>
      <c r="LGS1" s="70"/>
      <c r="LGT1" s="70"/>
      <c r="LGU1" s="70"/>
      <c r="LGV1" s="70"/>
      <c r="LGW1" s="70"/>
      <c r="LGX1" s="70"/>
      <c r="LGY1" s="70"/>
      <c r="LGZ1" s="70"/>
      <c r="LHA1" s="70"/>
      <c r="LHB1" s="70"/>
      <c r="LHC1" s="70"/>
      <c r="LHD1" s="70"/>
      <c r="LHE1" s="70"/>
      <c r="LHF1" s="70"/>
      <c r="LHG1" s="70"/>
      <c r="LHH1" s="70"/>
      <c r="LHI1" s="70"/>
      <c r="LHJ1" s="70"/>
      <c r="LHK1" s="70"/>
      <c r="LHL1" s="70"/>
      <c r="LHM1" s="70"/>
      <c r="LHN1" s="70"/>
      <c r="LHO1" s="70"/>
      <c r="LHP1" s="70"/>
      <c r="LHQ1" s="70"/>
      <c r="LHR1" s="70"/>
      <c r="LHS1" s="70"/>
      <c r="LHT1" s="70"/>
      <c r="LHU1" s="70"/>
      <c r="LHV1" s="70"/>
      <c r="LHW1" s="70"/>
      <c r="LHX1" s="70"/>
      <c r="LHY1" s="70"/>
      <c r="LHZ1" s="70"/>
      <c r="LIA1" s="70"/>
      <c r="LIB1" s="70"/>
      <c r="LIC1" s="70"/>
      <c r="LID1" s="70"/>
      <c r="LIE1" s="70"/>
      <c r="LIF1" s="70"/>
      <c r="LIG1" s="70"/>
      <c r="LIH1" s="70"/>
      <c r="LII1" s="70"/>
      <c r="LIJ1" s="70"/>
      <c r="LIK1" s="70"/>
      <c r="LIL1" s="70"/>
      <c r="LIM1" s="70"/>
      <c r="LIN1" s="70"/>
      <c r="LIO1" s="70"/>
      <c r="LIP1" s="70"/>
      <c r="LIQ1" s="70"/>
      <c r="LIR1" s="70"/>
      <c r="LIS1" s="70"/>
      <c r="LIT1" s="70"/>
      <c r="LIU1" s="70"/>
      <c r="LIV1" s="70"/>
      <c r="LIW1" s="70"/>
      <c r="LIX1" s="70"/>
      <c r="LIY1" s="70"/>
      <c r="LIZ1" s="70"/>
      <c r="LJA1" s="70"/>
      <c r="LJB1" s="70"/>
      <c r="LJC1" s="70"/>
      <c r="LJD1" s="70"/>
      <c r="LJE1" s="70"/>
      <c r="LJF1" s="70"/>
      <c r="LJG1" s="70"/>
      <c r="LJH1" s="70"/>
      <c r="LJI1" s="70"/>
      <c r="LJJ1" s="70"/>
      <c r="LJK1" s="70"/>
      <c r="LJL1" s="70"/>
      <c r="LJM1" s="70"/>
      <c r="LJN1" s="70"/>
      <c r="LJO1" s="70"/>
      <c r="LJP1" s="70"/>
      <c r="LJQ1" s="70"/>
      <c r="LJR1" s="70"/>
      <c r="LJS1" s="70"/>
      <c r="LJT1" s="70"/>
      <c r="LJU1" s="70"/>
      <c r="LJV1" s="70"/>
      <c r="LJW1" s="70"/>
      <c r="LJX1" s="70"/>
      <c r="LJY1" s="70"/>
      <c r="LJZ1" s="70"/>
      <c r="LKA1" s="70"/>
      <c r="LKB1" s="70"/>
      <c r="LKC1" s="70"/>
      <c r="LKD1" s="70"/>
      <c r="LKE1" s="70"/>
      <c r="LKF1" s="70"/>
      <c r="LKG1" s="70"/>
      <c r="LKH1" s="70"/>
      <c r="LKI1" s="70"/>
      <c r="LKJ1" s="70"/>
      <c r="LKK1" s="70"/>
      <c r="LKL1" s="70"/>
      <c r="LKM1" s="70"/>
      <c r="LKN1" s="70"/>
      <c r="LKO1" s="70"/>
      <c r="LKP1" s="70"/>
      <c r="LKQ1" s="70"/>
      <c r="LKR1" s="70"/>
      <c r="LKS1" s="70"/>
      <c r="LKT1" s="70"/>
      <c r="LKU1" s="70"/>
      <c r="LKV1" s="70"/>
      <c r="LKW1" s="70"/>
      <c r="LKX1" s="70"/>
      <c r="LKY1" s="70"/>
      <c r="LKZ1" s="70"/>
      <c r="LLA1" s="70"/>
      <c r="LLB1" s="70"/>
      <c r="LLC1" s="70"/>
      <c r="LLD1" s="70"/>
      <c r="LLE1" s="70"/>
      <c r="LLF1" s="70"/>
      <c r="LLG1" s="70"/>
      <c r="LLH1" s="70"/>
      <c r="LLI1" s="70"/>
      <c r="LLJ1" s="70"/>
      <c r="LLK1" s="70"/>
      <c r="LLL1" s="70"/>
      <c r="LLM1" s="70"/>
      <c r="LLN1" s="70"/>
      <c r="LLO1" s="70"/>
      <c r="LLP1" s="70"/>
      <c r="LLQ1" s="70"/>
      <c r="LLR1" s="70"/>
      <c r="LLS1" s="70"/>
      <c r="LLT1" s="70"/>
      <c r="LLU1" s="70"/>
      <c r="LLV1" s="70"/>
      <c r="LLW1" s="70"/>
      <c r="LLX1" s="70"/>
      <c r="LLY1" s="70"/>
      <c r="LLZ1" s="70"/>
      <c r="LMA1" s="70"/>
      <c r="LMB1" s="70"/>
      <c r="LMC1" s="70"/>
      <c r="LMD1" s="70"/>
      <c r="LME1" s="70"/>
      <c r="LMF1" s="70"/>
      <c r="LMG1" s="70"/>
      <c r="LMH1" s="70"/>
      <c r="LMI1" s="70"/>
      <c r="LMJ1" s="70"/>
      <c r="LMK1" s="70"/>
      <c r="LML1" s="70"/>
      <c r="LMM1" s="70"/>
      <c r="LMN1" s="70"/>
      <c r="LMO1" s="70"/>
      <c r="LMP1" s="70"/>
      <c r="LMQ1" s="70"/>
      <c r="LMR1" s="70"/>
      <c r="LMS1" s="70"/>
      <c r="LMT1" s="70"/>
      <c r="LMU1" s="70"/>
      <c r="LMV1" s="70"/>
      <c r="LMW1" s="70"/>
      <c r="LMX1" s="70"/>
      <c r="LMY1" s="70"/>
      <c r="LMZ1" s="70"/>
      <c r="LNA1" s="70"/>
      <c r="LNB1" s="70"/>
      <c r="LNC1" s="70"/>
      <c r="LND1" s="70"/>
      <c r="LNE1" s="70"/>
      <c r="LNF1" s="70"/>
      <c r="LNG1" s="70"/>
      <c r="LNH1" s="70"/>
      <c r="LNI1" s="70"/>
      <c r="LNJ1" s="70"/>
      <c r="LNK1" s="70"/>
      <c r="LNL1" s="70"/>
      <c r="LNM1" s="70"/>
      <c r="LNN1" s="70"/>
      <c r="LNO1" s="70"/>
      <c r="LNP1" s="70"/>
      <c r="LNQ1" s="70"/>
      <c r="LNR1" s="70"/>
      <c r="LNS1" s="70"/>
      <c r="LNT1" s="70"/>
      <c r="LNU1" s="70"/>
      <c r="LNV1" s="70"/>
      <c r="LNW1" s="70"/>
      <c r="LNX1" s="70"/>
      <c r="LNY1" s="70"/>
      <c r="LNZ1" s="70"/>
      <c r="LOA1" s="70"/>
      <c r="LOB1" s="70"/>
      <c r="LOC1" s="70"/>
      <c r="LOD1" s="70"/>
      <c r="LOE1" s="70"/>
      <c r="LOF1" s="70"/>
      <c r="LOG1" s="70"/>
      <c r="LOH1" s="70"/>
      <c r="LOI1" s="70"/>
      <c r="LOJ1" s="70"/>
      <c r="LOK1" s="70"/>
      <c r="LOL1" s="70"/>
      <c r="LOM1" s="70"/>
      <c r="LON1" s="70"/>
      <c r="LOO1" s="70"/>
      <c r="LOP1" s="70"/>
      <c r="LOQ1" s="70"/>
      <c r="LOR1" s="70"/>
      <c r="LOS1" s="70"/>
      <c r="LOT1" s="70"/>
      <c r="LOU1" s="70"/>
      <c r="LOV1" s="70"/>
      <c r="LOW1" s="70"/>
      <c r="LOX1" s="70"/>
      <c r="LOY1" s="70"/>
      <c r="LOZ1" s="70"/>
      <c r="LPA1" s="70"/>
      <c r="LPB1" s="70"/>
      <c r="LPC1" s="70"/>
      <c r="LPD1" s="70"/>
      <c r="LPE1" s="70"/>
      <c r="LPF1" s="70"/>
      <c r="LPG1" s="70"/>
      <c r="LPH1" s="70"/>
      <c r="LPI1" s="70"/>
      <c r="LPJ1" s="70"/>
      <c r="LPK1" s="70"/>
      <c r="LPL1" s="70"/>
      <c r="LPM1" s="70"/>
      <c r="LPN1" s="70"/>
      <c r="LPO1" s="70"/>
      <c r="LPP1" s="70"/>
      <c r="LPQ1" s="70"/>
      <c r="LPR1" s="70"/>
      <c r="LPS1" s="70"/>
      <c r="LPT1" s="70"/>
      <c r="LPU1" s="70"/>
      <c r="LPV1" s="70"/>
      <c r="LPW1" s="70"/>
      <c r="LPX1" s="70"/>
      <c r="LPY1" s="70"/>
      <c r="LPZ1" s="70"/>
      <c r="LQA1" s="70"/>
      <c r="LQB1" s="70"/>
      <c r="LQC1" s="70"/>
      <c r="LQD1" s="70"/>
      <c r="LQE1" s="70"/>
      <c r="LQF1" s="70"/>
      <c r="LQG1" s="70"/>
      <c r="LQH1" s="70"/>
      <c r="LQI1" s="70"/>
      <c r="LQJ1" s="70"/>
      <c r="LQK1" s="70"/>
      <c r="LQL1" s="70"/>
      <c r="LQM1" s="70"/>
      <c r="LQN1" s="70"/>
      <c r="LQO1" s="70"/>
      <c r="LQP1" s="70"/>
      <c r="LQQ1" s="70"/>
      <c r="LQR1" s="70"/>
      <c r="LQS1" s="70"/>
      <c r="LQT1" s="70"/>
      <c r="LQU1" s="70"/>
      <c r="LQV1" s="70"/>
      <c r="LQW1" s="70"/>
      <c r="LQX1" s="70"/>
      <c r="LQY1" s="70"/>
      <c r="LQZ1" s="70"/>
      <c r="LRA1" s="70"/>
      <c r="LRB1" s="70"/>
      <c r="LRC1" s="70"/>
      <c r="LRD1" s="70"/>
      <c r="LRE1" s="70"/>
      <c r="LRF1" s="70"/>
      <c r="LRG1" s="70"/>
      <c r="LRH1" s="70"/>
      <c r="LRI1" s="70"/>
      <c r="LRJ1" s="70"/>
      <c r="LRK1" s="70"/>
      <c r="LRL1" s="70"/>
      <c r="LRM1" s="70"/>
      <c r="LRN1" s="70"/>
      <c r="LRO1" s="70"/>
      <c r="LRP1" s="70"/>
      <c r="LRQ1" s="70"/>
      <c r="LRR1" s="70"/>
      <c r="LRS1" s="70"/>
      <c r="LRT1" s="70"/>
      <c r="LRU1" s="70"/>
      <c r="LRV1" s="70"/>
      <c r="LRW1" s="70"/>
      <c r="LRX1" s="70"/>
      <c r="LRY1" s="70"/>
      <c r="LRZ1" s="70"/>
      <c r="LSA1" s="70"/>
      <c r="LSB1" s="70"/>
      <c r="LSC1" s="70"/>
      <c r="LSD1" s="70"/>
      <c r="LSE1" s="70"/>
      <c r="LSF1" s="70"/>
      <c r="LSG1" s="70"/>
      <c r="LSH1" s="70"/>
      <c r="LSI1" s="70"/>
      <c r="LSJ1" s="70"/>
      <c r="LSK1" s="70"/>
      <c r="LSL1" s="70"/>
      <c r="LSM1" s="70"/>
      <c r="LSN1" s="70"/>
      <c r="LSO1" s="70"/>
      <c r="LSP1" s="70"/>
      <c r="LSQ1" s="70"/>
      <c r="LSR1" s="70"/>
      <c r="LSS1" s="70"/>
      <c r="LST1" s="70"/>
      <c r="LSU1" s="70"/>
      <c r="LSV1" s="70"/>
      <c r="LSW1" s="70"/>
      <c r="LSX1" s="70"/>
      <c r="LSY1" s="70"/>
      <c r="LSZ1" s="70"/>
      <c r="LTA1" s="70"/>
      <c r="LTB1" s="70"/>
      <c r="LTC1" s="70"/>
      <c r="LTD1" s="70"/>
      <c r="LTE1" s="70"/>
      <c r="LTF1" s="70"/>
      <c r="LTG1" s="70"/>
      <c r="LTH1" s="70"/>
      <c r="LTI1" s="70"/>
      <c r="LTJ1" s="70"/>
      <c r="LTK1" s="70"/>
      <c r="LTL1" s="70"/>
      <c r="LTM1" s="70"/>
      <c r="LTN1" s="70"/>
      <c r="LTO1" s="70"/>
      <c r="LTP1" s="70"/>
      <c r="LTQ1" s="70"/>
      <c r="LTR1" s="70"/>
      <c r="LTS1" s="70"/>
      <c r="LTT1" s="70"/>
      <c r="LTU1" s="70"/>
      <c r="LTV1" s="70"/>
      <c r="LTW1" s="70"/>
      <c r="LTX1" s="70"/>
      <c r="LTY1" s="70"/>
      <c r="LTZ1" s="70"/>
      <c r="LUA1" s="70"/>
      <c r="LUB1" s="70"/>
      <c r="LUC1" s="70"/>
      <c r="LUD1" s="70"/>
      <c r="LUE1" s="70"/>
      <c r="LUF1" s="70"/>
      <c r="LUG1" s="70"/>
      <c r="LUH1" s="70"/>
      <c r="LUI1" s="70"/>
      <c r="LUJ1" s="70"/>
      <c r="LUK1" s="70"/>
      <c r="LUL1" s="70"/>
      <c r="LUM1" s="70"/>
      <c r="LUN1" s="70"/>
      <c r="LUO1" s="70"/>
      <c r="LUP1" s="70"/>
      <c r="LUQ1" s="70"/>
      <c r="LUR1" s="70"/>
      <c r="LUS1" s="70"/>
      <c r="LUT1" s="70"/>
      <c r="LUU1" s="70"/>
      <c r="LUV1" s="70"/>
      <c r="LUW1" s="70"/>
      <c r="LUX1" s="70"/>
      <c r="LUY1" s="70"/>
      <c r="LUZ1" s="70"/>
      <c r="LVA1" s="70"/>
      <c r="LVB1" s="70"/>
      <c r="LVC1" s="70"/>
      <c r="LVD1" s="70"/>
      <c r="LVE1" s="70"/>
      <c r="LVF1" s="70"/>
      <c r="LVG1" s="70"/>
      <c r="LVH1" s="70"/>
      <c r="LVI1" s="70"/>
      <c r="LVJ1" s="70"/>
      <c r="LVK1" s="70"/>
      <c r="LVL1" s="70"/>
      <c r="LVM1" s="70"/>
      <c r="LVN1" s="70"/>
      <c r="LVO1" s="70"/>
      <c r="LVP1" s="70"/>
      <c r="LVQ1" s="70"/>
      <c r="LVR1" s="70"/>
      <c r="LVS1" s="70"/>
      <c r="LVT1" s="70"/>
      <c r="LVU1" s="70"/>
      <c r="LVV1" s="70"/>
      <c r="LVW1" s="70"/>
      <c r="LVX1" s="70"/>
      <c r="LVY1" s="70"/>
      <c r="LVZ1" s="70"/>
      <c r="LWA1" s="70"/>
      <c r="LWB1" s="70"/>
      <c r="LWC1" s="70"/>
      <c r="LWD1" s="70"/>
      <c r="LWE1" s="70"/>
      <c r="LWF1" s="70"/>
      <c r="LWG1" s="70"/>
      <c r="LWH1" s="70"/>
      <c r="LWI1" s="70"/>
      <c r="LWJ1" s="70"/>
      <c r="LWK1" s="70"/>
      <c r="LWL1" s="70"/>
      <c r="LWM1" s="70"/>
      <c r="LWN1" s="70"/>
      <c r="LWO1" s="70"/>
      <c r="LWP1" s="70"/>
      <c r="LWQ1" s="70"/>
      <c r="LWR1" s="70"/>
      <c r="LWS1" s="70"/>
      <c r="LWT1" s="70"/>
      <c r="LWU1" s="70"/>
      <c r="LWV1" s="70"/>
      <c r="LWW1" s="70"/>
      <c r="LWX1" s="70"/>
      <c r="LWY1" s="70"/>
      <c r="LWZ1" s="70"/>
      <c r="LXA1" s="70"/>
      <c r="LXB1" s="70"/>
      <c r="LXC1" s="70"/>
      <c r="LXD1" s="70"/>
      <c r="LXE1" s="70"/>
      <c r="LXF1" s="70"/>
      <c r="LXG1" s="70"/>
      <c r="LXH1" s="70"/>
      <c r="LXI1" s="70"/>
      <c r="LXJ1" s="70"/>
      <c r="LXK1" s="70"/>
      <c r="LXL1" s="70"/>
      <c r="LXM1" s="70"/>
      <c r="LXN1" s="70"/>
      <c r="LXO1" s="70"/>
      <c r="LXP1" s="70"/>
      <c r="LXQ1" s="70"/>
      <c r="LXR1" s="70"/>
      <c r="LXS1" s="70"/>
      <c r="LXT1" s="70"/>
      <c r="LXU1" s="70"/>
      <c r="LXV1" s="70"/>
      <c r="LXW1" s="70"/>
      <c r="LXX1" s="70"/>
      <c r="LXY1" s="70"/>
      <c r="LXZ1" s="70"/>
      <c r="LYA1" s="70"/>
      <c r="LYB1" s="70"/>
      <c r="LYC1" s="70"/>
      <c r="LYD1" s="70"/>
      <c r="LYE1" s="70"/>
      <c r="LYF1" s="70"/>
      <c r="LYG1" s="70"/>
      <c r="LYH1" s="70"/>
      <c r="LYI1" s="70"/>
      <c r="LYJ1" s="70"/>
      <c r="LYK1" s="70"/>
      <c r="LYL1" s="70"/>
      <c r="LYM1" s="70"/>
      <c r="LYN1" s="70"/>
      <c r="LYO1" s="70"/>
      <c r="LYP1" s="70"/>
      <c r="LYQ1" s="70"/>
      <c r="LYR1" s="70"/>
      <c r="LYS1" s="70"/>
      <c r="LYT1" s="70"/>
      <c r="LYU1" s="70"/>
      <c r="LYV1" s="70"/>
      <c r="LYW1" s="70"/>
      <c r="LYX1" s="70"/>
      <c r="LYY1" s="70"/>
      <c r="LYZ1" s="70"/>
      <c r="LZA1" s="70"/>
      <c r="LZB1" s="70"/>
      <c r="LZC1" s="70"/>
      <c r="LZD1" s="70"/>
      <c r="LZE1" s="70"/>
      <c r="LZF1" s="70"/>
      <c r="LZG1" s="70"/>
      <c r="LZH1" s="70"/>
      <c r="LZI1" s="70"/>
      <c r="LZJ1" s="70"/>
      <c r="LZK1" s="70"/>
      <c r="LZL1" s="70"/>
      <c r="LZM1" s="70"/>
      <c r="LZN1" s="70"/>
      <c r="LZO1" s="70"/>
      <c r="LZP1" s="70"/>
      <c r="LZQ1" s="70"/>
      <c r="LZR1" s="70"/>
      <c r="LZS1" s="70"/>
      <c r="LZT1" s="70"/>
      <c r="LZU1" s="70"/>
      <c r="LZV1" s="70"/>
      <c r="LZW1" s="70"/>
      <c r="LZX1" s="70"/>
      <c r="LZY1" s="70"/>
      <c r="LZZ1" s="70"/>
      <c r="MAA1" s="70"/>
      <c r="MAB1" s="70"/>
      <c r="MAC1" s="70"/>
      <c r="MAD1" s="70"/>
      <c r="MAE1" s="70"/>
      <c r="MAF1" s="70"/>
      <c r="MAG1" s="70"/>
      <c r="MAH1" s="70"/>
      <c r="MAI1" s="70"/>
      <c r="MAJ1" s="70"/>
      <c r="MAK1" s="70"/>
      <c r="MAL1" s="70"/>
      <c r="MAM1" s="70"/>
      <c r="MAN1" s="70"/>
      <c r="MAO1" s="70"/>
      <c r="MAP1" s="70"/>
      <c r="MAQ1" s="70"/>
      <c r="MAR1" s="70"/>
      <c r="MAS1" s="70"/>
      <c r="MAT1" s="70"/>
      <c r="MAU1" s="70"/>
      <c r="MAV1" s="70"/>
      <c r="MAW1" s="70"/>
      <c r="MAX1" s="70"/>
      <c r="MAY1" s="70"/>
      <c r="MAZ1" s="70"/>
      <c r="MBA1" s="70"/>
      <c r="MBB1" s="70"/>
      <c r="MBC1" s="70"/>
      <c r="MBD1" s="70"/>
      <c r="MBE1" s="70"/>
      <c r="MBF1" s="70"/>
      <c r="MBG1" s="70"/>
      <c r="MBH1" s="70"/>
      <c r="MBI1" s="70"/>
      <c r="MBJ1" s="70"/>
      <c r="MBK1" s="70"/>
      <c r="MBL1" s="70"/>
      <c r="MBM1" s="70"/>
      <c r="MBN1" s="70"/>
      <c r="MBO1" s="70"/>
      <c r="MBP1" s="70"/>
      <c r="MBQ1" s="70"/>
      <c r="MBR1" s="70"/>
      <c r="MBS1" s="70"/>
      <c r="MBT1" s="70"/>
      <c r="MBU1" s="70"/>
      <c r="MBV1" s="70"/>
      <c r="MBW1" s="70"/>
      <c r="MBX1" s="70"/>
      <c r="MBY1" s="70"/>
      <c r="MBZ1" s="70"/>
      <c r="MCA1" s="70"/>
      <c r="MCB1" s="70"/>
      <c r="MCC1" s="70"/>
      <c r="MCD1" s="70"/>
      <c r="MCE1" s="70"/>
      <c r="MCF1" s="70"/>
      <c r="MCG1" s="70"/>
      <c r="MCH1" s="70"/>
      <c r="MCI1" s="70"/>
      <c r="MCJ1" s="70"/>
      <c r="MCK1" s="70"/>
      <c r="MCL1" s="70"/>
      <c r="MCM1" s="70"/>
      <c r="MCN1" s="70"/>
      <c r="MCO1" s="70"/>
      <c r="MCP1" s="70"/>
      <c r="MCQ1" s="70"/>
      <c r="MCR1" s="70"/>
      <c r="MCS1" s="70"/>
      <c r="MCT1" s="70"/>
      <c r="MCU1" s="70"/>
      <c r="MCV1" s="70"/>
      <c r="MCW1" s="70"/>
      <c r="MCX1" s="70"/>
      <c r="MCY1" s="70"/>
      <c r="MCZ1" s="70"/>
      <c r="MDA1" s="70"/>
      <c r="MDB1" s="70"/>
      <c r="MDC1" s="70"/>
      <c r="MDD1" s="70"/>
      <c r="MDE1" s="70"/>
      <c r="MDF1" s="70"/>
      <c r="MDG1" s="70"/>
      <c r="MDH1" s="70"/>
      <c r="MDI1" s="70"/>
      <c r="MDJ1" s="70"/>
      <c r="MDK1" s="70"/>
      <c r="MDL1" s="70"/>
      <c r="MDM1" s="70"/>
      <c r="MDN1" s="70"/>
      <c r="MDO1" s="70"/>
      <c r="MDP1" s="70"/>
      <c r="MDQ1" s="70"/>
      <c r="MDR1" s="70"/>
      <c r="MDS1" s="70"/>
      <c r="MDT1" s="70"/>
      <c r="MDU1" s="70"/>
      <c r="MDV1" s="70"/>
      <c r="MDW1" s="70"/>
      <c r="MDX1" s="70"/>
      <c r="MDY1" s="70"/>
      <c r="MDZ1" s="70"/>
      <c r="MEA1" s="70"/>
      <c r="MEB1" s="70"/>
      <c r="MEC1" s="70"/>
      <c r="MED1" s="70"/>
      <c r="MEE1" s="70"/>
      <c r="MEF1" s="70"/>
      <c r="MEG1" s="70"/>
      <c r="MEH1" s="70"/>
      <c r="MEI1" s="70"/>
      <c r="MEJ1" s="70"/>
      <c r="MEK1" s="70"/>
      <c r="MEL1" s="70"/>
      <c r="MEM1" s="70"/>
      <c r="MEN1" s="70"/>
      <c r="MEO1" s="70"/>
      <c r="MEP1" s="70"/>
      <c r="MEQ1" s="70"/>
      <c r="MER1" s="70"/>
      <c r="MES1" s="70"/>
      <c r="MET1" s="70"/>
      <c r="MEU1" s="70"/>
      <c r="MEV1" s="70"/>
      <c r="MEW1" s="70"/>
      <c r="MEX1" s="70"/>
      <c r="MEY1" s="70"/>
      <c r="MEZ1" s="70"/>
      <c r="MFA1" s="70"/>
      <c r="MFB1" s="70"/>
      <c r="MFC1" s="70"/>
      <c r="MFD1" s="70"/>
      <c r="MFE1" s="70"/>
      <c r="MFF1" s="70"/>
      <c r="MFG1" s="70"/>
      <c r="MFH1" s="70"/>
      <c r="MFI1" s="70"/>
      <c r="MFJ1" s="70"/>
      <c r="MFK1" s="70"/>
      <c r="MFL1" s="70"/>
      <c r="MFM1" s="70"/>
      <c r="MFN1" s="70"/>
      <c r="MFO1" s="70"/>
      <c r="MFP1" s="70"/>
      <c r="MFQ1" s="70"/>
      <c r="MFR1" s="70"/>
      <c r="MFS1" s="70"/>
      <c r="MFT1" s="70"/>
      <c r="MFU1" s="70"/>
      <c r="MFV1" s="70"/>
      <c r="MFW1" s="70"/>
      <c r="MFX1" s="70"/>
      <c r="MFY1" s="70"/>
      <c r="MFZ1" s="70"/>
      <c r="MGA1" s="70"/>
      <c r="MGB1" s="70"/>
      <c r="MGC1" s="70"/>
      <c r="MGD1" s="70"/>
      <c r="MGE1" s="70"/>
      <c r="MGF1" s="70"/>
      <c r="MGG1" s="70"/>
      <c r="MGH1" s="70"/>
      <c r="MGI1" s="70"/>
      <c r="MGJ1" s="70"/>
      <c r="MGK1" s="70"/>
      <c r="MGL1" s="70"/>
      <c r="MGM1" s="70"/>
      <c r="MGN1" s="70"/>
      <c r="MGO1" s="70"/>
      <c r="MGP1" s="70"/>
      <c r="MGQ1" s="70"/>
      <c r="MGR1" s="70"/>
      <c r="MGS1" s="70"/>
      <c r="MGT1" s="70"/>
      <c r="MGU1" s="70"/>
      <c r="MGV1" s="70"/>
      <c r="MGW1" s="70"/>
      <c r="MGX1" s="70"/>
      <c r="MGY1" s="70"/>
      <c r="MGZ1" s="70"/>
      <c r="MHA1" s="70"/>
      <c r="MHB1" s="70"/>
      <c r="MHC1" s="70"/>
      <c r="MHD1" s="70"/>
      <c r="MHE1" s="70"/>
      <c r="MHF1" s="70"/>
      <c r="MHG1" s="70"/>
      <c r="MHH1" s="70"/>
      <c r="MHI1" s="70"/>
      <c r="MHJ1" s="70"/>
      <c r="MHK1" s="70"/>
      <c r="MHL1" s="70"/>
      <c r="MHM1" s="70"/>
      <c r="MHN1" s="70"/>
      <c r="MHO1" s="70"/>
      <c r="MHP1" s="70"/>
      <c r="MHQ1" s="70"/>
      <c r="MHR1" s="70"/>
      <c r="MHS1" s="70"/>
      <c r="MHT1" s="70"/>
      <c r="MHU1" s="70"/>
      <c r="MHV1" s="70"/>
      <c r="MHW1" s="70"/>
      <c r="MHX1" s="70"/>
      <c r="MHY1" s="70"/>
      <c r="MHZ1" s="70"/>
      <c r="MIA1" s="70"/>
      <c r="MIB1" s="70"/>
      <c r="MIC1" s="70"/>
      <c r="MID1" s="70"/>
      <c r="MIE1" s="70"/>
      <c r="MIF1" s="70"/>
      <c r="MIG1" s="70"/>
      <c r="MIH1" s="70"/>
      <c r="MII1" s="70"/>
      <c r="MIJ1" s="70"/>
      <c r="MIK1" s="70"/>
      <c r="MIL1" s="70"/>
      <c r="MIM1" s="70"/>
      <c r="MIN1" s="70"/>
      <c r="MIO1" s="70"/>
      <c r="MIP1" s="70"/>
      <c r="MIQ1" s="70"/>
      <c r="MIR1" s="70"/>
      <c r="MIS1" s="70"/>
      <c r="MIT1" s="70"/>
      <c r="MIU1" s="70"/>
      <c r="MIV1" s="70"/>
      <c r="MIW1" s="70"/>
      <c r="MIX1" s="70"/>
      <c r="MIY1" s="70"/>
      <c r="MIZ1" s="70"/>
      <c r="MJA1" s="70"/>
      <c r="MJB1" s="70"/>
      <c r="MJC1" s="70"/>
      <c r="MJD1" s="70"/>
      <c r="MJE1" s="70"/>
      <c r="MJF1" s="70"/>
      <c r="MJG1" s="70"/>
      <c r="MJH1" s="70"/>
      <c r="MJI1" s="70"/>
      <c r="MJJ1" s="70"/>
      <c r="MJK1" s="70"/>
      <c r="MJL1" s="70"/>
      <c r="MJM1" s="70"/>
      <c r="MJN1" s="70"/>
      <c r="MJO1" s="70"/>
      <c r="MJP1" s="70"/>
      <c r="MJQ1" s="70"/>
      <c r="MJR1" s="70"/>
      <c r="MJS1" s="70"/>
      <c r="MJT1" s="70"/>
      <c r="MJU1" s="70"/>
      <c r="MJV1" s="70"/>
      <c r="MJW1" s="70"/>
      <c r="MJX1" s="70"/>
      <c r="MJY1" s="70"/>
      <c r="MJZ1" s="70"/>
      <c r="MKA1" s="70"/>
      <c r="MKB1" s="70"/>
      <c r="MKC1" s="70"/>
      <c r="MKD1" s="70"/>
      <c r="MKE1" s="70"/>
      <c r="MKF1" s="70"/>
      <c r="MKG1" s="70"/>
      <c r="MKH1" s="70"/>
      <c r="MKI1" s="70"/>
      <c r="MKJ1" s="70"/>
      <c r="MKK1" s="70"/>
      <c r="MKL1" s="70"/>
      <c r="MKM1" s="70"/>
      <c r="MKN1" s="70"/>
      <c r="MKO1" s="70"/>
      <c r="MKP1" s="70"/>
      <c r="MKQ1" s="70"/>
      <c r="MKR1" s="70"/>
      <c r="MKS1" s="70"/>
      <c r="MKT1" s="70"/>
      <c r="MKU1" s="70"/>
      <c r="MKV1" s="70"/>
      <c r="MKW1" s="70"/>
      <c r="MKX1" s="70"/>
      <c r="MKY1" s="70"/>
      <c r="MKZ1" s="70"/>
      <c r="MLA1" s="70"/>
      <c r="MLB1" s="70"/>
      <c r="MLC1" s="70"/>
      <c r="MLD1" s="70"/>
      <c r="MLE1" s="70"/>
      <c r="MLF1" s="70"/>
      <c r="MLG1" s="70"/>
      <c r="MLH1" s="70"/>
      <c r="MLI1" s="70"/>
      <c r="MLJ1" s="70"/>
      <c r="MLK1" s="70"/>
      <c r="MLL1" s="70"/>
      <c r="MLM1" s="70"/>
      <c r="MLN1" s="70"/>
      <c r="MLO1" s="70"/>
      <c r="MLP1" s="70"/>
      <c r="MLQ1" s="70"/>
      <c r="MLR1" s="70"/>
      <c r="MLS1" s="70"/>
      <c r="MLT1" s="70"/>
      <c r="MLU1" s="70"/>
      <c r="MLV1" s="70"/>
      <c r="MLW1" s="70"/>
      <c r="MLX1" s="70"/>
      <c r="MLY1" s="70"/>
      <c r="MLZ1" s="70"/>
      <c r="MMA1" s="70"/>
      <c r="MMB1" s="70"/>
      <c r="MMC1" s="70"/>
      <c r="MMD1" s="70"/>
      <c r="MME1" s="70"/>
      <c r="MMF1" s="70"/>
      <c r="MMG1" s="70"/>
      <c r="MMH1" s="70"/>
      <c r="MMI1" s="70"/>
      <c r="MMJ1" s="70"/>
      <c r="MMK1" s="70"/>
      <c r="MML1" s="70"/>
      <c r="MMM1" s="70"/>
      <c r="MMN1" s="70"/>
      <c r="MMO1" s="70"/>
      <c r="MMP1" s="70"/>
      <c r="MMQ1" s="70"/>
      <c r="MMR1" s="70"/>
      <c r="MMS1" s="70"/>
      <c r="MMT1" s="70"/>
      <c r="MMU1" s="70"/>
      <c r="MMV1" s="70"/>
      <c r="MMW1" s="70"/>
      <c r="MMX1" s="70"/>
      <c r="MMY1" s="70"/>
      <c r="MMZ1" s="70"/>
      <c r="MNA1" s="70"/>
      <c r="MNB1" s="70"/>
      <c r="MNC1" s="70"/>
      <c r="MND1" s="70"/>
      <c r="MNE1" s="70"/>
      <c r="MNF1" s="70"/>
      <c r="MNG1" s="70"/>
      <c r="MNH1" s="70"/>
      <c r="MNI1" s="70"/>
      <c r="MNJ1" s="70"/>
      <c r="MNK1" s="70"/>
      <c r="MNL1" s="70"/>
      <c r="MNM1" s="70"/>
      <c r="MNN1" s="70"/>
      <c r="MNO1" s="70"/>
      <c r="MNP1" s="70"/>
      <c r="MNQ1" s="70"/>
      <c r="MNR1" s="70"/>
      <c r="MNS1" s="70"/>
      <c r="MNT1" s="70"/>
      <c r="MNU1" s="70"/>
      <c r="MNV1" s="70"/>
      <c r="MNW1" s="70"/>
      <c r="MNX1" s="70"/>
      <c r="MNY1" s="70"/>
      <c r="MNZ1" s="70"/>
      <c r="MOA1" s="70"/>
      <c r="MOB1" s="70"/>
      <c r="MOC1" s="70"/>
      <c r="MOD1" s="70"/>
      <c r="MOE1" s="70"/>
      <c r="MOF1" s="70"/>
      <c r="MOG1" s="70"/>
      <c r="MOH1" s="70"/>
      <c r="MOI1" s="70"/>
      <c r="MOJ1" s="70"/>
      <c r="MOK1" s="70"/>
      <c r="MOL1" s="70"/>
      <c r="MOM1" s="70"/>
      <c r="MON1" s="70"/>
      <c r="MOO1" s="70"/>
      <c r="MOP1" s="70"/>
      <c r="MOQ1" s="70"/>
      <c r="MOR1" s="70"/>
      <c r="MOS1" s="70"/>
      <c r="MOT1" s="70"/>
      <c r="MOU1" s="70"/>
      <c r="MOV1" s="70"/>
      <c r="MOW1" s="70"/>
      <c r="MOX1" s="70"/>
      <c r="MOY1" s="70"/>
      <c r="MOZ1" s="70"/>
      <c r="MPA1" s="70"/>
      <c r="MPB1" s="70"/>
      <c r="MPC1" s="70"/>
      <c r="MPD1" s="70"/>
      <c r="MPE1" s="70"/>
      <c r="MPF1" s="70"/>
      <c r="MPG1" s="70"/>
      <c r="MPH1" s="70"/>
      <c r="MPI1" s="70"/>
      <c r="MPJ1" s="70"/>
      <c r="MPK1" s="70"/>
      <c r="MPL1" s="70"/>
      <c r="MPM1" s="70"/>
      <c r="MPN1" s="70"/>
      <c r="MPO1" s="70"/>
      <c r="MPP1" s="70"/>
      <c r="MPQ1" s="70"/>
      <c r="MPR1" s="70"/>
      <c r="MPS1" s="70"/>
      <c r="MPT1" s="70"/>
      <c r="MPU1" s="70"/>
      <c r="MPV1" s="70"/>
      <c r="MPW1" s="70"/>
      <c r="MPX1" s="70"/>
      <c r="MPY1" s="70"/>
      <c r="MPZ1" s="70"/>
      <c r="MQA1" s="70"/>
      <c r="MQB1" s="70"/>
      <c r="MQC1" s="70"/>
      <c r="MQD1" s="70"/>
      <c r="MQE1" s="70"/>
      <c r="MQF1" s="70"/>
      <c r="MQG1" s="70"/>
      <c r="MQH1" s="70"/>
      <c r="MQI1" s="70"/>
      <c r="MQJ1" s="70"/>
      <c r="MQK1" s="70"/>
      <c r="MQL1" s="70"/>
      <c r="MQM1" s="70"/>
      <c r="MQN1" s="70"/>
      <c r="MQO1" s="70"/>
      <c r="MQP1" s="70"/>
      <c r="MQQ1" s="70"/>
      <c r="MQR1" s="70"/>
      <c r="MQS1" s="70"/>
      <c r="MQT1" s="70"/>
      <c r="MQU1" s="70"/>
      <c r="MQV1" s="70"/>
      <c r="MQW1" s="70"/>
      <c r="MQX1" s="70"/>
      <c r="MQY1" s="70"/>
      <c r="MQZ1" s="70"/>
      <c r="MRA1" s="70"/>
      <c r="MRB1" s="70"/>
      <c r="MRC1" s="70"/>
      <c r="MRD1" s="70"/>
      <c r="MRE1" s="70"/>
      <c r="MRF1" s="70"/>
      <c r="MRG1" s="70"/>
      <c r="MRH1" s="70"/>
      <c r="MRI1" s="70"/>
      <c r="MRJ1" s="70"/>
      <c r="MRK1" s="70"/>
      <c r="MRL1" s="70"/>
      <c r="MRM1" s="70"/>
      <c r="MRN1" s="70"/>
      <c r="MRO1" s="70"/>
      <c r="MRP1" s="70"/>
      <c r="MRQ1" s="70"/>
      <c r="MRR1" s="70"/>
      <c r="MRS1" s="70"/>
      <c r="MRT1" s="70"/>
      <c r="MRU1" s="70"/>
      <c r="MRV1" s="70"/>
      <c r="MRW1" s="70"/>
      <c r="MRX1" s="70"/>
      <c r="MRY1" s="70"/>
      <c r="MRZ1" s="70"/>
      <c r="MSA1" s="70"/>
      <c r="MSB1" s="70"/>
      <c r="MSC1" s="70"/>
      <c r="MSD1" s="70"/>
      <c r="MSE1" s="70"/>
      <c r="MSF1" s="70"/>
      <c r="MSG1" s="70"/>
      <c r="MSH1" s="70"/>
      <c r="MSI1" s="70"/>
      <c r="MSJ1" s="70"/>
      <c r="MSK1" s="70"/>
      <c r="MSL1" s="70"/>
      <c r="MSM1" s="70"/>
      <c r="MSN1" s="70"/>
      <c r="MSO1" s="70"/>
      <c r="MSP1" s="70"/>
      <c r="MSQ1" s="70"/>
      <c r="MSR1" s="70"/>
      <c r="MSS1" s="70"/>
      <c r="MST1" s="70"/>
      <c r="MSU1" s="70"/>
      <c r="MSV1" s="70"/>
      <c r="MSW1" s="70"/>
      <c r="MSX1" s="70"/>
      <c r="MSY1" s="70"/>
      <c r="MSZ1" s="70"/>
      <c r="MTA1" s="70"/>
      <c r="MTB1" s="70"/>
      <c r="MTC1" s="70"/>
      <c r="MTD1" s="70"/>
      <c r="MTE1" s="70"/>
      <c r="MTF1" s="70"/>
      <c r="MTG1" s="70"/>
      <c r="MTH1" s="70"/>
      <c r="MTI1" s="70"/>
      <c r="MTJ1" s="70"/>
      <c r="MTK1" s="70"/>
      <c r="MTL1" s="70"/>
      <c r="MTM1" s="70"/>
      <c r="MTN1" s="70"/>
      <c r="MTO1" s="70"/>
      <c r="MTP1" s="70"/>
      <c r="MTQ1" s="70"/>
      <c r="MTR1" s="70"/>
      <c r="MTS1" s="70"/>
      <c r="MTT1" s="70"/>
      <c r="MTU1" s="70"/>
      <c r="MTV1" s="70"/>
      <c r="MTW1" s="70"/>
      <c r="MTX1" s="70"/>
      <c r="MTY1" s="70"/>
      <c r="MTZ1" s="70"/>
      <c r="MUA1" s="70"/>
      <c r="MUB1" s="70"/>
      <c r="MUC1" s="70"/>
      <c r="MUD1" s="70"/>
      <c r="MUE1" s="70"/>
      <c r="MUF1" s="70"/>
      <c r="MUG1" s="70"/>
      <c r="MUH1" s="70"/>
      <c r="MUI1" s="70"/>
      <c r="MUJ1" s="70"/>
      <c r="MUK1" s="70"/>
      <c r="MUL1" s="70"/>
      <c r="MUM1" s="70"/>
      <c r="MUN1" s="70"/>
      <c r="MUO1" s="70"/>
      <c r="MUP1" s="70"/>
      <c r="MUQ1" s="70"/>
      <c r="MUR1" s="70"/>
      <c r="MUS1" s="70"/>
      <c r="MUT1" s="70"/>
      <c r="MUU1" s="70"/>
      <c r="MUV1" s="70"/>
      <c r="MUW1" s="70"/>
      <c r="MUX1" s="70"/>
      <c r="MUY1" s="70"/>
      <c r="MUZ1" s="70"/>
      <c r="MVA1" s="70"/>
      <c r="MVB1" s="70"/>
      <c r="MVC1" s="70"/>
      <c r="MVD1" s="70"/>
      <c r="MVE1" s="70"/>
      <c r="MVF1" s="70"/>
      <c r="MVG1" s="70"/>
      <c r="MVH1" s="70"/>
      <c r="MVI1" s="70"/>
      <c r="MVJ1" s="70"/>
      <c r="MVK1" s="70"/>
      <c r="MVL1" s="70"/>
      <c r="MVM1" s="70"/>
      <c r="MVN1" s="70"/>
      <c r="MVO1" s="70"/>
      <c r="MVP1" s="70"/>
      <c r="MVQ1" s="70"/>
      <c r="MVR1" s="70"/>
      <c r="MVS1" s="70"/>
      <c r="MVT1" s="70"/>
      <c r="MVU1" s="70"/>
      <c r="MVV1" s="70"/>
      <c r="MVW1" s="70"/>
      <c r="MVX1" s="70"/>
      <c r="MVY1" s="70"/>
      <c r="MVZ1" s="70"/>
      <c r="MWA1" s="70"/>
      <c r="MWB1" s="70"/>
      <c r="MWC1" s="70"/>
      <c r="MWD1" s="70"/>
      <c r="MWE1" s="70"/>
      <c r="MWF1" s="70"/>
      <c r="MWG1" s="70"/>
      <c r="MWH1" s="70"/>
      <c r="MWI1" s="70"/>
      <c r="MWJ1" s="70"/>
      <c r="MWK1" s="70"/>
      <c r="MWL1" s="70"/>
      <c r="MWM1" s="70"/>
      <c r="MWN1" s="70"/>
      <c r="MWO1" s="70"/>
      <c r="MWP1" s="70"/>
      <c r="MWQ1" s="70"/>
      <c r="MWR1" s="70"/>
      <c r="MWS1" s="70"/>
      <c r="MWT1" s="70"/>
      <c r="MWU1" s="70"/>
      <c r="MWV1" s="70"/>
      <c r="MWW1" s="70"/>
      <c r="MWX1" s="70"/>
      <c r="MWY1" s="70"/>
      <c r="MWZ1" s="70"/>
      <c r="MXA1" s="70"/>
      <c r="MXB1" s="70"/>
      <c r="MXC1" s="70"/>
      <c r="MXD1" s="70"/>
      <c r="MXE1" s="70"/>
      <c r="MXF1" s="70"/>
      <c r="MXG1" s="70"/>
      <c r="MXH1" s="70"/>
      <c r="MXI1" s="70"/>
      <c r="MXJ1" s="70"/>
      <c r="MXK1" s="70"/>
      <c r="MXL1" s="70"/>
      <c r="MXM1" s="70"/>
      <c r="MXN1" s="70"/>
      <c r="MXO1" s="70"/>
      <c r="MXP1" s="70"/>
      <c r="MXQ1" s="70"/>
      <c r="MXR1" s="70"/>
      <c r="MXS1" s="70"/>
      <c r="MXT1" s="70"/>
      <c r="MXU1" s="70"/>
      <c r="MXV1" s="70"/>
      <c r="MXW1" s="70"/>
      <c r="MXX1" s="70"/>
      <c r="MXY1" s="70"/>
      <c r="MXZ1" s="70"/>
      <c r="MYA1" s="70"/>
      <c r="MYB1" s="70"/>
      <c r="MYC1" s="70"/>
      <c r="MYD1" s="70"/>
      <c r="MYE1" s="70"/>
      <c r="MYF1" s="70"/>
      <c r="MYG1" s="70"/>
      <c r="MYH1" s="70"/>
      <c r="MYI1" s="70"/>
      <c r="MYJ1" s="70"/>
      <c r="MYK1" s="70"/>
      <c r="MYL1" s="70"/>
      <c r="MYM1" s="70"/>
      <c r="MYN1" s="70"/>
      <c r="MYO1" s="70"/>
      <c r="MYP1" s="70"/>
      <c r="MYQ1" s="70"/>
      <c r="MYR1" s="70"/>
      <c r="MYS1" s="70"/>
      <c r="MYT1" s="70"/>
      <c r="MYU1" s="70"/>
      <c r="MYV1" s="70"/>
      <c r="MYW1" s="70"/>
      <c r="MYX1" s="70"/>
      <c r="MYY1" s="70"/>
      <c r="MYZ1" s="70"/>
      <c r="MZA1" s="70"/>
      <c r="MZB1" s="70"/>
      <c r="MZC1" s="70"/>
      <c r="MZD1" s="70"/>
      <c r="MZE1" s="70"/>
      <c r="MZF1" s="70"/>
      <c r="MZG1" s="70"/>
      <c r="MZH1" s="70"/>
      <c r="MZI1" s="70"/>
      <c r="MZJ1" s="70"/>
      <c r="MZK1" s="70"/>
      <c r="MZL1" s="70"/>
      <c r="MZM1" s="70"/>
      <c r="MZN1" s="70"/>
      <c r="MZO1" s="70"/>
      <c r="MZP1" s="70"/>
      <c r="MZQ1" s="70"/>
      <c r="MZR1" s="70"/>
      <c r="MZS1" s="70"/>
      <c r="MZT1" s="70"/>
      <c r="MZU1" s="70"/>
      <c r="MZV1" s="70"/>
      <c r="MZW1" s="70"/>
      <c r="MZX1" s="70"/>
      <c r="MZY1" s="70"/>
      <c r="MZZ1" s="70"/>
      <c r="NAA1" s="70"/>
      <c r="NAB1" s="70"/>
      <c r="NAC1" s="70"/>
      <c r="NAD1" s="70"/>
      <c r="NAE1" s="70"/>
      <c r="NAF1" s="70"/>
      <c r="NAG1" s="70"/>
      <c r="NAH1" s="70"/>
      <c r="NAI1" s="70"/>
      <c r="NAJ1" s="70"/>
      <c r="NAK1" s="70"/>
      <c r="NAL1" s="70"/>
      <c r="NAM1" s="70"/>
      <c r="NAN1" s="70"/>
      <c r="NAO1" s="70"/>
      <c r="NAP1" s="70"/>
      <c r="NAQ1" s="70"/>
      <c r="NAR1" s="70"/>
      <c r="NAS1" s="70"/>
      <c r="NAT1" s="70"/>
      <c r="NAU1" s="70"/>
      <c r="NAV1" s="70"/>
      <c r="NAW1" s="70"/>
      <c r="NAX1" s="70"/>
      <c r="NAY1" s="70"/>
      <c r="NAZ1" s="70"/>
      <c r="NBA1" s="70"/>
      <c r="NBB1" s="70"/>
      <c r="NBC1" s="70"/>
      <c r="NBD1" s="70"/>
      <c r="NBE1" s="70"/>
      <c r="NBF1" s="70"/>
      <c r="NBG1" s="70"/>
      <c r="NBH1" s="70"/>
      <c r="NBI1" s="70"/>
      <c r="NBJ1" s="70"/>
      <c r="NBK1" s="70"/>
      <c r="NBL1" s="70"/>
      <c r="NBM1" s="70"/>
      <c r="NBN1" s="70"/>
      <c r="NBO1" s="70"/>
      <c r="NBP1" s="70"/>
      <c r="NBQ1" s="70"/>
      <c r="NBR1" s="70"/>
      <c r="NBS1" s="70"/>
      <c r="NBT1" s="70"/>
      <c r="NBU1" s="70"/>
      <c r="NBV1" s="70"/>
      <c r="NBW1" s="70"/>
      <c r="NBX1" s="70"/>
      <c r="NBY1" s="70"/>
      <c r="NBZ1" s="70"/>
      <c r="NCA1" s="70"/>
      <c r="NCB1" s="70"/>
      <c r="NCC1" s="70"/>
      <c r="NCD1" s="70"/>
      <c r="NCE1" s="70"/>
      <c r="NCF1" s="70"/>
      <c r="NCG1" s="70"/>
      <c r="NCH1" s="70"/>
      <c r="NCI1" s="70"/>
      <c r="NCJ1" s="70"/>
      <c r="NCK1" s="70"/>
      <c r="NCL1" s="70"/>
      <c r="NCM1" s="70"/>
      <c r="NCN1" s="70"/>
      <c r="NCO1" s="70"/>
      <c r="NCP1" s="70"/>
      <c r="NCQ1" s="70"/>
      <c r="NCR1" s="70"/>
      <c r="NCS1" s="70"/>
      <c r="NCT1" s="70"/>
      <c r="NCU1" s="70"/>
      <c r="NCV1" s="70"/>
      <c r="NCW1" s="70"/>
      <c r="NCX1" s="70"/>
      <c r="NCY1" s="70"/>
      <c r="NCZ1" s="70"/>
      <c r="NDA1" s="70"/>
      <c r="NDB1" s="70"/>
      <c r="NDC1" s="70"/>
      <c r="NDD1" s="70"/>
      <c r="NDE1" s="70"/>
      <c r="NDF1" s="70"/>
      <c r="NDG1" s="70"/>
      <c r="NDH1" s="70"/>
      <c r="NDI1" s="70"/>
      <c r="NDJ1" s="70"/>
      <c r="NDK1" s="70"/>
      <c r="NDL1" s="70"/>
      <c r="NDM1" s="70"/>
      <c r="NDN1" s="70"/>
      <c r="NDO1" s="70"/>
      <c r="NDP1" s="70"/>
      <c r="NDQ1" s="70"/>
      <c r="NDR1" s="70"/>
      <c r="NDS1" s="70"/>
      <c r="NDT1" s="70"/>
      <c r="NDU1" s="70"/>
      <c r="NDV1" s="70"/>
      <c r="NDW1" s="70"/>
      <c r="NDX1" s="70"/>
      <c r="NDY1" s="70"/>
      <c r="NDZ1" s="70"/>
      <c r="NEA1" s="70"/>
      <c r="NEB1" s="70"/>
      <c r="NEC1" s="70"/>
      <c r="NED1" s="70"/>
      <c r="NEE1" s="70"/>
      <c r="NEF1" s="70"/>
      <c r="NEG1" s="70"/>
      <c r="NEH1" s="70"/>
      <c r="NEI1" s="70"/>
      <c r="NEJ1" s="70"/>
      <c r="NEK1" s="70"/>
      <c r="NEL1" s="70"/>
      <c r="NEM1" s="70"/>
      <c r="NEN1" s="70"/>
      <c r="NEO1" s="70"/>
      <c r="NEP1" s="70"/>
      <c r="NEQ1" s="70"/>
      <c r="NER1" s="70"/>
      <c r="NES1" s="70"/>
      <c r="NET1" s="70"/>
      <c r="NEU1" s="70"/>
      <c r="NEV1" s="70"/>
      <c r="NEW1" s="70"/>
      <c r="NEX1" s="70"/>
      <c r="NEY1" s="70"/>
      <c r="NEZ1" s="70"/>
      <c r="NFA1" s="70"/>
      <c r="NFB1" s="70"/>
      <c r="NFC1" s="70"/>
      <c r="NFD1" s="70"/>
      <c r="NFE1" s="70"/>
      <c r="NFF1" s="70"/>
      <c r="NFG1" s="70"/>
      <c r="NFH1" s="70"/>
      <c r="NFI1" s="70"/>
      <c r="NFJ1" s="70"/>
      <c r="NFK1" s="70"/>
      <c r="NFL1" s="70"/>
      <c r="NFM1" s="70"/>
      <c r="NFN1" s="70"/>
      <c r="NFO1" s="70"/>
      <c r="NFP1" s="70"/>
      <c r="NFQ1" s="70"/>
      <c r="NFR1" s="70"/>
      <c r="NFS1" s="70"/>
      <c r="NFT1" s="70"/>
      <c r="NFU1" s="70"/>
      <c r="NFV1" s="70"/>
      <c r="NFW1" s="70"/>
      <c r="NFX1" s="70"/>
      <c r="NFY1" s="70"/>
      <c r="NFZ1" s="70"/>
      <c r="NGA1" s="70"/>
      <c r="NGB1" s="70"/>
      <c r="NGC1" s="70"/>
      <c r="NGD1" s="70"/>
      <c r="NGE1" s="70"/>
      <c r="NGF1" s="70"/>
      <c r="NGG1" s="70"/>
      <c r="NGH1" s="70"/>
      <c r="NGI1" s="70"/>
      <c r="NGJ1" s="70"/>
      <c r="NGK1" s="70"/>
      <c r="NGL1" s="70"/>
      <c r="NGM1" s="70"/>
      <c r="NGN1" s="70"/>
      <c r="NGO1" s="70"/>
      <c r="NGP1" s="70"/>
      <c r="NGQ1" s="70"/>
      <c r="NGR1" s="70"/>
      <c r="NGS1" s="70"/>
      <c r="NGT1" s="70"/>
      <c r="NGU1" s="70"/>
      <c r="NGV1" s="70"/>
      <c r="NGW1" s="70"/>
      <c r="NGX1" s="70"/>
      <c r="NGY1" s="70"/>
      <c r="NGZ1" s="70"/>
      <c r="NHA1" s="70"/>
      <c r="NHB1" s="70"/>
      <c r="NHC1" s="70"/>
      <c r="NHD1" s="70"/>
      <c r="NHE1" s="70"/>
      <c r="NHF1" s="70"/>
      <c r="NHG1" s="70"/>
      <c r="NHH1" s="70"/>
      <c r="NHI1" s="70"/>
      <c r="NHJ1" s="70"/>
      <c r="NHK1" s="70"/>
      <c r="NHL1" s="70"/>
      <c r="NHM1" s="70"/>
      <c r="NHN1" s="70"/>
      <c r="NHO1" s="70"/>
      <c r="NHP1" s="70"/>
      <c r="NHQ1" s="70"/>
      <c r="NHR1" s="70"/>
      <c r="NHS1" s="70"/>
      <c r="NHT1" s="70"/>
      <c r="NHU1" s="70"/>
      <c r="NHV1" s="70"/>
      <c r="NHW1" s="70"/>
      <c r="NHX1" s="70"/>
      <c r="NHY1" s="70"/>
      <c r="NHZ1" s="70"/>
      <c r="NIA1" s="70"/>
      <c r="NIB1" s="70"/>
      <c r="NIC1" s="70"/>
      <c r="NID1" s="70"/>
      <c r="NIE1" s="70"/>
      <c r="NIF1" s="70"/>
      <c r="NIG1" s="70"/>
      <c r="NIH1" s="70"/>
      <c r="NII1" s="70"/>
      <c r="NIJ1" s="70"/>
      <c r="NIK1" s="70"/>
      <c r="NIL1" s="70"/>
      <c r="NIM1" s="70"/>
      <c r="NIN1" s="70"/>
      <c r="NIO1" s="70"/>
      <c r="NIP1" s="70"/>
      <c r="NIQ1" s="70"/>
      <c r="NIR1" s="70"/>
      <c r="NIS1" s="70"/>
      <c r="NIT1" s="70"/>
      <c r="NIU1" s="70"/>
      <c r="NIV1" s="70"/>
      <c r="NIW1" s="70"/>
      <c r="NIX1" s="70"/>
      <c r="NIY1" s="70"/>
      <c r="NIZ1" s="70"/>
      <c r="NJA1" s="70"/>
      <c r="NJB1" s="70"/>
      <c r="NJC1" s="70"/>
      <c r="NJD1" s="70"/>
      <c r="NJE1" s="70"/>
      <c r="NJF1" s="70"/>
      <c r="NJG1" s="70"/>
      <c r="NJH1" s="70"/>
      <c r="NJI1" s="70"/>
      <c r="NJJ1" s="70"/>
      <c r="NJK1" s="70"/>
      <c r="NJL1" s="70"/>
      <c r="NJM1" s="70"/>
      <c r="NJN1" s="70"/>
      <c r="NJO1" s="70"/>
      <c r="NJP1" s="70"/>
      <c r="NJQ1" s="70"/>
      <c r="NJR1" s="70"/>
      <c r="NJS1" s="70"/>
      <c r="NJT1" s="70"/>
      <c r="NJU1" s="70"/>
      <c r="NJV1" s="70"/>
      <c r="NJW1" s="70"/>
      <c r="NJX1" s="70"/>
      <c r="NJY1" s="70"/>
      <c r="NJZ1" s="70"/>
      <c r="NKA1" s="70"/>
      <c r="NKB1" s="70"/>
      <c r="NKC1" s="70"/>
      <c r="NKD1" s="70"/>
      <c r="NKE1" s="70"/>
      <c r="NKF1" s="70"/>
      <c r="NKG1" s="70"/>
      <c r="NKH1" s="70"/>
      <c r="NKI1" s="70"/>
      <c r="NKJ1" s="70"/>
      <c r="NKK1" s="70"/>
      <c r="NKL1" s="70"/>
      <c r="NKM1" s="70"/>
      <c r="NKN1" s="70"/>
      <c r="NKO1" s="70"/>
      <c r="NKP1" s="70"/>
      <c r="NKQ1" s="70"/>
      <c r="NKR1" s="70"/>
      <c r="NKS1" s="70"/>
      <c r="NKT1" s="70"/>
      <c r="NKU1" s="70"/>
      <c r="NKV1" s="70"/>
      <c r="NKW1" s="70"/>
      <c r="NKX1" s="70"/>
      <c r="NKY1" s="70"/>
      <c r="NKZ1" s="70"/>
      <c r="NLA1" s="70"/>
      <c r="NLB1" s="70"/>
      <c r="NLC1" s="70"/>
      <c r="NLD1" s="70"/>
      <c r="NLE1" s="70"/>
      <c r="NLF1" s="70"/>
      <c r="NLG1" s="70"/>
      <c r="NLH1" s="70"/>
      <c r="NLI1" s="70"/>
      <c r="NLJ1" s="70"/>
      <c r="NLK1" s="70"/>
      <c r="NLL1" s="70"/>
      <c r="NLM1" s="70"/>
      <c r="NLN1" s="70"/>
      <c r="NLO1" s="70"/>
      <c r="NLP1" s="70"/>
      <c r="NLQ1" s="70"/>
      <c r="NLR1" s="70"/>
      <c r="NLS1" s="70"/>
      <c r="NLT1" s="70"/>
      <c r="NLU1" s="70"/>
      <c r="NLV1" s="70"/>
      <c r="NLW1" s="70"/>
      <c r="NLX1" s="70"/>
      <c r="NLY1" s="70"/>
      <c r="NLZ1" s="70"/>
      <c r="NMA1" s="70"/>
      <c r="NMB1" s="70"/>
      <c r="NMC1" s="70"/>
      <c r="NMD1" s="70"/>
      <c r="NME1" s="70"/>
      <c r="NMF1" s="70"/>
      <c r="NMG1" s="70"/>
      <c r="NMH1" s="70"/>
      <c r="NMI1" s="70"/>
      <c r="NMJ1" s="70"/>
      <c r="NMK1" s="70"/>
      <c r="NML1" s="70"/>
      <c r="NMM1" s="70"/>
      <c r="NMN1" s="70"/>
      <c r="NMO1" s="70"/>
      <c r="NMP1" s="70"/>
      <c r="NMQ1" s="70"/>
      <c r="NMR1" s="70"/>
      <c r="NMS1" s="70"/>
      <c r="NMT1" s="70"/>
      <c r="NMU1" s="70"/>
      <c r="NMV1" s="70"/>
      <c r="NMW1" s="70"/>
      <c r="NMX1" s="70"/>
      <c r="NMY1" s="70"/>
      <c r="NMZ1" s="70"/>
      <c r="NNA1" s="70"/>
      <c r="NNB1" s="70"/>
      <c r="NNC1" s="70"/>
      <c r="NND1" s="70"/>
      <c r="NNE1" s="70"/>
      <c r="NNF1" s="70"/>
      <c r="NNG1" s="70"/>
      <c r="NNH1" s="70"/>
      <c r="NNI1" s="70"/>
      <c r="NNJ1" s="70"/>
      <c r="NNK1" s="70"/>
      <c r="NNL1" s="70"/>
      <c r="NNM1" s="70"/>
      <c r="NNN1" s="70"/>
      <c r="NNO1" s="70"/>
      <c r="NNP1" s="70"/>
      <c r="NNQ1" s="70"/>
      <c r="NNR1" s="70"/>
      <c r="NNS1" s="70"/>
      <c r="NNT1" s="70"/>
      <c r="NNU1" s="70"/>
      <c r="NNV1" s="70"/>
      <c r="NNW1" s="70"/>
      <c r="NNX1" s="70"/>
      <c r="NNY1" s="70"/>
      <c r="NNZ1" s="70"/>
      <c r="NOA1" s="70"/>
      <c r="NOB1" s="70"/>
      <c r="NOC1" s="70"/>
      <c r="NOD1" s="70"/>
      <c r="NOE1" s="70"/>
      <c r="NOF1" s="70"/>
      <c r="NOG1" s="70"/>
      <c r="NOH1" s="70"/>
      <c r="NOI1" s="70"/>
      <c r="NOJ1" s="70"/>
      <c r="NOK1" s="70"/>
      <c r="NOL1" s="70"/>
      <c r="NOM1" s="70"/>
      <c r="NON1" s="70"/>
      <c r="NOO1" s="70"/>
      <c r="NOP1" s="70"/>
      <c r="NOQ1" s="70"/>
      <c r="NOR1" s="70"/>
      <c r="NOS1" s="70"/>
      <c r="NOT1" s="70"/>
      <c r="NOU1" s="70"/>
      <c r="NOV1" s="70"/>
      <c r="NOW1" s="70"/>
      <c r="NOX1" s="70"/>
      <c r="NOY1" s="70"/>
      <c r="NOZ1" s="70"/>
      <c r="NPA1" s="70"/>
      <c r="NPB1" s="70"/>
      <c r="NPC1" s="70"/>
      <c r="NPD1" s="70"/>
      <c r="NPE1" s="70"/>
      <c r="NPF1" s="70"/>
      <c r="NPG1" s="70"/>
      <c r="NPH1" s="70"/>
      <c r="NPI1" s="70"/>
      <c r="NPJ1" s="70"/>
      <c r="NPK1" s="70"/>
      <c r="NPL1" s="70"/>
      <c r="NPM1" s="70"/>
      <c r="NPN1" s="70"/>
      <c r="NPO1" s="70"/>
      <c r="NPP1" s="70"/>
      <c r="NPQ1" s="70"/>
      <c r="NPR1" s="70"/>
      <c r="NPS1" s="70"/>
      <c r="NPT1" s="70"/>
      <c r="NPU1" s="70"/>
      <c r="NPV1" s="70"/>
      <c r="NPW1" s="70"/>
      <c r="NPX1" s="70"/>
      <c r="NPY1" s="70"/>
      <c r="NPZ1" s="70"/>
      <c r="NQA1" s="70"/>
      <c r="NQB1" s="70"/>
      <c r="NQC1" s="70"/>
      <c r="NQD1" s="70"/>
      <c r="NQE1" s="70"/>
      <c r="NQF1" s="70"/>
      <c r="NQG1" s="70"/>
      <c r="NQH1" s="70"/>
      <c r="NQI1" s="70"/>
      <c r="NQJ1" s="70"/>
      <c r="NQK1" s="70"/>
      <c r="NQL1" s="70"/>
      <c r="NQM1" s="70"/>
      <c r="NQN1" s="70"/>
      <c r="NQO1" s="70"/>
      <c r="NQP1" s="70"/>
      <c r="NQQ1" s="70"/>
      <c r="NQR1" s="70"/>
      <c r="NQS1" s="70"/>
      <c r="NQT1" s="70"/>
      <c r="NQU1" s="70"/>
      <c r="NQV1" s="70"/>
      <c r="NQW1" s="70"/>
      <c r="NQX1" s="70"/>
      <c r="NQY1" s="70"/>
      <c r="NQZ1" s="70"/>
      <c r="NRA1" s="70"/>
      <c r="NRB1" s="70"/>
      <c r="NRC1" s="70"/>
      <c r="NRD1" s="70"/>
      <c r="NRE1" s="70"/>
      <c r="NRF1" s="70"/>
      <c r="NRG1" s="70"/>
      <c r="NRH1" s="70"/>
      <c r="NRI1" s="70"/>
      <c r="NRJ1" s="70"/>
      <c r="NRK1" s="70"/>
      <c r="NRL1" s="70"/>
      <c r="NRM1" s="70"/>
      <c r="NRN1" s="70"/>
      <c r="NRO1" s="70"/>
      <c r="NRP1" s="70"/>
      <c r="NRQ1" s="70"/>
      <c r="NRR1" s="70"/>
      <c r="NRS1" s="70"/>
      <c r="NRT1" s="70"/>
      <c r="NRU1" s="70"/>
      <c r="NRV1" s="70"/>
      <c r="NRW1" s="70"/>
      <c r="NRX1" s="70"/>
      <c r="NRY1" s="70"/>
      <c r="NRZ1" s="70"/>
      <c r="NSA1" s="70"/>
      <c r="NSB1" s="70"/>
      <c r="NSC1" s="70"/>
      <c r="NSD1" s="70"/>
      <c r="NSE1" s="70"/>
      <c r="NSF1" s="70"/>
      <c r="NSG1" s="70"/>
      <c r="NSH1" s="70"/>
      <c r="NSI1" s="70"/>
      <c r="NSJ1" s="70"/>
      <c r="NSK1" s="70"/>
      <c r="NSL1" s="70"/>
      <c r="NSM1" s="70"/>
      <c r="NSN1" s="70"/>
      <c r="NSO1" s="70"/>
      <c r="NSP1" s="70"/>
      <c r="NSQ1" s="70"/>
      <c r="NSR1" s="70"/>
      <c r="NSS1" s="70"/>
      <c r="NST1" s="70"/>
      <c r="NSU1" s="70"/>
      <c r="NSV1" s="70"/>
      <c r="NSW1" s="70"/>
      <c r="NSX1" s="70"/>
      <c r="NSY1" s="70"/>
      <c r="NSZ1" s="70"/>
      <c r="NTA1" s="70"/>
      <c r="NTB1" s="70"/>
      <c r="NTC1" s="70"/>
      <c r="NTD1" s="70"/>
      <c r="NTE1" s="70"/>
      <c r="NTF1" s="70"/>
      <c r="NTG1" s="70"/>
      <c r="NTH1" s="70"/>
      <c r="NTI1" s="70"/>
      <c r="NTJ1" s="70"/>
      <c r="NTK1" s="70"/>
      <c r="NTL1" s="70"/>
      <c r="NTM1" s="70"/>
      <c r="NTN1" s="70"/>
      <c r="NTO1" s="70"/>
      <c r="NTP1" s="70"/>
      <c r="NTQ1" s="70"/>
      <c r="NTR1" s="70"/>
      <c r="NTS1" s="70"/>
      <c r="NTT1" s="70"/>
      <c r="NTU1" s="70"/>
      <c r="NTV1" s="70"/>
      <c r="NTW1" s="70"/>
      <c r="NTX1" s="70"/>
      <c r="NTY1" s="70"/>
      <c r="NTZ1" s="70"/>
      <c r="NUA1" s="70"/>
      <c r="NUB1" s="70"/>
      <c r="NUC1" s="70"/>
      <c r="NUD1" s="70"/>
      <c r="NUE1" s="70"/>
      <c r="NUF1" s="70"/>
      <c r="NUG1" s="70"/>
      <c r="NUH1" s="70"/>
      <c r="NUI1" s="70"/>
      <c r="NUJ1" s="70"/>
      <c r="NUK1" s="70"/>
      <c r="NUL1" s="70"/>
      <c r="NUM1" s="70"/>
      <c r="NUN1" s="70"/>
      <c r="NUO1" s="70"/>
      <c r="NUP1" s="70"/>
      <c r="NUQ1" s="70"/>
      <c r="NUR1" s="70"/>
      <c r="NUS1" s="70"/>
      <c r="NUT1" s="70"/>
      <c r="NUU1" s="70"/>
      <c r="NUV1" s="70"/>
      <c r="NUW1" s="70"/>
      <c r="NUX1" s="70"/>
      <c r="NUY1" s="70"/>
      <c r="NUZ1" s="70"/>
      <c r="NVA1" s="70"/>
      <c r="NVB1" s="70"/>
      <c r="NVC1" s="70"/>
      <c r="NVD1" s="70"/>
      <c r="NVE1" s="70"/>
      <c r="NVF1" s="70"/>
      <c r="NVG1" s="70"/>
      <c r="NVH1" s="70"/>
      <c r="NVI1" s="70"/>
      <c r="NVJ1" s="70"/>
      <c r="NVK1" s="70"/>
      <c r="NVL1" s="70"/>
      <c r="NVM1" s="70"/>
      <c r="NVN1" s="70"/>
      <c r="NVO1" s="70"/>
      <c r="NVP1" s="70"/>
      <c r="NVQ1" s="70"/>
      <c r="NVR1" s="70"/>
      <c r="NVS1" s="70"/>
      <c r="NVT1" s="70"/>
      <c r="NVU1" s="70"/>
      <c r="NVV1" s="70"/>
      <c r="NVW1" s="70"/>
      <c r="NVX1" s="70"/>
      <c r="NVY1" s="70"/>
      <c r="NVZ1" s="70"/>
      <c r="NWA1" s="70"/>
      <c r="NWB1" s="70"/>
      <c r="NWC1" s="70"/>
      <c r="NWD1" s="70"/>
      <c r="NWE1" s="70"/>
      <c r="NWF1" s="70"/>
      <c r="NWG1" s="70"/>
      <c r="NWH1" s="70"/>
      <c r="NWI1" s="70"/>
      <c r="NWJ1" s="70"/>
      <c r="NWK1" s="70"/>
      <c r="NWL1" s="70"/>
      <c r="NWM1" s="70"/>
      <c r="NWN1" s="70"/>
      <c r="NWO1" s="70"/>
      <c r="NWP1" s="70"/>
      <c r="NWQ1" s="70"/>
      <c r="NWR1" s="70"/>
      <c r="NWS1" s="70"/>
      <c r="NWT1" s="70"/>
      <c r="NWU1" s="70"/>
      <c r="NWV1" s="70"/>
      <c r="NWW1" s="70"/>
      <c r="NWX1" s="70"/>
      <c r="NWY1" s="70"/>
      <c r="NWZ1" s="70"/>
      <c r="NXA1" s="70"/>
      <c r="NXB1" s="70"/>
      <c r="NXC1" s="70"/>
      <c r="NXD1" s="70"/>
      <c r="NXE1" s="70"/>
      <c r="NXF1" s="70"/>
      <c r="NXG1" s="70"/>
      <c r="NXH1" s="70"/>
      <c r="NXI1" s="70"/>
      <c r="NXJ1" s="70"/>
      <c r="NXK1" s="70"/>
      <c r="NXL1" s="70"/>
      <c r="NXM1" s="70"/>
      <c r="NXN1" s="70"/>
      <c r="NXO1" s="70"/>
      <c r="NXP1" s="70"/>
      <c r="NXQ1" s="70"/>
      <c r="NXR1" s="70"/>
      <c r="NXS1" s="70"/>
      <c r="NXT1" s="70"/>
      <c r="NXU1" s="70"/>
      <c r="NXV1" s="70"/>
      <c r="NXW1" s="70"/>
      <c r="NXX1" s="70"/>
      <c r="NXY1" s="70"/>
      <c r="NXZ1" s="70"/>
      <c r="NYA1" s="70"/>
      <c r="NYB1" s="70"/>
      <c r="NYC1" s="70"/>
      <c r="NYD1" s="70"/>
      <c r="NYE1" s="70"/>
      <c r="NYF1" s="70"/>
      <c r="NYG1" s="70"/>
      <c r="NYH1" s="70"/>
      <c r="NYI1" s="70"/>
      <c r="NYJ1" s="70"/>
      <c r="NYK1" s="70"/>
      <c r="NYL1" s="70"/>
      <c r="NYM1" s="70"/>
      <c r="NYN1" s="70"/>
      <c r="NYO1" s="70"/>
      <c r="NYP1" s="70"/>
      <c r="NYQ1" s="70"/>
      <c r="NYR1" s="70"/>
      <c r="NYS1" s="70"/>
      <c r="NYT1" s="70"/>
      <c r="NYU1" s="70"/>
      <c r="NYV1" s="70"/>
      <c r="NYW1" s="70"/>
      <c r="NYX1" s="70"/>
      <c r="NYY1" s="70"/>
      <c r="NYZ1" s="70"/>
      <c r="NZA1" s="70"/>
      <c r="NZB1" s="70"/>
      <c r="NZC1" s="70"/>
      <c r="NZD1" s="70"/>
      <c r="NZE1" s="70"/>
      <c r="NZF1" s="70"/>
      <c r="NZG1" s="70"/>
      <c r="NZH1" s="70"/>
      <c r="NZI1" s="70"/>
      <c r="NZJ1" s="70"/>
      <c r="NZK1" s="70"/>
      <c r="NZL1" s="70"/>
      <c r="NZM1" s="70"/>
      <c r="NZN1" s="70"/>
      <c r="NZO1" s="70"/>
      <c r="NZP1" s="70"/>
      <c r="NZQ1" s="70"/>
      <c r="NZR1" s="70"/>
      <c r="NZS1" s="70"/>
      <c r="NZT1" s="70"/>
      <c r="NZU1" s="70"/>
      <c r="NZV1" s="70"/>
      <c r="NZW1" s="70"/>
      <c r="NZX1" s="70"/>
      <c r="NZY1" s="70"/>
      <c r="NZZ1" s="70"/>
      <c r="OAA1" s="70"/>
      <c r="OAB1" s="70"/>
      <c r="OAC1" s="70"/>
      <c r="OAD1" s="70"/>
      <c r="OAE1" s="70"/>
      <c r="OAF1" s="70"/>
      <c r="OAG1" s="70"/>
      <c r="OAH1" s="70"/>
      <c r="OAI1" s="70"/>
      <c r="OAJ1" s="70"/>
      <c r="OAK1" s="70"/>
      <c r="OAL1" s="70"/>
      <c r="OAM1" s="70"/>
      <c r="OAN1" s="70"/>
      <c r="OAO1" s="70"/>
      <c r="OAP1" s="70"/>
      <c r="OAQ1" s="70"/>
      <c r="OAR1" s="70"/>
      <c r="OAS1" s="70"/>
      <c r="OAT1" s="70"/>
      <c r="OAU1" s="70"/>
      <c r="OAV1" s="70"/>
      <c r="OAW1" s="70"/>
      <c r="OAX1" s="70"/>
      <c r="OAY1" s="70"/>
      <c r="OAZ1" s="70"/>
      <c r="OBA1" s="70"/>
      <c r="OBB1" s="70"/>
      <c r="OBC1" s="70"/>
      <c r="OBD1" s="70"/>
      <c r="OBE1" s="70"/>
      <c r="OBF1" s="70"/>
      <c r="OBG1" s="70"/>
      <c r="OBH1" s="70"/>
      <c r="OBI1" s="70"/>
      <c r="OBJ1" s="70"/>
      <c r="OBK1" s="70"/>
      <c r="OBL1" s="70"/>
      <c r="OBM1" s="70"/>
      <c r="OBN1" s="70"/>
      <c r="OBO1" s="70"/>
      <c r="OBP1" s="70"/>
      <c r="OBQ1" s="70"/>
      <c r="OBR1" s="70"/>
      <c r="OBS1" s="70"/>
      <c r="OBT1" s="70"/>
      <c r="OBU1" s="70"/>
      <c r="OBV1" s="70"/>
      <c r="OBW1" s="70"/>
      <c r="OBX1" s="70"/>
      <c r="OBY1" s="70"/>
      <c r="OBZ1" s="70"/>
      <c r="OCA1" s="70"/>
      <c r="OCB1" s="70"/>
      <c r="OCC1" s="70"/>
      <c r="OCD1" s="70"/>
      <c r="OCE1" s="70"/>
      <c r="OCF1" s="70"/>
      <c r="OCG1" s="70"/>
      <c r="OCH1" s="70"/>
      <c r="OCI1" s="70"/>
      <c r="OCJ1" s="70"/>
      <c r="OCK1" s="70"/>
      <c r="OCL1" s="70"/>
      <c r="OCM1" s="70"/>
      <c r="OCN1" s="70"/>
      <c r="OCO1" s="70"/>
      <c r="OCP1" s="70"/>
      <c r="OCQ1" s="70"/>
      <c r="OCR1" s="70"/>
      <c r="OCS1" s="70"/>
      <c r="OCT1" s="70"/>
      <c r="OCU1" s="70"/>
      <c r="OCV1" s="70"/>
      <c r="OCW1" s="70"/>
      <c r="OCX1" s="70"/>
      <c r="OCY1" s="70"/>
      <c r="OCZ1" s="70"/>
      <c r="ODA1" s="70"/>
      <c r="ODB1" s="70"/>
      <c r="ODC1" s="70"/>
      <c r="ODD1" s="70"/>
      <c r="ODE1" s="70"/>
      <c r="ODF1" s="70"/>
      <c r="ODG1" s="70"/>
      <c r="ODH1" s="70"/>
      <c r="ODI1" s="70"/>
      <c r="ODJ1" s="70"/>
      <c r="ODK1" s="70"/>
      <c r="ODL1" s="70"/>
      <c r="ODM1" s="70"/>
      <c r="ODN1" s="70"/>
      <c r="ODO1" s="70"/>
      <c r="ODP1" s="70"/>
      <c r="ODQ1" s="70"/>
      <c r="ODR1" s="70"/>
      <c r="ODS1" s="70"/>
      <c r="ODT1" s="70"/>
      <c r="ODU1" s="70"/>
      <c r="ODV1" s="70"/>
      <c r="ODW1" s="70"/>
      <c r="ODX1" s="70"/>
      <c r="ODY1" s="70"/>
      <c r="ODZ1" s="70"/>
      <c r="OEA1" s="70"/>
      <c r="OEB1" s="70"/>
      <c r="OEC1" s="70"/>
      <c r="OED1" s="70"/>
      <c r="OEE1" s="70"/>
      <c r="OEF1" s="70"/>
      <c r="OEG1" s="70"/>
      <c r="OEH1" s="70"/>
      <c r="OEI1" s="70"/>
      <c r="OEJ1" s="70"/>
      <c r="OEK1" s="70"/>
      <c r="OEL1" s="70"/>
      <c r="OEM1" s="70"/>
      <c r="OEN1" s="70"/>
      <c r="OEO1" s="70"/>
      <c r="OEP1" s="70"/>
      <c r="OEQ1" s="70"/>
      <c r="OER1" s="70"/>
      <c r="OES1" s="70"/>
      <c r="OET1" s="70"/>
      <c r="OEU1" s="70"/>
      <c r="OEV1" s="70"/>
      <c r="OEW1" s="70"/>
      <c r="OEX1" s="70"/>
      <c r="OEY1" s="70"/>
      <c r="OEZ1" s="70"/>
      <c r="OFA1" s="70"/>
      <c r="OFB1" s="70"/>
      <c r="OFC1" s="70"/>
      <c r="OFD1" s="70"/>
      <c r="OFE1" s="70"/>
      <c r="OFF1" s="70"/>
      <c r="OFG1" s="70"/>
      <c r="OFH1" s="70"/>
      <c r="OFI1" s="70"/>
      <c r="OFJ1" s="70"/>
      <c r="OFK1" s="70"/>
      <c r="OFL1" s="70"/>
      <c r="OFM1" s="70"/>
      <c r="OFN1" s="70"/>
      <c r="OFO1" s="70"/>
      <c r="OFP1" s="70"/>
      <c r="OFQ1" s="70"/>
      <c r="OFR1" s="70"/>
      <c r="OFS1" s="70"/>
      <c r="OFT1" s="70"/>
      <c r="OFU1" s="70"/>
      <c r="OFV1" s="70"/>
      <c r="OFW1" s="70"/>
      <c r="OFX1" s="70"/>
      <c r="OFY1" s="70"/>
      <c r="OFZ1" s="70"/>
      <c r="OGA1" s="70"/>
      <c r="OGB1" s="70"/>
      <c r="OGC1" s="70"/>
      <c r="OGD1" s="70"/>
      <c r="OGE1" s="70"/>
      <c r="OGF1" s="70"/>
      <c r="OGG1" s="70"/>
      <c r="OGH1" s="70"/>
      <c r="OGI1" s="70"/>
      <c r="OGJ1" s="70"/>
      <c r="OGK1" s="70"/>
      <c r="OGL1" s="70"/>
      <c r="OGM1" s="70"/>
      <c r="OGN1" s="70"/>
      <c r="OGO1" s="70"/>
      <c r="OGP1" s="70"/>
      <c r="OGQ1" s="70"/>
      <c r="OGR1" s="70"/>
      <c r="OGS1" s="70"/>
      <c r="OGT1" s="70"/>
      <c r="OGU1" s="70"/>
      <c r="OGV1" s="70"/>
      <c r="OGW1" s="70"/>
      <c r="OGX1" s="70"/>
      <c r="OGY1" s="70"/>
      <c r="OGZ1" s="70"/>
      <c r="OHA1" s="70"/>
      <c r="OHB1" s="70"/>
      <c r="OHC1" s="70"/>
      <c r="OHD1" s="70"/>
      <c r="OHE1" s="70"/>
      <c r="OHF1" s="70"/>
      <c r="OHG1" s="70"/>
      <c r="OHH1" s="70"/>
      <c r="OHI1" s="70"/>
      <c r="OHJ1" s="70"/>
      <c r="OHK1" s="70"/>
      <c r="OHL1" s="70"/>
      <c r="OHM1" s="70"/>
      <c r="OHN1" s="70"/>
      <c r="OHO1" s="70"/>
      <c r="OHP1" s="70"/>
      <c r="OHQ1" s="70"/>
      <c r="OHR1" s="70"/>
      <c r="OHS1" s="70"/>
      <c r="OHT1" s="70"/>
      <c r="OHU1" s="70"/>
      <c r="OHV1" s="70"/>
      <c r="OHW1" s="70"/>
      <c r="OHX1" s="70"/>
      <c r="OHY1" s="70"/>
      <c r="OHZ1" s="70"/>
      <c r="OIA1" s="70"/>
      <c r="OIB1" s="70"/>
      <c r="OIC1" s="70"/>
      <c r="OID1" s="70"/>
      <c r="OIE1" s="70"/>
      <c r="OIF1" s="70"/>
      <c r="OIG1" s="70"/>
      <c r="OIH1" s="70"/>
      <c r="OII1" s="70"/>
      <c r="OIJ1" s="70"/>
      <c r="OIK1" s="70"/>
      <c r="OIL1" s="70"/>
      <c r="OIM1" s="70"/>
      <c r="OIN1" s="70"/>
      <c r="OIO1" s="70"/>
      <c r="OIP1" s="70"/>
      <c r="OIQ1" s="70"/>
      <c r="OIR1" s="70"/>
      <c r="OIS1" s="70"/>
      <c r="OIT1" s="70"/>
      <c r="OIU1" s="70"/>
      <c r="OIV1" s="70"/>
      <c r="OIW1" s="70"/>
      <c r="OIX1" s="70"/>
      <c r="OIY1" s="70"/>
      <c r="OIZ1" s="70"/>
      <c r="OJA1" s="70"/>
      <c r="OJB1" s="70"/>
      <c r="OJC1" s="70"/>
      <c r="OJD1" s="70"/>
      <c r="OJE1" s="70"/>
      <c r="OJF1" s="70"/>
      <c r="OJG1" s="70"/>
      <c r="OJH1" s="70"/>
      <c r="OJI1" s="70"/>
      <c r="OJJ1" s="70"/>
      <c r="OJK1" s="70"/>
      <c r="OJL1" s="70"/>
      <c r="OJM1" s="70"/>
      <c r="OJN1" s="70"/>
      <c r="OJO1" s="70"/>
      <c r="OJP1" s="70"/>
      <c r="OJQ1" s="70"/>
      <c r="OJR1" s="70"/>
      <c r="OJS1" s="70"/>
      <c r="OJT1" s="70"/>
      <c r="OJU1" s="70"/>
      <c r="OJV1" s="70"/>
      <c r="OJW1" s="70"/>
      <c r="OJX1" s="70"/>
      <c r="OJY1" s="70"/>
      <c r="OJZ1" s="70"/>
      <c r="OKA1" s="70"/>
      <c r="OKB1" s="70"/>
      <c r="OKC1" s="70"/>
      <c r="OKD1" s="70"/>
      <c r="OKE1" s="70"/>
      <c r="OKF1" s="70"/>
      <c r="OKG1" s="70"/>
      <c r="OKH1" s="70"/>
      <c r="OKI1" s="70"/>
      <c r="OKJ1" s="70"/>
      <c r="OKK1" s="70"/>
      <c r="OKL1" s="70"/>
      <c r="OKM1" s="70"/>
      <c r="OKN1" s="70"/>
      <c r="OKO1" s="70"/>
      <c r="OKP1" s="70"/>
      <c r="OKQ1" s="70"/>
      <c r="OKR1" s="70"/>
      <c r="OKS1" s="70"/>
      <c r="OKT1" s="70"/>
      <c r="OKU1" s="70"/>
      <c r="OKV1" s="70"/>
      <c r="OKW1" s="70"/>
      <c r="OKX1" s="70"/>
      <c r="OKY1" s="70"/>
      <c r="OKZ1" s="70"/>
      <c r="OLA1" s="70"/>
      <c r="OLB1" s="70"/>
      <c r="OLC1" s="70"/>
      <c r="OLD1" s="70"/>
      <c r="OLE1" s="70"/>
      <c r="OLF1" s="70"/>
      <c r="OLG1" s="70"/>
      <c r="OLH1" s="70"/>
      <c r="OLI1" s="70"/>
      <c r="OLJ1" s="70"/>
      <c r="OLK1" s="70"/>
      <c r="OLL1" s="70"/>
      <c r="OLM1" s="70"/>
      <c r="OLN1" s="70"/>
      <c r="OLO1" s="70"/>
      <c r="OLP1" s="70"/>
      <c r="OLQ1" s="70"/>
      <c r="OLR1" s="70"/>
      <c r="OLS1" s="70"/>
      <c r="OLT1" s="70"/>
      <c r="OLU1" s="70"/>
      <c r="OLV1" s="70"/>
      <c r="OLW1" s="70"/>
      <c r="OLX1" s="70"/>
      <c r="OLY1" s="70"/>
      <c r="OLZ1" s="70"/>
      <c r="OMA1" s="70"/>
      <c r="OMB1" s="70"/>
      <c r="OMC1" s="70"/>
      <c r="OMD1" s="70"/>
      <c r="OME1" s="70"/>
      <c r="OMF1" s="70"/>
      <c r="OMG1" s="70"/>
      <c r="OMH1" s="70"/>
      <c r="OMI1" s="70"/>
      <c r="OMJ1" s="70"/>
      <c r="OMK1" s="70"/>
      <c r="OML1" s="70"/>
      <c r="OMM1" s="70"/>
      <c r="OMN1" s="70"/>
      <c r="OMO1" s="70"/>
      <c r="OMP1" s="70"/>
      <c r="OMQ1" s="70"/>
      <c r="OMR1" s="70"/>
      <c r="OMS1" s="70"/>
      <c r="OMT1" s="70"/>
      <c r="OMU1" s="70"/>
      <c r="OMV1" s="70"/>
      <c r="OMW1" s="70"/>
      <c r="OMX1" s="70"/>
      <c r="OMY1" s="70"/>
      <c r="OMZ1" s="70"/>
      <c r="ONA1" s="70"/>
      <c r="ONB1" s="70"/>
      <c r="ONC1" s="70"/>
      <c r="OND1" s="70"/>
      <c r="ONE1" s="70"/>
      <c r="ONF1" s="70"/>
      <c r="ONG1" s="70"/>
      <c r="ONH1" s="70"/>
      <c r="ONI1" s="70"/>
      <c r="ONJ1" s="70"/>
      <c r="ONK1" s="70"/>
      <c r="ONL1" s="70"/>
      <c r="ONM1" s="70"/>
      <c r="ONN1" s="70"/>
      <c r="ONO1" s="70"/>
      <c r="ONP1" s="70"/>
      <c r="ONQ1" s="70"/>
      <c r="ONR1" s="70"/>
      <c r="ONS1" s="70"/>
      <c r="ONT1" s="70"/>
      <c r="ONU1" s="70"/>
      <c r="ONV1" s="70"/>
      <c r="ONW1" s="70"/>
      <c r="ONX1" s="70"/>
      <c r="ONY1" s="70"/>
      <c r="ONZ1" s="70"/>
      <c r="OOA1" s="70"/>
      <c r="OOB1" s="70"/>
      <c r="OOC1" s="70"/>
      <c r="OOD1" s="70"/>
      <c r="OOE1" s="70"/>
      <c r="OOF1" s="70"/>
      <c r="OOG1" s="70"/>
      <c r="OOH1" s="70"/>
      <c r="OOI1" s="70"/>
      <c r="OOJ1" s="70"/>
      <c r="OOK1" s="70"/>
      <c r="OOL1" s="70"/>
      <c r="OOM1" s="70"/>
      <c r="OON1" s="70"/>
      <c r="OOO1" s="70"/>
      <c r="OOP1" s="70"/>
      <c r="OOQ1" s="70"/>
      <c r="OOR1" s="70"/>
      <c r="OOS1" s="70"/>
      <c r="OOT1" s="70"/>
      <c r="OOU1" s="70"/>
      <c r="OOV1" s="70"/>
      <c r="OOW1" s="70"/>
      <c r="OOX1" s="70"/>
      <c r="OOY1" s="70"/>
      <c r="OOZ1" s="70"/>
      <c r="OPA1" s="70"/>
      <c r="OPB1" s="70"/>
      <c r="OPC1" s="70"/>
      <c r="OPD1" s="70"/>
      <c r="OPE1" s="70"/>
      <c r="OPF1" s="70"/>
      <c r="OPG1" s="70"/>
      <c r="OPH1" s="70"/>
      <c r="OPI1" s="70"/>
      <c r="OPJ1" s="70"/>
      <c r="OPK1" s="70"/>
      <c r="OPL1" s="70"/>
      <c r="OPM1" s="70"/>
      <c r="OPN1" s="70"/>
      <c r="OPO1" s="70"/>
      <c r="OPP1" s="70"/>
      <c r="OPQ1" s="70"/>
      <c r="OPR1" s="70"/>
      <c r="OPS1" s="70"/>
      <c r="OPT1" s="70"/>
      <c r="OPU1" s="70"/>
      <c r="OPV1" s="70"/>
      <c r="OPW1" s="70"/>
      <c r="OPX1" s="70"/>
      <c r="OPY1" s="70"/>
      <c r="OPZ1" s="70"/>
      <c r="OQA1" s="70"/>
      <c r="OQB1" s="70"/>
      <c r="OQC1" s="70"/>
      <c r="OQD1" s="70"/>
      <c r="OQE1" s="70"/>
      <c r="OQF1" s="70"/>
      <c r="OQG1" s="70"/>
      <c r="OQH1" s="70"/>
      <c r="OQI1" s="70"/>
      <c r="OQJ1" s="70"/>
      <c r="OQK1" s="70"/>
      <c r="OQL1" s="70"/>
      <c r="OQM1" s="70"/>
      <c r="OQN1" s="70"/>
      <c r="OQO1" s="70"/>
      <c r="OQP1" s="70"/>
      <c r="OQQ1" s="70"/>
      <c r="OQR1" s="70"/>
      <c r="OQS1" s="70"/>
      <c r="OQT1" s="70"/>
      <c r="OQU1" s="70"/>
      <c r="OQV1" s="70"/>
      <c r="OQW1" s="70"/>
      <c r="OQX1" s="70"/>
      <c r="OQY1" s="70"/>
      <c r="OQZ1" s="70"/>
      <c r="ORA1" s="70"/>
      <c r="ORB1" s="70"/>
      <c r="ORC1" s="70"/>
      <c r="ORD1" s="70"/>
      <c r="ORE1" s="70"/>
      <c r="ORF1" s="70"/>
      <c r="ORG1" s="70"/>
      <c r="ORH1" s="70"/>
      <c r="ORI1" s="70"/>
      <c r="ORJ1" s="70"/>
      <c r="ORK1" s="70"/>
      <c r="ORL1" s="70"/>
      <c r="ORM1" s="70"/>
      <c r="ORN1" s="70"/>
      <c r="ORO1" s="70"/>
      <c r="ORP1" s="70"/>
      <c r="ORQ1" s="70"/>
      <c r="ORR1" s="70"/>
      <c r="ORS1" s="70"/>
      <c r="ORT1" s="70"/>
      <c r="ORU1" s="70"/>
      <c r="ORV1" s="70"/>
      <c r="ORW1" s="70"/>
      <c r="ORX1" s="70"/>
      <c r="ORY1" s="70"/>
      <c r="ORZ1" s="70"/>
      <c r="OSA1" s="70"/>
      <c r="OSB1" s="70"/>
      <c r="OSC1" s="70"/>
      <c r="OSD1" s="70"/>
      <c r="OSE1" s="70"/>
      <c r="OSF1" s="70"/>
      <c r="OSG1" s="70"/>
      <c r="OSH1" s="70"/>
      <c r="OSI1" s="70"/>
      <c r="OSJ1" s="70"/>
      <c r="OSK1" s="70"/>
      <c r="OSL1" s="70"/>
      <c r="OSM1" s="70"/>
      <c r="OSN1" s="70"/>
      <c r="OSO1" s="70"/>
      <c r="OSP1" s="70"/>
      <c r="OSQ1" s="70"/>
      <c r="OSR1" s="70"/>
      <c r="OSS1" s="70"/>
      <c r="OST1" s="70"/>
      <c r="OSU1" s="70"/>
      <c r="OSV1" s="70"/>
      <c r="OSW1" s="70"/>
      <c r="OSX1" s="70"/>
      <c r="OSY1" s="70"/>
      <c r="OSZ1" s="70"/>
      <c r="OTA1" s="70"/>
      <c r="OTB1" s="70"/>
      <c r="OTC1" s="70"/>
      <c r="OTD1" s="70"/>
      <c r="OTE1" s="70"/>
      <c r="OTF1" s="70"/>
      <c r="OTG1" s="70"/>
      <c r="OTH1" s="70"/>
      <c r="OTI1" s="70"/>
      <c r="OTJ1" s="70"/>
      <c r="OTK1" s="70"/>
      <c r="OTL1" s="70"/>
      <c r="OTM1" s="70"/>
      <c r="OTN1" s="70"/>
      <c r="OTO1" s="70"/>
      <c r="OTP1" s="70"/>
      <c r="OTQ1" s="70"/>
      <c r="OTR1" s="70"/>
      <c r="OTS1" s="70"/>
      <c r="OTT1" s="70"/>
      <c r="OTU1" s="70"/>
      <c r="OTV1" s="70"/>
      <c r="OTW1" s="70"/>
      <c r="OTX1" s="70"/>
      <c r="OTY1" s="70"/>
      <c r="OTZ1" s="70"/>
      <c r="OUA1" s="70"/>
      <c r="OUB1" s="70"/>
      <c r="OUC1" s="70"/>
      <c r="OUD1" s="70"/>
      <c r="OUE1" s="70"/>
      <c r="OUF1" s="70"/>
      <c r="OUG1" s="70"/>
      <c r="OUH1" s="70"/>
      <c r="OUI1" s="70"/>
      <c r="OUJ1" s="70"/>
      <c r="OUK1" s="70"/>
      <c r="OUL1" s="70"/>
      <c r="OUM1" s="70"/>
      <c r="OUN1" s="70"/>
      <c r="OUO1" s="70"/>
      <c r="OUP1" s="70"/>
      <c r="OUQ1" s="70"/>
      <c r="OUR1" s="70"/>
      <c r="OUS1" s="70"/>
      <c r="OUT1" s="70"/>
      <c r="OUU1" s="70"/>
      <c r="OUV1" s="70"/>
      <c r="OUW1" s="70"/>
      <c r="OUX1" s="70"/>
      <c r="OUY1" s="70"/>
      <c r="OUZ1" s="70"/>
      <c r="OVA1" s="70"/>
      <c r="OVB1" s="70"/>
      <c r="OVC1" s="70"/>
      <c r="OVD1" s="70"/>
      <c r="OVE1" s="70"/>
      <c r="OVF1" s="70"/>
      <c r="OVG1" s="70"/>
      <c r="OVH1" s="70"/>
      <c r="OVI1" s="70"/>
      <c r="OVJ1" s="70"/>
      <c r="OVK1" s="70"/>
      <c r="OVL1" s="70"/>
      <c r="OVM1" s="70"/>
      <c r="OVN1" s="70"/>
      <c r="OVO1" s="70"/>
      <c r="OVP1" s="70"/>
      <c r="OVQ1" s="70"/>
      <c r="OVR1" s="70"/>
      <c r="OVS1" s="70"/>
      <c r="OVT1" s="70"/>
      <c r="OVU1" s="70"/>
      <c r="OVV1" s="70"/>
      <c r="OVW1" s="70"/>
      <c r="OVX1" s="70"/>
      <c r="OVY1" s="70"/>
      <c r="OVZ1" s="70"/>
      <c r="OWA1" s="70"/>
      <c r="OWB1" s="70"/>
      <c r="OWC1" s="70"/>
      <c r="OWD1" s="70"/>
      <c r="OWE1" s="70"/>
      <c r="OWF1" s="70"/>
      <c r="OWG1" s="70"/>
      <c r="OWH1" s="70"/>
      <c r="OWI1" s="70"/>
      <c r="OWJ1" s="70"/>
      <c r="OWK1" s="70"/>
      <c r="OWL1" s="70"/>
      <c r="OWM1" s="70"/>
      <c r="OWN1" s="70"/>
      <c r="OWO1" s="70"/>
      <c r="OWP1" s="70"/>
      <c r="OWQ1" s="70"/>
      <c r="OWR1" s="70"/>
      <c r="OWS1" s="70"/>
      <c r="OWT1" s="70"/>
      <c r="OWU1" s="70"/>
      <c r="OWV1" s="70"/>
      <c r="OWW1" s="70"/>
      <c r="OWX1" s="70"/>
      <c r="OWY1" s="70"/>
      <c r="OWZ1" s="70"/>
      <c r="OXA1" s="70"/>
      <c r="OXB1" s="70"/>
      <c r="OXC1" s="70"/>
      <c r="OXD1" s="70"/>
      <c r="OXE1" s="70"/>
      <c r="OXF1" s="70"/>
      <c r="OXG1" s="70"/>
      <c r="OXH1" s="70"/>
      <c r="OXI1" s="70"/>
      <c r="OXJ1" s="70"/>
      <c r="OXK1" s="70"/>
      <c r="OXL1" s="70"/>
      <c r="OXM1" s="70"/>
      <c r="OXN1" s="70"/>
      <c r="OXO1" s="70"/>
      <c r="OXP1" s="70"/>
      <c r="OXQ1" s="70"/>
      <c r="OXR1" s="70"/>
      <c r="OXS1" s="70"/>
      <c r="OXT1" s="70"/>
      <c r="OXU1" s="70"/>
      <c r="OXV1" s="70"/>
      <c r="OXW1" s="70"/>
      <c r="OXX1" s="70"/>
      <c r="OXY1" s="70"/>
      <c r="OXZ1" s="70"/>
      <c r="OYA1" s="70"/>
      <c r="OYB1" s="70"/>
      <c r="OYC1" s="70"/>
      <c r="OYD1" s="70"/>
      <c r="OYE1" s="70"/>
      <c r="OYF1" s="70"/>
      <c r="OYG1" s="70"/>
      <c r="OYH1" s="70"/>
      <c r="OYI1" s="70"/>
      <c r="OYJ1" s="70"/>
      <c r="OYK1" s="70"/>
      <c r="OYL1" s="70"/>
      <c r="OYM1" s="70"/>
      <c r="OYN1" s="70"/>
      <c r="OYO1" s="70"/>
      <c r="OYP1" s="70"/>
      <c r="OYQ1" s="70"/>
      <c r="OYR1" s="70"/>
      <c r="OYS1" s="70"/>
      <c r="OYT1" s="70"/>
      <c r="OYU1" s="70"/>
      <c r="OYV1" s="70"/>
      <c r="OYW1" s="70"/>
      <c r="OYX1" s="70"/>
      <c r="OYY1" s="70"/>
      <c r="OYZ1" s="70"/>
      <c r="OZA1" s="70"/>
      <c r="OZB1" s="70"/>
      <c r="OZC1" s="70"/>
      <c r="OZD1" s="70"/>
      <c r="OZE1" s="70"/>
      <c r="OZF1" s="70"/>
      <c r="OZG1" s="70"/>
      <c r="OZH1" s="70"/>
      <c r="OZI1" s="70"/>
      <c r="OZJ1" s="70"/>
      <c r="OZK1" s="70"/>
      <c r="OZL1" s="70"/>
      <c r="OZM1" s="70"/>
      <c r="OZN1" s="70"/>
      <c r="OZO1" s="70"/>
      <c r="OZP1" s="70"/>
      <c r="OZQ1" s="70"/>
      <c r="OZR1" s="70"/>
      <c r="OZS1" s="70"/>
      <c r="OZT1" s="70"/>
      <c r="OZU1" s="70"/>
      <c r="OZV1" s="70"/>
      <c r="OZW1" s="70"/>
      <c r="OZX1" s="70"/>
      <c r="OZY1" s="70"/>
      <c r="OZZ1" s="70"/>
      <c r="PAA1" s="70"/>
      <c r="PAB1" s="70"/>
      <c r="PAC1" s="70"/>
      <c r="PAD1" s="70"/>
      <c r="PAE1" s="70"/>
      <c r="PAF1" s="70"/>
      <c r="PAG1" s="70"/>
      <c r="PAH1" s="70"/>
      <c r="PAI1" s="70"/>
      <c r="PAJ1" s="70"/>
      <c r="PAK1" s="70"/>
      <c r="PAL1" s="70"/>
      <c r="PAM1" s="70"/>
      <c r="PAN1" s="70"/>
      <c r="PAO1" s="70"/>
      <c r="PAP1" s="70"/>
      <c r="PAQ1" s="70"/>
      <c r="PAR1" s="70"/>
      <c r="PAS1" s="70"/>
      <c r="PAT1" s="70"/>
      <c r="PAU1" s="70"/>
      <c r="PAV1" s="70"/>
      <c r="PAW1" s="70"/>
      <c r="PAX1" s="70"/>
      <c r="PAY1" s="70"/>
      <c r="PAZ1" s="70"/>
      <c r="PBA1" s="70"/>
      <c r="PBB1" s="70"/>
      <c r="PBC1" s="70"/>
      <c r="PBD1" s="70"/>
      <c r="PBE1" s="70"/>
      <c r="PBF1" s="70"/>
      <c r="PBG1" s="70"/>
      <c r="PBH1" s="70"/>
      <c r="PBI1" s="70"/>
      <c r="PBJ1" s="70"/>
      <c r="PBK1" s="70"/>
      <c r="PBL1" s="70"/>
      <c r="PBM1" s="70"/>
      <c r="PBN1" s="70"/>
      <c r="PBO1" s="70"/>
      <c r="PBP1" s="70"/>
      <c r="PBQ1" s="70"/>
      <c r="PBR1" s="70"/>
      <c r="PBS1" s="70"/>
      <c r="PBT1" s="70"/>
      <c r="PBU1" s="70"/>
      <c r="PBV1" s="70"/>
      <c r="PBW1" s="70"/>
      <c r="PBX1" s="70"/>
      <c r="PBY1" s="70"/>
      <c r="PBZ1" s="70"/>
      <c r="PCA1" s="70"/>
      <c r="PCB1" s="70"/>
      <c r="PCC1" s="70"/>
      <c r="PCD1" s="70"/>
      <c r="PCE1" s="70"/>
      <c r="PCF1" s="70"/>
      <c r="PCG1" s="70"/>
      <c r="PCH1" s="70"/>
      <c r="PCI1" s="70"/>
      <c r="PCJ1" s="70"/>
      <c r="PCK1" s="70"/>
      <c r="PCL1" s="70"/>
      <c r="PCM1" s="70"/>
      <c r="PCN1" s="70"/>
      <c r="PCO1" s="70"/>
      <c r="PCP1" s="70"/>
      <c r="PCQ1" s="70"/>
      <c r="PCR1" s="70"/>
      <c r="PCS1" s="70"/>
      <c r="PCT1" s="70"/>
      <c r="PCU1" s="70"/>
      <c r="PCV1" s="70"/>
      <c r="PCW1" s="70"/>
      <c r="PCX1" s="70"/>
      <c r="PCY1" s="70"/>
      <c r="PCZ1" s="70"/>
      <c r="PDA1" s="70"/>
      <c r="PDB1" s="70"/>
      <c r="PDC1" s="70"/>
      <c r="PDD1" s="70"/>
      <c r="PDE1" s="70"/>
      <c r="PDF1" s="70"/>
      <c r="PDG1" s="70"/>
      <c r="PDH1" s="70"/>
      <c r="PDI1" s="70"/>
      <c r="PDJ1" s="70"/>
      <c r="PDK1" s="70"/>
      <c r="PDL1" s="70"/>
      <c r="PDM1" s="70"/>
      <c r="PDN1" s="70"/>
      <c r="PDO1" s="70"/>
      <c r="PDP1" s="70"/>
      <c r="PDQ1" s="70"/>
      <c r="PDR1" s="70"/>
      <c r="PDS1" s="70"/>
      <c r="PDT1" s="70"/>
      <c r="PDU1" s="70"/>
      <c r="PDV1" s="70"/>
      <c r="PDW1" s="70"/>
      <c r="PDX1" s="70"/>
      <c r="PDY1" s="70"/>
      <c r="PDZ1" s="70"/>
      <c r="PEA1" s="70"/>
      <c r="PEB1" s="70"/>
      <c r="PEC1" s="70"/>
      <c r="PED1" s="70"/>
      <c r="PEE1" s="70"/>
      <c r="PEF1" s="70"/>
      <c r="PEG1" s="70"/>
      <c r="PEH1" s="70"/>
      <c r="PEI1" s="70"/>
      <c r="PEJ1" s="70"/>
      <c r="PEK1" s="70"/>
      <c r="PEL1" s="70"/>
      <c r="PEM1" s="70"/>
      <c r="PEN1" s="70"/>
      <c r="PEO1" s="70"/>
      <c r="PEP1" s="70"/>
      <c r="PEQ1" s="70"/>
      <c r="PER1" s="70"/>
      <c r="PES1" s="70"/>
      <c r="PET1" s="70"/>
      <c r="PEU1" s="70"/>
      <c r="PEV1" s="70"/>
      <c r="PEW1" s="70"/>
      <c r="PEX1" s="70"/>
      <c r="PEY1" s="70"/>
      <c r="PEZ1" s="70"/>
      <c r="PFA1" s="70"/>
      <c r="PFB1" s="70"/>
      <c r="PFC1" s="70"/>
      <c r="PFD1" s="70"/>
      <c r="PFE1" s="70"/>
      <c r="PFF1" s="70"/>
      <c r="PFG1" s="70"/>
      <c r="PFH1" s="70"/>
      <c r="PFI1" s="70"/>
      <c r="PFJ1" s="70"/>
      <c r="PFK1" s="70"/>
      <c r="PFL1" s="70"/>
      <c r="PFM1" s="70"/>
      <c r="PFN1" s="70"/>
      <c r="PFO1" s="70"/>
      <c r="PFP1" s="70"/>
      <c r="PFQ1" s="70"/>
      <c r="PFR1" s="70"/>
      <c r="PFS1" s="70"/>
      <c r="PFT1" s="70"/>
      <c r="PFU1" s="70"/>
      <c r="PFV1" s="70"/>
      <c r="PFW1" s="70"/>
      <c r="PFX1" s="70"/>
      <c r="PFY1" s="70"/>
      <c r="PFZ1" s="70"/>
      <c r="PGA1" s="70"/>
      <c r="PGB1" s="70"/>
      <c r="PGC1" s="70"/>
      <c r="PGD1" s="70"/>
      <c r="PGE1" s="70"/>
      <c r="PGF1" s="70"/>
      <c r="PGG1" s="70"/>
      <c r="PGH1" s="70"/>
      <c r="PGI1" s="70"/>
      <c r="PGJ1" s="70"/>
      <c r="PGK1" s="70"/>
      <c r="PGL1" s="70"/>
      <c r="PGM1" s="70"/>
      <c r="PGN1" s="70"/>
      <c r="PGO1" s="70"/>
      <c r="PGP1" s="70"/>
      <c r="PGQ1" s="70"/>
      <c r="PGR1" s="70"/>
      <c r="PGS1" s="70"/>
      <c r="PGT1" s="70"/>
      <c r="PGU1" s="70"/>
      <c r="PGV1" s="70"/>
      <c r="PGW1" s="70"/>
      <c r="PGX1" s="70"/>
      <c r="PGY1" s="70"/>
      <c r="PGZ1" s="70"/>
      <c r="PHA1" s="70"/>
      <c r="PHB1" s="70"/>
      <c r="PHC1" s="70"/>
      <c r="PHD1" s="70"/>
      <c r="PHE1" s="70"/>
      <c r="PHF1" s="70"/>
      <c r="PHG1" s="70"/>
      <c r="PHH1" s="70"/>
      <c r="PHI1" s="70"/>
      <c r="PHJ1" s="70"/>
      <c r="PHK1" s="70"/>
      <c r="PHL1" s="70"/>
      <c r="PHM1" s="70"/>
      <c r="PHN1" s="70"/>
      <c r="PHO1" s="70"/>
      <c r="PHP1" s="70"/>
      <c r="PHQ1" s="70"/>
      <c r="PHR1" s="70"/>
      <c r="PHS1" s="70"/>
      <c r="PHT1" s="70"/>
      <c r="PHU1" s="70"/>
      <c r="PHV1" s="70"/>
      <c r="PHW1" s="70"/>
      <c r="PHX1" s="70"/>
      <c r="PHY1" s="70"/>
      <c r="PHZ1" s="70"/>
      <c r="PIA1" s="70"/>
      <c r="PIB1" s="70"/>
      <c r="PIC1" s="70"/>
      <c r="PID1" s="70"/>
      <c r="PIE1" s="70"/>
      <c r="PIF1" s="70"/>
      <c r="PIG1" s="70"/>
      <c r="PIH1" s="70"/>
      <c r="PII1" s="70"/>
      <c r="PIJ1" s="70"/>
      <c r="PIK1" s="70"/>
      <c r="PIL1" s="70"/>
      <c r="PIM1" s="70"/>
      <c r="PIN1" s="70"/>
      <c r="PIO1" s="70"/>
      <c r="PIP1" s="70"/>
      <c r="PIQ1" s="70"/>
      <c r="PIR1" s="70"/>
      <c r="PIS1" s="70"/>
      <c r="PIT1" s="70"/>
      <c r="PIU1" s="70"/>
      <c r="PIV1" s="70"/>
      <c r="PIW1" s="70"/>
      <c r="PIX1" s="70"/>
      <c r="PIY1" s="70"/>
      <c r="PIZ1" s="70"/>
      <c r="PJA1" s="70"/>
      <c r="PJB1" s="70"/>
      <c r="PJC1" s="70"/>
      <c r="PJD1" s="70"/>
      <c r="PJE1" s="70"/>
      <c r="PJF1" s="70"/>
      <c r="PJG1" s="70"/>
      <c r="PJH1" s="70"/>
      <c r="PJI1" s="70"/>
      <c r="PJJ1" s="70"/>
      <c r="PJK1" s="70"/>
      <c r="PJL1" s="70"/>
      <c r="PJM1" s="70"/>
      <c r="PJN1" s="70"/>
      <c r="PJO1" s="70"/>
      <c r="PJP1" s="70"/>
      <c r="PJQ1" s="70"/>
      <c r="PJR1" s="70"/>
      <c r="PJS1" s="70"/>
      <c r="PJT1" s="70"/>
      <c r="PJU1" s="70"/>
      <c r="PJV1" s="70"/>
      <c r="PJW1" s="70"/>
      <c r="PJX1" s="70"/>
      <c r="PJY1" s="70"/>
      <c r="PJZ1" s="70"/>
      <c r="PKA1" s="70"/>
      <c r="PKB1" s="70"/>
      <c r="PKC1" s="70"/>
      <c r="PKD1" s="70"/>
      <c r="PKE1" s="70"/>
      <c r="PKF1" s="70"/>
      <c r="PKG1" s="70"/>
      <c r="PKH1" s="70"/>
      <c r="PKI1" s="70"/>
      <c r="PKJ1" s="70"/>
      <c r="PKK1" s="70"/>
      <c r="PKL1" s="70"/>
      <c r="PKM1" s="70"/>
      <c r="PKN1" s="70"/>
      <c r="PKO1" s="70"/>
      <c r="PKP1" s="70"/>
      <c r="PKQ1" s="70"/>
      <c r="PKR1" s="70"/>
      <c r="PKS1" s="70"/>
      <c r="PKT1" s="70"/>
      <c r="PKU1" s="70"/>
      <c r="PKV1" s="70"/>
      <c r="PKW1" s="70"/>
      <c r="PKX1" s="70"/>
      <c r="PKY1" s="70"/>
      <c r="PKZ1" s="70"/>
      <c r="PLA1" s="70"/>
      <c r="PLB1" s="70"/>
      <c r="PLC1" s="70"/>
      <c r="PLD1" s="70"/>
      <c r="PLE1" s="70"/>
      <c r="PLF1" s="70"/>
      <c r="PLG1" s="70"/>
      <c r="PLH1" s="70"/>
      <c r="PLI1" s="70"/>
      <c r="PLJ1" s="70"/>
      <c r="PLK1" s="70"/>
      <c r="PLL1" s="70"/>
      <c r="PLM1" s="70"/>
      <c r="PLN1" s="70"/>
      <c r="PLO1" s="70"/>
      <c r="PLP1" s="70"/>
      <c r="PLQ1" s="70"/>
      <c r="PLR1" s="70"/>
      <c r="PLS1" s="70"/>
      <c r="PLT1" s="70"/>
      <c r="PLU1" s="70"/>
      <c r="PLV1" s="70"/>
      <c r="PLW1" s="70"/>
      <c r="PLX1" s="70"/>
      <c r="PLY1" s="70"/>
      <c r="PLZ1" s="70"/>
      <c r="PMA1" s="70"/>
      <c r="PMB1" s="70"/>
      <c r="PMC1" s="70"/>
      <c r="PMD1" s="70"/>
      <c r="PME1" s="70"/>
      <c r="PMF1" s="70"/>
      <c r="PMG1" s="70"/>
      <c r="PMH1" s="70"/>
      <c r="PMI1" s="70"/>
      <c r="PMJ1" s="70"/>
      <c r="PMK1" s="70"/>
      <c r="PML1" s="70"/>
      <c r="PMM1" s="70"/>
      <c r="PMN1" s="70"/>
      <c r="PMO1" s="70"/>
      <c r="PMP1" s="70"/>
      <c r="PMQ1" s="70"/>
      <c r="PMR1" s="70"/>
      <c r="PMS1" s="70"/>
      <c r="PMT1" s="70"/>
      <c r="PMU1" s="70"/>
      <c r="PMV1" s="70"/>
      <c r="PMW1" s="70"/>
      <c r="PMX1" s="70"/>
      <c r="PMY1" s="70"/>
      <c r="PMZ1" s="70"/>
      <c r="PNA1" s="70"/>
      <c r="PNB1" s="70"/>
      <c r="PNC1" s="70"/>
      <c r="PND1" s="70"/>
      <c r="PNE1" s="70"/>
      <c r="PNF1" s="70"/>
      <c r="PNG1" s="70"/>
      <c r="PNH1" s="70"/>
      <c r="PNI1" s="70"/>
      <c r="PNJ1" s="70"/>
      <c r="PNK1" s="70"/>
      <c r="PNL1" s="70"/>
      <c r="PNM1" s="70"/>
      <c r="PNN1" s="70"/>
      <c r="PNO1" s="70"/>
      <c r="PNP1" s="70"/>
      <c r="PNQ1" s="70"/>
      <c r="PNR1" s="70"/>
      <c r="PNS1" s="70"/>
      <c r="PNT1" s="70"/>
      <c r="PNU1" s="70"/>
      <c r="PNV1" s="70"/>
      <c r="PNW1" s="70"/>
      <c r="PNX1" s="70"/>
      <c r="PNY1" s="70"/>
      <c r="PNZ1" s="70"/>
      <c r="POA1" s="70"/>
      <c r="POB1" s="70"/>
      <c r="POC1" s="70"/>
      <c r="POD1" s="70"/>
      <c r="POE1" s="70"/>
      <c r="POF1" s="70"/>
      <c r="POG1" s="70"/>
      <c r="POH1" s="70"/>
      <c r="POI1" s="70"/>
      <c r="POJ1" s="70"/>
      <c r="POK1" s="70"/>
      <c r="POL1" s="70"/>
      <c r="POM1" s="70"/>
      <c r="PON1" s="70"/>
      <c r="POO1" s="70"/>
      <c r="POP1" s="70"/>
      <c r="POQ1" s="70"/>
      <c r="POR1" s="70"/>
      <c r="POS1" s="70"/>
      <c r="POT1" s="70"/>
      <c r="POU1" s="70"/>
      <c r="POV1" s="70"/>
      <c r="POW1" s="70"/>
      <c r="POX1" s="70"/>
      <c r="POY1" s="70"/>
      <c r="POZ1" s="70"/>
      <c r="PPA1" s="70"/>
      <c r="PPB1" s="70"/>
      <c r="PPC1" s="70"/>
      <c r="PPD1" s="70"/>
      <c r="PPE1" s="70"/>
      <c r="PPF1" s="70"/>
      <c r="PPG1" s="70"/>
      <c r="PPH1" s="70"/>
      <c r="PPI1" s="70"/>
      <c r="PPJ1" s="70"/>
      <c r="PPK1" s="70"/>
      <c r="PPL1" s="70"/>
      <c r="PPM1" s="70"/>
      <c r="PPN1" s="70"/>
      <c r="PPO1" s="70"/>
      <c r="PPP1" s="70"/>
      <c r="PPQ1" s="70"/>
      <c r="PPR1" s="70"/>
      <c r="PPS1" s="70"/>
      <c r="PPT1" s="70"/>
      <c r="PPU1" s="70"/>
      <c r="PPV1" s="70"/>
      <c r="PPW1" s="70"/>
      <c r="PPX1" s="70"/>
      <c r="PPY1" s="70"/>
      <c r="PPZ1" s="70"/>
      <c r="PQA1" s="70"/>
      <c r="PQB1" s="70"/>
      <c r="PQC1" s="70"/>
      <c r="PQD1" s="70"/>
      <c r="PQE1" s="70"/>
      <c r="PQF1" s="70"/>
      <c r="PQG1" s="70"/>
      <c r="PQH1" s="70"/>
      <c r="PQI1" s="70"/>
      <c r="PQJ1" s="70"/>
      <c r="PQK1" s="70"/>
      <c r="PQL1" s="70"/>
      <c r="PQM1" s="70"/>
      <c r="PQN1" s="70"/>
      <c r="PQO1" s="70"/>
      <c r="PQP1" s="70"/>
      <c r="PQQ1" s="70"/>
      <c r="PQR1" s="70"/>
      <c r="PQS1" s="70"/>
      <c r="PQT1" s="70"/>
      <c r="PQU1" s="70"/>
      <c r="PQV1" s="70"/>
      <c r="PQW1" s="70"/>
      <c r="PQX1" s="70"/>
      <c r="PQY1" s="70"/>
      <c r="PQZ1" s="70"/>
      <c r="PRA1" s="70"/>
      <c r="PRB1" s="70"/>
      <c r="PRC1" s="70"/>
      <c r="PRD1" s="70"/>
      <c r="PRE1" s="70"/>
      <c r="PRF1" s="70"/>
      <c r="PRG1" s="70"/>
      <c r="PRH1" s="70"/>
      <c r="PRI1" s="70"/>
      <c r="PRJ1" s="70"/>
      <c r="PRK1" s="70"/>
      <c r="PRL1" s="70"/>
      <c r="PRM1" s="70"/>
      <c r="PRN1" s="70"/>
      <c r="PRO1" s="70"/>
      <c r="PRP1" s="70"/>
      <c r="PRQ1" s="70"/>
      <c r="PRR1" s="70"/>
      <c r="PRS1" s="70"/>
      <c r="PRT1" s="70"/>
      <c r="PRU1" s="70"/>
      <c r="PRV1" s="70"/>
      <c r="PRW1" s="70"/>
      <c r="PRX1" s="70"/>
      <c r="PRY1" s="70"/>
      <c r="PRZ1" s="70"/>
      <c r="PSA1" s="70"/>
      <c r="PSB1" s="70"/>
      <c r="PSC1" s="70"/>
      <c r="PSD1" s="70"/>
      <c r="PSE1" s="70"/>
      <c r="PSF1" s="70"/>
      <c r="PSG1" s="70"/>
      <c r="PSH1" s="70"/>
      <c r="PSI1" s="70"/>
      <c r="PSJ1" s="70"/>
      <c r="PSK1" s="70"/>
      <c r="PSL1" s="70"/>
      <c r="PSM1" s="70"/>
      <c r="PSN1" s="70"/>
      <c r="PSO1" s="70"/>
      <c r="PSP1" s="70"/>
      <c r="PSQ1" s="70"/>
      <c r="PSR1" s="70"/>
      <c r="PSS1" s="70"/>
      <c r="PST1" s="70"/>
      <c r="PSU1" s="70"/>
      <c r="PSV1" s="70"/>
      <c r="PSW1" s="70"/>
      <c r="PSX1" s="70"/>
      <c r="PSY1" s="70"/>
      <c r="PSZ1" s="70"/>
      <c r="PTA1" s="70"/>
      <c r="PTB1" s="70"/>
      <c r="PTC1" s="70"/>
      <c r="PTD1" s="70"/>
      <c r="PTE1" s="70"/>
      <c r="PTF1" s="70"/>
      <c r="PTG1" s="70"/>
      <c r="PTH1" s="70"/>
      <c r="PTI1" s="70"/>
      <c r="PTJ1" s="70"/>
      <c r="PTK1" s="70"/>
      <c r="PTL1" s="70"/>
      <c r="PTM1" s="70"/>
      <c r="PTN1" s="70"/>
      <c r="PTO1" s="70"/>
      <c r="PTP1" s="70"/>
      <c r="PTQ1" s="70"/>
      <c r="PTR1" s="70"/>
      <c r="PTS1" s="70"/>
      <c r="PTT1" s="70"/>
      <c r="PTU1" s="70"/>
      <c r="PTV1" s="70"/>
      <c r="PTW1" s="70"/>
      <c r="PTX1" s="70"/>
      <c r="PTY1" s="70"/>
      <c r="PTZ1" s="70"/>
      <c r="PUA1" s="70"/>
      <c r="PUB1" s="70"/>
      <c r="PUC1" s="70"/>
      <c r="PUD1" s="70"/>
      <c r="PUE1" s="70"/>
      <c r="PUF1" s="70"/>
      <c r="PUG1" s="70"/>
      <c r="PUH1" s="70"/>
      <c r="PUI1" s="70"/>
      <c r="PUJ1" s="70"/>
      <c r="PUK1" s="70"/>
      <c r="PUL1" s="70"/>
      <c r="PUM1" s="70"/>
      <c r="PUN1" s="70"/>
      <c r="PUO1" s="70"/>
      <c r="PUP1" s="70"/>
      <c r="PUQ1" s="70"/>
      <c r="PUR1" s="70"/>
      <c r="PUS1" s="70"/>
      <c r="PUT1" s="70"/>
      <c r="PUU1" s="70"/>
      <c r="PUV1" s="70"/>
      <c r="PUW1" s="70"/>
      <c r="PUX1" s="70"/>
      <c r="PUY1" s="70"/>
      <c r="PUZ1" s="70"/>
      <c r="PVA1" s="70"/>
      <c r="PVB1" s="70"/>
      <c r="PVC1" s="70"/>
      <c r="PVD1" s="70"/>
      <c r="PVE1" s="70"/>
      <c r="PVF1" s="70"/>
      <c r="PVG1" s="70"/>
      <c r="PVH1" s="70"/>
      <c r="PVI1" s="70"/>
      <c r="PVJ1" s="70"/>
      <c r="PVK1" s="70"/>
      <c r="PVL1" s="70"/>
      <c r="PVM1" s="70"/>
      <c r="PVN1" s="70"/>
      <c r="PVO1" s="70"/>
      <c r="PVP1" s="70"/>
      <c r="PVQ1" s="70"/>
      <c r="PVR1" s="70"/>
      <c r="PVS1" s="70"/>
      <c r="PVT1" s="70"/>
      <c r="PVU1" s="70"/>
      <c r="PVV1" s="70"/>
      <c r="PVW1" s="70"/>
      <c r="PVX1" s="70"/>
      <c r="PVY1" s="70"/>
      <c r="PVZ1" s="70"/>
      <c r="PWA1" s="70"/>
      <c r="PWB1" s="70"/>
      <c r="PWC1" s="70"/>
      <c r="PWD1" s="70"/>
      <c r="PWE1" s="70"/>
      <c r="PWF1" s="70"/>
      <c r="PWG1" s="70"/>
      <c r="PWH1" s="70"/>
      <c r="PWI1" s="70"/>
      <c r="PWJ1" s="70"/>
      <c r="PWK1" s="70"/>
      <c r="PWL1" s="70"/>
      <c r="PWM1" s="70"/>
      <c r="PWN1" s="70"/>
      <c r="PWO1" s="70"/>
      <c r="PWP1" s="70"/>
      <c r="PWQ1" s="70"/>
      <c r="PWR1" s="70"/>
      <c r="PWS1" s="70"/>
      <c r="PWT1" s="70"/>
      <c r="PWU1" s="70"/>
      <c r="PWV1" s="70"/>
      <c r="PWW1" s="70"/>
      <c r="PWX1" s="70"/>
      <c r="PWY1" s="70"/>
      <c r="PWZ1" s="70"/>
      <c r="PXA1" s="70"/>
      <c r="PXB1" s="70"/>
      <c r="PXC1" s="70"/>
      <c r="PXD1" s="70"/>
      <c r="PXE1" s="70"/>
      <c r="PXF1" s="70"/>
      <c r="PXG1" s="70"/>
      <c r="PXH1" s="70"/>
      <c r="PXI1" s="70"/>
      <c r="PXJ1" s="70"/>
      <c r="PXK1" s="70"/>
      <c r="PXL1" s="70"/>
      <c r="PXM1" s="70"/>
      <c r="PXN1" s="70"/>
      <c r="PXO1" s="70"/>
      <c r="PXP1" s="70"/>
      <c r="PXQ1" s="70"/>
      <c r="PXR1" s="70"/>
      <c r="PXS1" s="70"/>
      <c r="PXT1" s="70"/>
      <c r="PXU1" s="70"/>
      <c r="PXV1" s="70"/>
      <c r="PXW1" s="70"/>
      <c r="PXX1" s="70"/>
      <c r="PXY1" s="70"/>
      <c r="PXZ1" s="70"/>
      <c r="PYA1" s="70"/>
      <c r="PYB1" s="70"/>
      <c r="PYC1" s="70"/>
      <c r="PYD1" s="70"/>
      <c r="PYE1" s="70"/>
      <c r="PYF1" s="70"/>
      <c r="PYG1" s="70"/>
      <c r="PYH1" s="70"/>
      <c r="PYI1" s="70"/>
      <c r="PYJ1" s="70"/>
      <c r="PYK1" s="70"/>
      <c r="PYL1" s="70"/>
      <c r="PYM1" s="70"/>
      <c r="PYN1" s="70"/>
      <c r="PYO1" s="70"/>
      <c r="PYP1" s="70"/>
      <c r="PYQ1" s="70"/>
      <c r="PYR1" s="70"/>
      <c r="PYS1" s="70"/>
      <c r="PYT1" s="70"/>
      <c r="PYU1" s="70"/>
      <c r="PYV1" s="70"/>
      <c r="PYW1" s="70"/>
      <c r="PYX1" s="70"/>
      <c r="PYY1" s="70"/>
      <c r="PYZ1" s="70"/>
      <c r="PZA1" s="70"/>
      <c r="PZB1" s="70"/>
      <c r="PZC1" s="70"/>
      <c r="PZD1" s="70"/>
      <c r="PZE1" s="70"/>
      <c r="PZF1" s="70"/>
      <c r="PZG1" s="70"/>
      <c r="PZH1" s="70"/>
      <c r="PZI1" s="70"/>
      <c r="PZJ1" s="70"/>
      <c r="PZK1" s="70"/>
      <c r="PZL1" s="70"/>
      <c r="PZM1" s="70"/>
      <c r="PZN1" s="70"/>
      <c r="PZO1" s="70"/>
      <c r="PZP1" s="70"/>
      <c r="PZQ1" s="70"/>
      <c r="PZR1" s="70"/>
      <c r="PZS1" s="70"/>
      <c r="PZT1" s="70"/>
      <c r="PZU1" s="70"/>
      <c r="PZV1" s="70"/>
      <c r="PZW1" s="70"/>
      <c r="PZX1" s="70"/>
      <c r="PZY1" s="70"/>
      <c r="PZZ1" s="70"/>
      <c r="QAA1" s="70"/>
      <c r="QAB1" s="70"/>
      <c r="QAC1" s="70"/>
      <c r="QAD1" s="70"/>
      <c r="QAE1" s="70"/>
      <c r="QAF1" s="70"/>
      <c r="QAG1" s="70"/>
      <c r="QAH1" s="70"/>
      <c r="QAI1" s="70"/>
      <c r="QAJ1" s="70"/>
      <c r="QAK1" s="70"/>
      <c r="QAL1" s="70"/>
      <c r="QAM1" s="70"/>
      <c r="QAN1" s="70"/>
      <c r="QAO1" s="70"/>
      <c r="QAP1" s="70"/>
      <c r="QAQ1" s="70"/>
      <c r="QAR1" s="70"/>
      <c r="QAS1" s="70"/>
      <c r="QAT1" s="70"/>
      <c r="QAU1" s="70"/>
      <c r="QAV1" s="70"/>
      <c r="QAW1" s="70"/>
      <c r="QAX1" s="70"/>
      <c r="QAY1" s="70"/>
      <c r="QAZ1" s="70"/>
      <c r="QBA1" s="70"/>
      <c r="QBB1" s="70"/>
      <c r="QBC1" s="70"/>
      <c r="QBD1" s="70"/>
      <c r="QBE1" s="70"/>
      <c r="QBF1" s="70"/>
      <c r="QBG1" s="70"/>
      <c r="QBH1" s="70"/>
      <c r="QBI1" s="70"/>
      <c r="QBJ1" s="70"/>
      <c r="QBK1" s="70"/>
      <c r="QBL1" s="70"/>
      <c r="QBM1" s="70"/>
      <c r="QBN1" s="70"/>
      <c r="QBO1" s="70"/>
      <c r="QBP1" s="70"/>
      <c r="QBQ1" s="70"/>
      <c r="QBR1" s="70"/>
      <c r="QBS1" s="70"/>
      <c r="QBT1" s="70"/>
      <c r="QBU1" s="70"/>
      <c r="QBV1" s="70"/>
      <c r="QBW1" s="70"/>
      <c r="QBX1" s="70"/>
      <c r="QBY1" s="70"/>
      <c r="QBZ1" s="70"/>
      <c r="QCA1" s="70"/>
      <c r="QCB1" s="70"/>
      <c r="QCC1" s="70"/>
      <c r="QCD1" s="70"/>
      <c r="QCE1" s="70"/>
      <c r="QCF1" s="70"/>
      <c r="QCG1" s="70"/>
      <c r="QCH1" s="70"/>
      <c r="QCI1" s="70"/>
      <c r="QCJ1" s="70"/>
      <c r="QCK1" s="70"/>
      <c r="QCL1" s="70"/>
      <c r="QCM1" s="70"/>
      <c r="QCN1" s="70"/>
      <c r="QCO1" s="70"/>
      <c r="QCP1" s="70"/>
      <c r="QCQ1" s="70"/>
      <c r="QCR1" s="70"/>
      <c r="QCS1" s="70"/>
      <c r="QCT1" s="70"/>
      <c r="QCU1" s="70"/>
      <c r="QCV1" s="70"/>
      <c r="QCW1" s="70"/>
      <c r="QCX1" s="70"/>
      <c r="QCY1" s="70"/>
      <c r="QCZ1" s="70"/>
      <c r="QDA1" s="70"/>
      <c r="QDB1" s="70"/>
      <c r="QDC1" s="70"/>
      <c r="QDD1" s="70"/>
      <c r="QDE1" s="70"/>
      <c r="QDF1" s="70"/>
      <c r="QDG1" s="70"/>
      <c r="QDH1" s="70"/>
      <c r="QDI1" s="70"/>
      <c r="QDJ1" s="70"/>
      <c r="QDK1" s="70"/>
      <c r="QDL1" s="70"/>
      <c r="QDM1" s="70"/>
      <c r="QDN1" s="70"/>
      <c r="QDO1" s="70"/>
      <c r="QDP1" s="70"/>
      <c r="QDQ1" s="70"/>
      <c r="QDR1" s="70"/>
      <c r="QDS1" s="70"/>
      <c r="QDT1" s="70"/>
      <c r="QDU1" s="70"/>
      <c r="QDV1" s="70"/>
      <c r="QDW1" s="70"/>
      <c r="QDX1" s="70"/>
      <c r="QDY1" s="70"/>
      <c r="QDZ1" s="70"/>
      <c r="QEA1" s="70"/>
      <c r="QEB1" s="70"/>
      <c r="QEC1" s="70"/>
      <c r="QED1" s="70"/>
      <c r="QEE1" s="70"/>
      <c r="QEF1" s="70"/>
      <c r="QEG1" s="70"/>
      <c r="QEH1" s="70"/>
      <c r="QEI1" s="70"/>
      <c r="QEJ1" s="70"/>
      <c r="QEK1" s="70"/>
      <c r="QEL1" s="70"/>
      <c r="QEM1" s="70"/>
      <c r="QEN1" s="70"/>
      <c r="QEO1" s="70"/>
      <c r="QEP1" s="70"/>
      <c r="QEQ1" s="70"/>
      <c r="QER1" s="70"/>
      <c r="QES1" s="70"/>
      <c r="QET1" s="70"/>
      <c r="QEU1" s="70"/>
      <c r="QEV1" s="70"/>
      <c r="QEW1" s="70"/>
      <c r="QEX1" s="70"/>
      <c r="QEY1" s="70"/>
      <c r="QEZ1" s="70"/>
      <c r="QFA1" s="70"/>
      <c r="QFB1" s="70"/>
      <c r="QFC1" s="70"/>
      <c r="QFD1" s="70"/>
      <c r="QFE1" s="70"/>
      <c r="QFF1" s="70"/>
      <c r="QFG1" s="70"/>
      <c r="QFH1" s="70"/>
      <c r="QFI1" s="70"/>
      <c r="QFJ1" s="70"/>
      <c r="QFK1" s="70"/>
      <c r="QFL1" s="70"/>
      <c r="QFM1" s="70"/>
      <c r="QFN1" s="70"/>
      <c r="QFO1" s="70"/>
      <c r="QFP1" s="70"/>
      <c r="QFQ1" s="70"/>
      <c r="QFR1" s="70"/>
      <c r="QFS1" s="70"/>
      <c r="QFT1" s="70"/>
      <c r="QFU1" s="70"/>
      <c r="QFV1" s="70"/>
      <c r="QFW1" s="70"/>
      <c r="QFX1" s="70"/>
      <c r="QFY1" s="70"/>
      <c r="QFZ1" s="70"/>
      <c r="QGA1" s="70"/>
      <c r="QGB1" s="70"/>
      <c r="QGC1" s="70"/>
      <c r="QGD1" s="70"/>
      <c r="QGE1" s="70"/>
      <c r="QGF1" s="70"/>
      <c r="QGG1" s="70"/>
      <c r="QGH1" s="70"/>
      <c r="QGI1" s="70"/>
      <c r="QGJ1" s="70"/>
      <c r="QGK1" s="70"/>
      <c r="QGL1" s="70"/>
      <c r="QGM1" s="70"/>
      <c r="QGN1" s="70"/>
      <c r="QGO1" s="70"/>
      <c r="QGP1" s="70"/>
      <c r="QGQ1" s="70"/>
      <c r="QGR1" s="70"/>
      <c r="QGS1" s="70"/>
      <c r="QGT1" s="70"/>
      <c r="QGU1" s="70"/>
      <c r="QGV1" s="70"/>
      <c r="QGW1" s="70"/>
      <c r="QGX1" s="70"/>
      <c r="QGY1" s="70"/>
      <c r="QGZ1" s="70"/>
      <c r="QHA1" s="70"/>
      <c r="QHB1" s="70"/>
      <c r="QHC1" s="70"/>
      <c r="QHD1" s="70"/>
      <c r="QHE1" s="70"/>
      <c r="QHF1" s="70"/>
      <c r="QHG1" s="70"/>
      <c r="QHH1" s="70"/>
      <c r="QHI1" s="70"/>
      <c r="QHJ1" s="70"/>
      <c r="QHK1" s="70"/>
      <c r="QHL1" s="70"/>
      <c r="QHM1" s="70"/>
      <c r="QHN1" s="70"/>
      <c r="QHO1" s="70"/>
      <c r="QHP1" s="70"/>
      <c r="QHQ1" s="70"/>
      <c r="QHR1" s="70"/>
      <c r="QHS1" s="70"/>
      <c r="QHT1" s="70"/>
      <c r="QHU1" s="70"/>
      <c r="QHV1" s="70"/>
      <c r="QHW1" s="70"/>
      <c r="QHX1" s="70"/>
      <c r="QHY1" s="70"/>
      <c r="QHZ1" s="70"/>
      <c r="QIA1" s="70"/>
      <c r="QIB1" s="70"/>
      <c r="QIC1" s="70"/>
      <c r="QID1" s="70"/>
      <c r="QIE1" s="70"/>
      <c r="QIF1" s="70"/>
      <c r="QIG1" s="70"/>
      <c r="QIH1" s="70"/>
      <c r="QII1" s="70"/>
      <c r="QIJ1" s="70"/>
      <c r="QIK1" s="70"/>
      <c r="QIL1" s="70"/>
      <c r="QIM1" s="70"/>
      <c r="QIN1" s="70"/>
      <c r="QIO1" s="70"/>
      <c r="QIP1" s="70"/>
      <c r="QIQ1" s="70"/>
      <c r="QIR1" s="70"/>
      <c r="QIS1" s="70"/>
      <c r="QIT1" s="70"/>
      <c r="QIU1" s="70"/>
      <c r="QIV1" s="70"/>
      <c r="QIW1" s="70"/>
      <c r="QIX1" s="70"/>
      <c r="QIY1" s="70"/>
      <c r="QIZ1" s="70"/>
      <c r="QJA1" s="70"/>
      <c r="QJB1" s="70"/>
      <c r="QJC1" s="70"/>
      <c r="QJD1" s="70"/>
      <c r="QJE1" s="70"/>
      <c r="QJF1" s="70"/>
      <c r="QJG1" s="70"/>
      <c r="QJH1" s="70"/>
      <c r="QJI1" s="70"/>
      <c r="QJJ1" s="70"/>
      <c r="QJK1" s="70"/>
      <c r="QJL1" s="70"/>
      <c r="QJM1" s="70"/>
      <c r="QJN1" s="70"/>
      <c r="QJO1" s="70"/>
      <c r="QJP1" s="70"/>
      <c r="QJQ1" s="70"/>
      <c r="QJR1" s="70"/>
      <c r="QJS1" s="70"/>
      <c r="QJT1" s="70"/>
      <c r="QJU1" s="70"/>
      <c r="QJV1" s="70"/>
      <c r="QJW1" s="70"/>
      <c r="QJX1" s="70"/>
      <c r="QJY1" s="70"/>
      <c r="QJZ1" s="70"/>
      <c r="QKA1" s="70"/>
      <c r="QKB1" s="70"/>
      <c r="QKC1" s="70"/>
      <c r="QKD1" s="70"/>
      <c r="QKE1" s="70"/>
      <c r="QKF1" s="70"/>
      <c r="QKG1" s="70"/>
      <c r="QKH1" s="70"/>
      <c r="QKI1" s="70"/>
      <c r="QKJ1" s="70"/>
      <c r="QKK1" s="70"/>
      <c r="QKL1" s="70"/>
      <c r="QKM1" s="70"/>
      <c r="QKN1" s="70"/>
      <c r="QKO1" s="70"/>
      <c r="QKP1" s="70"/>
      <c r="QKQ1" s="70"/>
      <c r="QKR1" s="70"/>
      <c r="QKS1" s="70"/>
      <c r="QKT1" s="70"/>
      <c r="QKU1" s="70"/>
      <c r="QKV1" s="70"/>
      <c r="QKW1" s="70"/>
      <c r="QKX1" s="70"/>
      <c r="QKY1" s="70"/>
      <c r="QKZ1" s="70"/>
      <c r="QLA1" s="70"/>
      <c r="QLB1" s="70"/>
      <c r="QLC1" s="70"/>
      <c r="QLD1" s="70"/>
      <c r="QLE1" s="70"/>
      <c r="QLF1" s="70"/>
      <c r="QLG1" s="70"/>
      <c r="QLH1" s="70"/>
      <c r="QLI1" s="70"/>
      <c r="QLJ1" s="70"/>
      <c r="QLK1" s="70"/>
      <c r="QLL1" s="70"/>
      <c r="QLM1" s="70"/>
      <c r="QLN1" s="70"/>
      <c r="QLO1" s="70"/>
      <c r="QLP1" s="70"/>
      <c r="QLQ1" s="70"/>
      <c r="QLR1" s="70"/>
      <c r="QLS1" s="70"/>
      <c r="QLT1" s="70"/>
      <c r="QLU1" s="70"/>
      <c r="QLV1" s="70"/>
      <c r="QLW1" s="70"/>
      <c r="QLX1" s="70"/>
      <c r="QLY1" s="70"/>
      <c r="QLZ1" s="70"/>
      <c r="QMA1" s="70"/>
      <c r="QMB1" s="70"/>
      <c r="QMC1" s="70"/>
      <c r="QMD1" s="70"/>
      <c r="QME1" s="70"/>
      <c r="QMF1" s="70"/>
      <c r="QMG1" s="70"/>
      <c r="QMH1" s="70"/>
      <c r="QMI1" s="70"/>
      <c r="QMJ1" s="70"/>
      <c r="QMK1" s="70"/>
      <c r="QML1" s="70"/>
      <c r="QMM1" s="70"/>
      <c r="QMN1" s="70"/>
      <c r="QMO1" s="70"/>
      <c r="QMP1" s="70"/>
      <c r="QMQ1" s="70"/>
      <c r="QMR1" s="70"/>
      <c r="QMS1" s="70"/>
      <c r="QMT1" s="70"/>
      <c r="QMU1" s="70"/>
      <c r="QMV1" s="70"/>
      <c r="QMW1" s="70"/>
      <c r="QMX1" s="70"/>
      <c r="QMY1" s="70"/>
      <c r="QMZ1" s="70"/>
      <c r="QNA1" s="70"/>
      <c r="QNB1" s="70"/>
      <c r="QNC1" s="70"/>
      <c r="QND1" s="70"/>
      <c r="QNE1" s="70"/>
      <c r="QNF1" s="70"/>
      <c r="QNG1" s="70"/>
      <c r="QNH1" s="70"/>
      <c r="QNI1" s="70"/>
      <c r="QNJ1" s="70"/>
      <c r="QNK1" s="70"/>
      <c r="QNL1" s="70"/>
      <c r="QNM1" s="70"/>
      <c r="QNN1" s="70"/>
      <c r="QNO1" s="70"/>
      <c r="QNP1" s="70"/>
      <c r="QNQ1" s="70"/>
      <c r="QNR1" s="70"/>
      <c r="QNS1" s="70"/>
      <c r="QNT1" s="70"/>
      <c r="QNU1" s="70"/>
      <c r="QNV1" s="70"/>
      <c r="QNW1" s="70"/>
      <c r="QNX1" s="70"/>
      <c r="QNY1" s="70"/>
      <c r="QNZ1" s="70"/>
      <c r="QOA1" s="70"/>
      <c r="QOB1" s="70"/>
      <c r="QOC1" s="70"/>
      <c r="QOD1" s="70"/>
      <c r="QOE1" s="70"/>
      <c r="QOF1" s="70"/>
      <c r="QOG1" s="70"/>
      <c r="QOH1" s="70"/>
      <c r="QOI1" s="70"/>
      <c r="QOJ1" s="70"/>
      <c r="QOK1" s="70"/>
      <c r="QOL1" s="70"/>
      <c r="QOM1" s="70"/>
      <c r="QON1" s="70"/>
      <c r="QOO1" s="70"/>
      <c r="QOP1" s="70"/>
      <c r="QOQ1" s="70"/>
      <c r="QOR1" s="70"/>
      <c r="QOS1" s="70"/>
      <c r="QOT1" s="70"/>
      <c r="QOU1" s="70"/>
      <c r="QOV1" s="70"/>
      <c r="QOW1" s="70"/>
      <c r="QOX1" s="70"/>
      <c r="QOY1" s="70"/>
      <c r="QOZ1" s="70"/>
      <c r="QPA1" s="70"/>
      <c r="QPB1" s="70"/>
      <c r="QPC1" s="70"/>
      <c r="QPD1" s="70"/>
      <c r="QPE1" s="70"/>
      <c r="QPF1" s="70"/>
      <c r="QPG1" s="70"/>
      <c r="QPH1" s="70"/>
      <c r="QPI1" s="70"/>
      <c r="QPJ1" s="70"/>
      <c r="QPK1" s="70"/>
      <c r="QPL1" s="70"/>
      <c r="QPM1" s="70"/>
      <c r="QPN1" s="70"/>
      <c r="QPO1" s="70"/>
      <c r="QPP1" s="70"/>
      <c r="QPQ1" s="70"/>
      <c r="QPR1" s="70"/>
      <c r="QPS1" s="70"/>
      <c r="QPT1" s="70"/>
      <c r="QPU1" s="70"/>
      <c r="QPV1" s="70"/>
      <c r="QPW1" s="70"/>
      <c r="QPX1" s="70"/>
      <c r="QPY1" s="70"/>
      <c r="QPZ1" s="70"/>
      <c r="QQA1" s="70"/>
      <c r="QQB1" s="70"/>
      <c r="QQC1" s="70"/>
      <c r="QQD1" s="70"/>
      <c r="QQE1" s="70"/>
      <c r="QQF1" s="70"/>
      <c r="QQG1" s="70"/>
      <c r="QQH1" s="70"/>
      <c r="QQI1" s="70"/>
      <c r="QQJ1" s="70"/>
      <c r="QQK1" s="70"/>
      <c r="QQL1" s="70"/>
      <c r="QQM1" s="70"/>
      <c r="QQN1" s="70"/>
      <c r="QQO1" s="70"/>
      <c r="QQP1" s="70"/>
      <c r="QQQ1" s="70"/>
      <c r="QQR1" s="70"/>
      <c r="QQS1" s="70"/>
      <c r="QQT1" s="70"/>
      <c r="QQU1" s="70"/>
      <c r="QQV1" s="70"/>
      <c r="QQW1" s="70"/>
      <c r="QQX1" s="70"/>
      <c r="QQY1" s="70"/>
      <c r="QQZ1" s="70"/>
      <c r="QRA1" s="70"/>
      <c r="QRB1" s="70"/>
      <c r="QRC1" s="70"/>
      <c r="QRD1" s="70"/>
      <c r="QRE1" s="70"/>
      <c r="QRF1" s="70"/>
      <c r="QRG1" s="70"/>
      <c r="QRH1" s="70"/>
      <c r="QRI1" s="70"/>
      <c r="QRJ1" s="70"/>
      <c r="QRK1" s="70"/>
      <c r="QRL1" s="70"/>
      <c r="QRM1" s="70"/>
      <c r="QRN1" s="70"/>
      <c r="QRO1" s="70"/>
      <c r="QRP1" s="70"/>
      <c r="QRQ1" s="70"/>
      <c r="QRR1" s="70"/>
      <c r="QRS1" s="70"/>
      <c r="QRT1" s="70"/>
      <c r="QRU1" s="70"/>
      <c r="QRV1" s="70"/>
      <c r="QRW1" s="70"/>
      <c r="QRX1" s="70"/>
      <c r="QRY1" s="70"/>
      <c r="QRZ1" s="70"/>
      <c r="QSA1" s="70"/>
      <c r="QSB1" s="70"/>
      <c r="QSC1" s="70"/>
      <c r="QSD1" s="70"/>
      <c r="QSE1" s="70"/>
      <c r="QSF1" s="70"/>
      <c r="QSG1" s="70"/>
      <c r="QSH1" s="70"/>
      <c r="QSI1" s="70"/>
      <c r="QSJ1" s="70"/>
      <c r="QSK1" s="70"/>
      <c r="QSL1" s="70"/>
      <c r="QSM1" s="70"/>
      <c r="QSN1" s="70"/>
      <c r="QSO1" s="70"/>
      <c r="QSP1" s="70"/>
      <c r="QSQ1" s="70"/>
      <c r="QSR1" s="70"/>
      <c r="QSS1" s="70"/>
      <c r="QST1" s="70"/>
      <c r="QSU1" s="70"/>
      <c r="QSV1" s="70"/>
      <c r="QSW1" s="70"/>
      <c r="QSX1" s="70"/>
      <c r="QSY1" s="70"/>
      <c r="QSZ1" s="70"/>
      <c r="QTA1" s="70"/>
      <c r="QTB1" s="70"/>
      <c r="QTC1" s="70"/>
      <c r="QTD1" s="70"/>
      <c r="QTE1" s="70"/>
      <c r="QTF1" s="70"/>
      <c r="QTG1" s="70"/>
      <c r="QTH1" s="70"/>
      <c r="QTI1" s="70"/>
      <c r="QTJ1" s="70"/>
      <c r="QTK1" s="70"/>
      <c r="QTL1" s="70"/>
      <c r="QTM1" s="70"/>
      <c r="QTN1" s="70"/>
      <c r="QTO1" s="70"/>
      <c r="QTP1" s="70"/>
      <c r="QTQ1" s="70"/>
      <c r="QTR1" s="70"/>
      <c r="QTS1" s="70"/>
      <c r="QTT1" s="70"/>
      <c r="QTU1" s="70"/>
      <c r="QTV1" s="70"/>
      <c r="QTW1" s="70"/>
      <c r="QTX1" s="70"/>
      <c r="QTY1" s="70"/>
      <c r="QTZ1" s="70"/>
      <c r="QUA1" s="70"/>
      <c r="QUB1" s="70"/>
      <c r="QUC1" s="70"/>
      <c r="QUD1" s="70"/>
      <c r="QUE1" s="70"/>
      <c r="QUF1" s="70"/>
      <c r="QUG1" s="70"/>
      <c r="QUH1" s="70"/>
      <c r="QUI1" s="70"/>
      <c r="QUJ1" s="70"/>
      <c r="QUK1" s="70"/>
      <c r="QUL1" s="70"/>
      <c r="QUM1" s="70"/>
      <c r="QUN1" s="70"/>
      <c r="QUO1" s="70"/>
      <c r="QUP1" s="70"/>
      <c r="QUQ1" s="70"/>
      <c r="QUR1" s="70"/>
      <c r="QUS1" s="70"/>
      <c r="QUT1" s="70"/>
      <c r="QUU1" s="70"/>
      <c r="QUV1" s="70"/>
      <c r="QUW1" s="70"/>
      <c r="QUX1" s="70"/>
      <c r="QUY1" s="70"/>
      <c r="QUZ1" s="70"/>
      <c r="QVA1" s="70"/>
      <c r="QVB1" s="70"/>
      <c r="QVC1" s="70"/>
      <c r="QVD1" s="70"/>
      <c r="QVE1" s="70"/>
      <c r="QVF1" s="70"/>
      <c r="QVG1" s="70"/>
      <c r="QVH1" s="70"/>
      <c r="QVI1" s="70"/>
      <c r="QVJ1" s="70"/>
      <c r="QVK1" s="70"/>
      <c r="QVL1" s="70"/>
      <c r="QVM1" s="70"/>
      <c r="QVN1" s="70"/>
      <c r="QVO1" s="70"/>
      <c r="QVP1" s="70"/>
      <c r="QVQ1" s="70"/>
      <c r="QVR1" s="70"/>
      <c r="QVS1" s="70"/>
      <c r="QVT1" s="70"/>
      <c r="QVU1" s="70"/>
      <c r="QVV1" s="70"/>
      <c r="QVW1" s="70"/>
      <c r="QVX1" s="70"/>
      <c r="QVY1" s="70"/>
      <c r="QVZ1" s="70"/>
      <c r="QWA1" s="70"/>
      <c r="QWB1" s="70"/>
      <c r="QWC1" s="70"/>
      <c r="QWD1" s="70"/>
      <c r="QWE1" s="70"/>
      <c r="QWF1" s="70"/>
      <c r="QWG1" s="70"/>
      <c r="QWH1" s="70"/>
      <c r="QWI1" s="70"/>
      <c r="QWJ1" s="70"/>
      <c r="QWK1" s="70"/>
      <c r="QWL1" s="70"/>
      <c r="QWM1" s="70"/>
      <c r="QWN1" s="70"/>
      <c r="QWO1" s="70"/>
      <c r="QWP1" s="70"/>
      <c r="QWQ1" s="70"/>
      <c r="QWR1" s="70"/>
      <c r="QWS1" s="70"/>
      <c r="QWT1" s="70"/>
      <c r="QWU1" s="70"/>
      <c r="QWV1" s="70"/>
      <c r="QWW1" s="70"/>
      <c r="QWX1" s="70"/>
      <c r="QWY1" s="70"/>
      <c r="QWZ1" s="70"/>
      <c r="QXA1" s="70"/>
      <c r="QXB1" s="70"/>
      <c r="QXC1" s="70"/>
      <c r="QXD1" s="70"/>
      <c r="QXE1" s="70"/>
      <c r="QXF1" s="70"/>
      <c r="QXG1" s="70"/>
      <c r="QXH1" s="70"/>
      <c r="QXI1" s="70"/>
      <c r="QXJ1" s="70"/>
      <c r="QXK1" s="70"/>
      <c r="QXL1" s="70"/>
      <c r="QXM1" s="70"/>
      <c r="QXN1" s="70"/>
      <c r="QXO1" s="70"/>
      <c r="QXP1" s="70"/>
      <c r="QXQ1" s="70"/>
      <c r="QXR1" s="70"/>
      <c r="QXS1" s="70"/>
      <c r="QXT1" s="70"/>
      <c r="QXU1" s="70"/>
      <c r="QXV1" s="70"/>
      <c r="QXW1" s="70"/>
      <c r="QXX1" s="70"/>
      <c r="QXY1" s="70"/>
      <c r="QXZ1" s="70"/>
      <c r="QYA1" s="70"/>
      <c r="QYB1" s="70"/>
      <c r="QYC1" s="70"/>
      <c r="QYD1" s="70"/>
      <c r="QYE1" s="70"/>
      <c r="QYF1" s="70"/>
      <c r="QYG1" s="70"/>
      <c r="QYH1" s="70"/>
      <c r="QYI1" s="70"/>
      <c r="QYJ1" s="70"/>
      <c r="QYK1" s="70"/>
      <c r="QYL1" s="70"/>
      <c r="QYM1" s="70"/>
      <c r="QYN1" s="70"/>
      <c r="QYO1" s="70"/>
      <c r="QYP1" s="70"/>
      <c r="QYQ1" s="70"/>
      <c r="QYR1" s="70"/>
      <c r="QYS1" s="70"/>
      <c r="QYT1" s="70"/>
      <c r="QYU1" s="70"/>
      <c r="QYV1" s="70"/>
      <c r="QYW1" s="70"/>
      <c r="QYX1" s="70"/>
      <c r="QYY1" s="70"/>
      <c r="QYZ1" s="70"/>
      <c r="QZA1" s="70"/>
      <c r="QZB1" s="70"/>
      <c r="QZC1" s="70"/>
      <c r="QZD1" s="70"/>
      <c r="QZE1" s="70"/>
      <c r="QZF1" s="70"/>
      <c r="QZG1" s="70"/>
      <c r="QZH1" s="70"/>
      <c r="QZI1" s="70"/>
      <c r="QZJ1" s="70"/>
      <c r="QZK1" s="70"/>
      <c r="QZL1" s="70"/>
      <c r="QZM1" s="70"/>
      <c r="QZN1" s="70"/>
      <c r="QZO1" s="70"/>
      <c r="QZP1" s="70"/>
      <c r="QZQ1" s="70"/>
      <c r="QZR1" s="70"/>
      <c r="QZS1" s="70"/>
      <c r="QZT1" s="70"/>
      <c r="QZU1" s="70"/>
      <c r="QZV1" s="70"/>
      <c r="QZW1" s="70"/>
      <c r="QZX1" s="70"/>
      <c r="QZY1" s="70"/>
      <c r="QZZ1" s="70"/>
      <c r="RAA1" s="70"/>
      <c r="RAB1" s="70"/>
      <c r="RAC1" s="70"/>
      <c r="RAD1" s="70"/>
      <c r="RAE1" s="70"/>
      <c r="RAF1" s="70"/>
      <c r="RAG1" s="70"/>
      <c r="RAH1" s="70"/>
      <c r="RAI1" s="70"/>
      <c r="RAJ1" s="70"/>
      <c r="RAK1" s="70"/>
      <c r="RAL1" s="70"/>
      <c r="RAM1" s="70"/>
      <c r="RAN1" s="70"/>
      <c r="RAO1" s="70"/>
      <c r="RAP1" s="70"/>
      <c r="RAQ1" s="70"/>
      <c r="RAR1" s="70"/>
      <c r="RAS1" s="70"/>
      <c r="RAT1" s="70"/>
      <c r="RAU1" s="70"/>
      <c r="RAV1" s="70"/>
      <c r="RAW1" s="70"/>
      <c r="RAX1" s="70"/>
      <c r="RAY1" s="70"/>
      <c r="RAZ1" s="70"/>
      <c r="RBA1" s="70"/>
      <c r="RBB1" s="70"/>
      <c r="RBC1" s="70"/>
      <c r="RBD1" s="70"/>
      <c r="RBE1" s="70"/>
      <c r="RBF1" s="70"/>
      <c r="RBG1" s="70"/>
      <c r="RBH1" s="70"/>
      <c r="RBI1" s="70"/>
      <c r="RBJ1" s="70"/>
      <c r="RBK1" s="70"/>
      <c r="RBL1" s="70"/>
      <c r="RBM1" s="70"/>
      <c r="RBN1" s="70"/>
      <c r="RBO1" s="70"/>
      <c r="RBP1" s="70"/>
      <c r="RBQ1" s="70"/>
      <c r="RBR1" s="70"/>
      <c r="RBS1" s="70"/>
      <c r="RBT1" s="70"/>
      <c r="RBU1" s="70"/>
      <c r="RBV1" s="70"/>
      <c r="RBW1" s="70"/>
      <c r="RBX1" s="70"/>
      <c r="RBY1" s="70"/>
      <c r="RBZ1" s="70"/>
      <c r="RCA1" s="70"/>
      <c r="RCB1" s="70"/>
      <c r="RCC1" s="70"/>
      <c r="RCD1" s="70"/>
      <c r="RCE1" s="70"/>
      <c r="RCF1" s="70"/>
      <c r="RCG1" s="70"/>
      <c r="RCH1" s="70"/>
      <c r="RCI1" s="70"/>
      <c r="RCJ1" s="70"/>
      <c r="RCK1" s="70"/>
      <c r="RCL1" s="70"/>
      <c r="RCM1" s="70"/>
      <c r="RCN1" s="70"/>
      <c r="RCO1" s="70"/>
      <c r="RCP1" s="70"/>
      <c r="RCQ1" s="70"/>
      <c r="RCR1" s="70"/>
      <c r="RCS1" s="70"/>
      <c r="RCT1" s="70"/>
      <c r="RCU1" s="70"/>
      <c r="RCV1" s="70"/>
      <c r="RCW1" s="70"/>
      <c r="RCX1" s="70"/>
      <c r="RCY1" s="70"/>
      <c r="RCZ1" s="70"/>
      <c r="RDA1" s="70"/>
      <c r="RDB1" s="70"/>
      <c r="RDC1" s="70"/>
      <c r="RDD1" s="70"/>
      <c r="RDE1" s="70"/>
      <c r="RDF1" s="70"/>
      <c r="RDG1" s="70"/>
      <c r="RDH1" s="70"/>
      <c r="RDI1" s="70"/>
      <c r="RDJ1" s="70"/>
      <c r="RDK1" s="70"/>
      <c r="RDL1" s="70"/>
      <c r="RDM1" s="70"/>
      <c r="RDN1" s="70"/>
      <c r="RDO1" s="70"/>
      <c r="RDP1" s="70"/>
      <c r="RDQ1" s="70"/>
      <c r="RDR1" s="70"/>
      <c r="RDS1" s="70"/>
      <c r="RDT1" s="70"/>
      <c r="RDU1" s="70"/>
      <c r="RDV1" s="70"/>
      <c r="RDW1" s="70"/>
      <c r="RDX1" s="70"/>
      <c r="RDY1" s="70"/>
      <c r="RDZ1" s="70"/>
      <c r="REA1" s="70"/>
      <c r="REB1" s="70"/>
      <c r="REC1" s="70"/>
      <c r="RED1" s="70"/>
      <c r="REE1" s="70"/>
      <c r="REF1" s="70"/>
      <c r="REG1" s="70"/>
      <c r="REH1" s="70"/>
      <c r="REI1" s="70"/>
      <c r="REJ1" s="70"/>
      <c r="REK1" s="70"/>
      <c r="REL1" s="70"/>
      <c r="REM1" s="70"/>
      <c r="REN1" s="70"/>
      <c r="REO1" s="70"/>
      <c r="REP1" s="70"/>
      <c r="REQ1" s="70"/>
      <c r="RER1" s="70"/>
      <c r="RES1" s="70"/>
      <c r="RET1" s="70"/>
      <c r="REU1" s="70"/>
      <c r="REV1" s="70"/>
      <c r="REW1" s="70"/>
      <c r="REX1" s="70"/>
      <c r="REY1" s="70"/>
      <c r="REZ1" s="70"/>
      <c r="RFA1" s="70"/>
      <c r="RFB1" s="70"/>
      <c r="RFC1" s="70"/>
      <c r="RFD1" s="70"/>
      <c r="RFE1" s="70"/>
      <c r="RFF1" s="70"/>
      <c r="RFG1" s="70"/>
      <c r="RFH1" s="70"/>
      <c r="RFI1" s="70"/>
      <c r="RFJ1" s="70"/>
      <c r="RFK1" s="70"/>
      <c r="RFL1" s="70"/>
      <c r="RFM1" s="70"/>
      <c r="RFN1" s="70"/>
      <c r="RFO1" s="70"/>
      <c r="RFP1" s="70"/>
      <c r="RFQ1" s="70"/>
      <c r="RFR1" s="70"/>
      <c r="RFS1" s="70"/>
      <c r="RFT1" s="70"/>
      <c r="RFU1" s="70"/>
      <c r="RFV1" s="70"/>
      <c r="RFW1" s="70"/>
      <c r="RFX1" s="70"/>
      <c r="RFY1" s="70"/>
      <c r="RFZ1" s="70"/>
      <c r="RGA1" s="70"/>
      <c r="RGB1" s="70"/>
      <c r="RGC1" s="70"/>
      <c r="RGD1" s="70"/>
      <c r="RGE1" s="70"/>
      <c r="RGF1" s="70"/>
      <c r="RGG1" s="70"/>
      <c r="RGH1" s="70"/>
      <c r="RGI1" s="70"/>
      <c r="RGJ1" s="70"/>
      <c r="RGK1" s="70"/>
      <c r="RGL1" s="70"/>
      <c r="RGM1" s="70"/>
      <c r="RGN1" s="70"/>
      <c r="RGO1" s="70"/>
      <c r="RGP1" s="70"/>
      <c r="RGQ1" s="70"/>
      <c r="RGR1" s="70"/>
      <c r="RGS1" s="70"/>
      <c r="RGT1" s="70"/>
      <c r="RGU1" s="70"/>
      <c r="RGV1" s="70"/>
      <c r="RGW1" s="70"/>
      <c r="RGX1" s="70"/>
      <c r="RGY1" s="70"/>
      <c r="RGZ1" s="70"/>
      <c r="RHA1" s="70"/>
      <c r="RHB1" s="70"/>
      <c r="RHC1" s="70"/>
      <c r="RHD1" s="70"/>
      <c r="RHE1" s="70"/>
      <c r="RHF1" s="70"/>
      <c r="RHG1" s="70"/>
      <c r="RHH1" s="70"/>
      <c r="RHI1" s="70"/>
      <c r="RHJ1" s="70"/>
      <c r="RHK1" s="70"/>
      <c r="RHL1" s="70"/>
      <c r="RHM1" s="70"/>
      <c r="RHN1" s="70"/>
      <c r="RHO1" s="70"/>
      <c r="RHP1" s="70"/>
      <c r="RHQ1" s="70"/>
      <c r="RHR1" s="70"/>
      <c r="RHS1" s="70"/>
      <c r="RHT1" s="70"/>
      <c r="RHU1" s="70"/>
      <c r="RHV1" s="70"/>
      <c r="RHW1" s="70"/>
      <c r="RHX1" s="70"/>
      <c r="RHY1" s="70"/>
      <c r="RHZ1" s="70"/>
      <c r="RIA1" s="70"/>
      <c r="RIB1" s="70"/>
      <c r="RIC1" s="70"/>
      <c r="RID1" s="70"/>
      <c r="RIE1" s="70"/>
      <c r="RIF1" s="70"/>
      <c r="RIG1" s="70"/>
      <c r="RIH1" s="70"/>
      <c r="RII1" s="70"/>
      <c r="RIJ1" s="70"/>
      <c r="RIK1" s="70"/>
      <c r="RIL1" s="70"/>
      <c r="RIM1" s="70"/>
      <c r="RIN1" s="70"/>
      <c r="RIO1" s="70"/>
      <c r="RIP1" s="70"/>
      <c r="RIQ1" s="70"/>
      <c r="RIR1" s="70"/>
      <c r="RIS1" s="70"/>
      <c r="RIT1" s="70"/>
      <c r="RIU1" s="70"/>
      <c r="RIV1" s="70"/>
      <c r="RIW1" s="70"/>
      <c r="RIX1" s="70"/>
      <c r="RIY1" s="70"/>
      <c r="RIZ1" s="70"/>
      <c r="RJA1" s="70"/>
      <c r="RJB1" s="70"/>
      <c r="RJC1" s="70"/>
      <c r="RJD1" s="70"/>
      <c r="RJE1" s="70"/>
      <c r="RJF1" s="70"/>
      <c r="RJG1" s="70"/>
      <c r="RJH1" s="70"/>
      <c r="RJI1" s="70"/>
      <c r="RJJ1" s="70"/>
      <c r="RJK1" s="70"/>
      <c r="RJL1" s="70"/>
      <c r="RJM1" s="70"/>
      <c r="RJN1" s="70"/>
      <c r="RJO1" s="70"/>
      <c r="RJP1" s="70"/>
      <c r="RJQ1" s="70"/>
      <c r="RJR1" s="70"/>
      <c r="RJS1" s="70"/>
      <c r="RJT1" s="70"/>
      <c r="RJU1" s="70"/>
      <c r="RJV1" s="70"/>
      <c r="RJW1" s="70"/>
      <c r="RJX1" s="70"/>
      <c r="RJY1" s="70"/>
      <c r="RJZ1" s="70"/>
      <c r="RKA1" s="70"/>
      <c r="RKB1" s="70"/>
      <c r="RKC1" s="70"/>
      <c r="RKD1" s="70"/>
      <c r="RKE1" s="70"/>
      <c r="RKF1" s="70"/>
      <c r="RKG1" s="70"/>
      <c r="RKH1" s="70"/>
      <c r="RKI1" s="70"/>
      <c r="RKJ1" s="70"/>
      <c r="RKK1" s="70"/>
      <c r="RKL1" s="70"/>
      <c r="RKM1" s="70"/>
      <c r="RKN1" s="70"/>
      <c r="RKO1" s="70"/>
      <c r="RKP1" s="70"/>
      <c r="RKQ1" s="70"/>
      <c r="RKR1" s="70"/>
      <c r="RKS1" s="70"/>
      <c r="RKT1" s="70"/>
      <c r="RKU1" s="70"/>
      <c r="RKV1" s="70"/>
      <c r="RKW1" s="70"/>
      <c r="RKX1" s="70"/>
      <c r="RKY1" s="70"/>
      <c r="RKZ1" s="70"/>
      <c r="RLA1" s="70"/>
      <c r="RLB1" s="70"/>
      <c r="RLC1" s="70"/>
      <c r="RLD1" s="70"/>
      <c r="RLE1" s="70"/>
      <c r="RLF1" s="70"/>
      <c r="RLG1" s="70"/>
      <c r="RLH1" s="70"/>
      <c r="RLI1" s="70"/>
      <c r="RLJ1" s="70"/>
      <c r="RLK1" s="70"/>
      <c r="RLL1" s="70"/>
      <c r="RLM1" s="70"/>
      <c r="RLN1" s="70"/>
      <c r="RLO1" s="70"/>
      <c r="RLP1" s="70"/>
      <c r="RLQ1" s="70"/>
      <c r="RLR1" s="70"/>
      <c r="RLS1" s="70"/>
      <c r="RLT1" s="70"/>
      <c r="RLU1" s="70"/>
      <c r="RLV1" s="70"/>
      <c r="RLW1" s="70"/>
      <c r="RLX1" s="70"/>
      <c r="RLY1" s="70"/>
      <c r="RLZ1" s="70"/>
      <c r="RMA1" s="70"/>
      <c r="RMB1" s="70"/>
      <c r="RMC1" s="70"/>
      <c r="RMD1" s="70"/>
      <c r="RME1" s="70"/>
      <c r="RMF1" s="70"/>
      <c r="RMG1" s="70"/>
      <c r="RMH1" s="70"/>
      <c r="RMI1" s="70"/>
      <c r="RMJ1" s="70"/>
      <c r="RMK1" s="70"/>
      <c r="RML1" s="70"/>
      <c r="RMM1" s="70"/>
      <c r="RMN1" s="70"/>
      <c r="RMO1" s="70"/>
      <c r="RMP1" s="70"/>
      <c r="RMQ1" s="70"/>
      <c r="RMR1" s="70"/>
      <c r="RMS1" s="70"/>
      <c r="RMT1" s="70"/>
      <c r="RMU1" s="70"/>
      <c r="RMV1" s="70"/>
      <c r="RMW1" s="70"/>
      <c r="RMX1" s="70"/>
      <c r="RMY1" s="70"/>
      <c r="RMZ1" s="70"/>
      <c r="RNA1" s="70"/>
      <c r="RNB1" s="70"/>
      <c r="RNC1" s="70"/>
      <c r="RND1" s="70"/>
      <c r="RNE1" s="70"/>
      <c r="RNF1" s="70"/>
      <c r="RNG1" s="70"/>
      <c r="RNH1" s="70"/>
      <c r="RNI1" s="70"/>
      <c r="RNJ1" s="70"/>
      <c r="RNK1" s="70"/>
      <c r="RNL1" s="70"/>
      <c r="RNM1" s="70"/>
      <c r="RNN1" s="70"/>
      <c r="RNO1" s="70"/>
      <c r="RNP1" s="70"/>
      <c r="RNQ1" s="70"/>
      <c r="RNR1" s="70"/>
      <c r="RNS1" s="70"/>
      <c r="RNT1" s="70"/>
      <c r="RNU1" s="70"/>
      <c r="RNV1" s="70"/>
      <c r="RNW1" s="70"/>
      <c r="RNX1" s="70"/>
      <c r="RNY1" s="70"/>
      <c r="RNZ1" s="70"/>
      <c r="ROA1" s="70"/>
      <c r="ROB1" s="70"/>
      <c r="ROC1" s="70"/>
      <c r="ROD1" s="70"/>
      <c r="ROE1" s="70"/>
      <c r="ROF1" s="70"/>
      <c r="ROG1" s="70"/>
      <c r="ROH1" s="70"/>
      <c r="ROI1" s="70"/>
      <c r="ROJ1" s="70"/>
      <c r="ROK1" s="70"/>
      <c r="ROL1" s="70"/>
      <c r="ROM1" s="70"/>
      <c r="RON1" s="70"/>
      <c r="ROO1" s="70"/>
      <c r="ROP1" s="70"/>
      <c r="ROQ1" s="70"/>
      <c r="ROR1" s="70"/>
      <c r="ROS1" s="70"/>
      <c r="ROT1" s="70"/>
      <c r="ROU1" s="70"/>
      <c r="ROV1" s="70"/>
      <c r="ROW1" s="70"/>
      <c r="ROX1" s="70"/>
      <c r="ROY1" s="70"/>
      <c r="ROZ1" s="70"/>
      <c r="RPA1" s="70"/>
      <c r="RPB1" s="70"/>
      <c r="RPC1" s="70"/>
      <c r="RPD1" s="70"/>
      <c r="RPE1" s="70"/>
      <c r="RPF1" s="70"/>
      <c r="RPG1" s="70"/>
      <c r="RPH1" s="70"/>
      <c r="RPI1" s="70"/>
      <c r="RPJ1" s="70"/>
      <c r="RPK1" s="70"/>
      <c r="RPL1" s="70"/>
      <c r="RPM1" s="70"/>
      <c r="RPN1" s="70"/>
      <c r="RPO1" s="70"/>
      <c r="RPP1" s="70"/>
      <c r="RPQ1" s="70"/>
      <c r="RPR1" s="70"/>
      <c r="RPS1" s="70"/>
      <c r="RPT1" s="70"/>
      <c r="RPU1" s="70"/>
      <c r="RPV1" s="70"/>
      <c r="RPW1" s="70"/>
      <c r="RPX1" s="70"/>
      <c r="RPY1" s="70"/>
      <c r="RPZ1" s="70"/>
      <c r="RQA1" s="70"/>
      <c r="RQB1" s="70"/>
      <c r="RQC1" s="70"/>
      <c r="RQD1" s="70"/>
      <c r="RQE1" s="70"/>
      <c r="RQF1" s="70"/>
      <c r="RQG1" s="70"/>
      <c r="RQH1" s="70"/>
      <c r="RQI1" s="70"/>
      <c r="RQJ1" s="70"/>
      <c r="RQK1" s="70"/>
      <c r="RQL1" s="70"/>
      <c r="RQM1" s="70"/>
      <c r="RQN1" s="70"/>
      <c r="RQO1" s="70"/>
      <c r="RQP1" s="70"/>
      <c r="RQQ1" s="70"/>
      <c r="RQR1" s="70"/>
      <c r="RQS1" s="70"/>
      <c r="RQT1" s="70"/>
      <c r="RQU1" s="70"/>
      <c r="RQV1" s="70"/>
      <c r="RQW1" s="70"/>
      <c r="RQX1" s="70"/>
      <c r="RQY1" s="70"/>
      <c r="RQZ1" s="70"/>
      <c r="RRA1" s="70"/>
      <c r="RRB1" s="70"/>
      <c r="RRC1" s="70"/>
      <c r="RRD1" s="70"/>
      <c r="RRE1" s="70"/>
      <c r="RRF1" s="70"/>
      <c r="RRG1" s="70"/>
      <c r="RRH1" s="70"/>
      <c r="RRI1" s="70"/>
      <c r="RRJ1" s="70"/>
      <c r="RRK1" s="70"/>
      <c r="RRL1" s="70"/>
      <c r="RRM1" s="70"/>
      <c r="RRN1" s="70"/>
      <c r="RRO1" s="70"/>
      <c r="RRP1" s="70"/>
      <c r="RRQ1" s="70"/>
      <c r="RRR1" s="70"/>
      <c r="RRS1" s="70"/>
      <c r="RRT1" s="70"/>
      <c r="RRU1" s="70"/>
      <c r="RRV1" s="70"/>
      <c r="RRW1" s="70"/>
      <c r="RRX1" s="70"/>
      <c r="RRY1" s="70"/>
      <c r="RRZ1" s="70"/>
      <c r="RSA1" s="70"/>
      <c r="RSB1" s="70"/>
      <c r="RSC1" s="70"/>
      <c r="RSD1" s="70"/>
      <c r="RSE1" s="70"/>
      <c r="RSF1" s="70"/>
      <c r="RSG1" s="70"/>
      <c r="RSH1" s="70"/>
      <c r="RSI1" s="70"/>
      <c r="RSJ1" s="70"/>
      <c r="RSK1" s="70"/>
      <c r="RSL1" s="70"/>
      <c r="RSM1" s="70"/>
      <c r="RSN1" s="70"/>
      <c r="RSO1" s="70"/>
      <c r="RSP1" s="70"/>
      <c r="RSQ1" s="70"/>
      <c r="RSR1" s="70"/>
      <c r="RSS1" s="70"/>
      <c r="RST1" s="70"/>
      <c r="RSU1" s="70"/>
      <c r="RSV1" s="70"/>
      <c r="RSW1" s="70"/>
      <c r="RSX1" s="70"/>
      <c r="RSY1" s="70"/>
      <c r="RSZ1" s="70"/>
      <c r="RTA1" s="70"/>
      <c r="RTB1" s="70"/>
      <c r="RTC1" s="70"/>
      <c r="RTD1" s="70"/>
      <c r="RTE1" s="70"/>
      <c r="RTF1" s="70"/>
      <c r="RTG1" s="70"/>
      <c r="RTH1" s="70"/>
      <c r="RTI1" s="70"/>
      <c r="RTJ1" s="70"/>
      <c r="RTK1" s="70"/>
      <c r="RTL1" s="70"/>
      <c r="RTM1" s="70"/>
      <c r="RTN1" s="70"/>
      <c r="RTO1" s="70"/>
      <c r="RTP1" s="70"/>
      <c r="RTQ1" s="70"/>
      <c r="RTR1" s="70"/>
      <c r="RTS1" s="70"/>
      <c r="RTT1" s="70"/>
      <c r="RTU1" s="70"/>
      <c r="RTV1" s="70"/>
      <c r="RTW1" s="70"/>
      <c r="RTX1" s="70"/>
      <c r="RTY1" s="70"/>
      <c r="RTZ1" s="70"/>
      <c r="RUA1" s="70"/>
      <c r="RUB1" s="70"/>
      <c r="RUC1" s="70"/>
      <c r="RUD1" s="70"/>
      <c r="RUE1" s="70"/>
      <c r="RUF1" s="70"/>
      <c r="RUG1" s="70"/>
      <c r="RUH1" s="70"/>
      <c r="RUI1" s="70"/>
      <c r="RUJ1" s="70"/>
      <c r="RUK1" s="70"/>
      <c r="RUL1" s="70"/>
      <c r="RUM1" s="70"/>
      <c r="RUN1" s="70"/>
      <c r="RUO1" s="70"/>
      <c r="RUP1" s="70"/>
      <c r="RUQ1" s="70"/>
      <c r="RUR1" s="70"/>
      <c r="RUS1" s="70"/>
      <c r="RUT1" s="70"/>
      <c r="RUU1" s="70"/>
      <c r="RUV1" s="70"/>
      <c r="RUW1" s="70"/>
      <c r="RUX1" s="70"/>
      <c r="RUY1" s="70"/>
      <c r="RUZ1" s="70"/>
      <c r="RVA1" s="70"/>
      <c r="RVB1" s="70"/>
      <c r="RVC1" s="70"/>
      <c r="RVD1" s="70"/>
      <c r="RVE1" s="70"/>
      <c r="RVF1" s="70"/>
      <c r="RVG1" s="70"/>
      <c r="RVH1" s="70"/>
      <c r="RVI1" s="70"/>
      <c r="RVJ1" s="70"/>
      <c r="RVK1" s="70"/>
      <c r="RVL1" s="70"/>
      <c r="RVM1" s="70"/>
      <c r="RVN1" s="70"/>
      <c r="RVO1" s="70"/>
      <c r="RVP1" s="70"/>
      <c r="RVQ1" s="70"/>
      <c r="RVR1" s="70"/>
      <c r="RVS1" s="70"/>
      <c r="RVT1" s="70"/>
      <c r="RVU1" s="70"/>
      <c r="RVV1" s="70"/>
      <c r="RVW1" s="70"/>
      <c r="RVX1" s="70"/>
      <c r="RVY1" s="70"/>
      <c r="RVZ1" s="70"/>
      <c r="RWA1" s="70"/>
      <c r="RWB1" s="70"/>
      <c r="RWC1" s="70"/>
      <c r="RWD1" s="70"/>
      <c r="RWE1" s="70"/>
      <c r="RWF1" s="70"/>
      <c r="RWG1" s="70"/>
      <c r="RWH1" s="70"/>
      <c r="RWI1" s="70"/>
      <c r="RWJ1" s="70"/>
      <c r="RWK1" s="70"/>
      <c r="RWL1" s="70"/>
      <c r="RWM1" s="70"/>
      <c r="RWN1" s="70"/>
      <c r="RWO1" s="70"/>
      <c r="RWP1" s="70"/>
      <c r="RWQ1" s="70"/>
      <c r="RWR1" s="70"/>
      <c r="RWS1" s="70"/>
      <c r="RWT1" s="70"/>
      <c r="RWU1" s="70"/>
      <c r="RWV1" s="70"/>
      <c r="RWW1" s="70"/>
      <c r="RWX1" s="70"/>
      <c r="RWY1" s="70"/>
      <c r="RWZ1" s="70"/>
      <c r="RXA1" s="70"/>
      <c r="RXB1" s="70"/>
      <c r="RXC1" s="70"/>
      <c r="RXD1" s="70"/>
      <c r="RXE1" s="70"/>
      <c r="RXF1" s="70"/>
      <c r="RXG1" s="70"/>
      <c r="RXH1" s="70"/>
      <c r="RXI1" s="70"/>
      <c r="RXJ1" s="70"/>
      <c r="RXK1" s="70"/>
      <c r="RXL1" s="70"/>
      <c r="RXM1" s="70"/>
      <c r="RXN1" s="70"/>
      <c r="RXO1" s="70"/>
      <c r="RXP1" s="70"/>
      <c r="RXQ1" s="70"/>
      <c r="RXR1" s="70"/>
      <c r="RXS1" s="70"/>
      <c r="RXT1" s="70"/>
      <c r="RXU1" s="70"/>
      <c r="RXV1" s="70"/>
      <c r="RXW1" s="70"/>
      <c r="RXX1" s="70"/>
      <c r="RXY1" s="70"/>
      <c r="RXZ1" s="70"/>
      <c r="RYA1" s="70"/>
      <c r="RYB1" s="70"/>
      <c r="RYC1" s="70"/>
      <c r="RYD1" s="70"/>
      <c r="RYE1" s="70"/>
      <c r="RYF1" s="70"/>
      <c r="RYG1" s="70"/>
      <c r="RYH1" s="70"/>
      <c r="RYI1" s="70"/>
      <c r="RYJ1" s="70"/>
      <c r="RYK1" s="70"/>
      <c r="RYL1" s="70"/>
      <c r="RYM1" s="70"/>
      <c r="RYN1" s="70"/>
      <c r="RYO1" s="70"/>
      <c r="RYP1" s="70"/>
      <c r="RYQ1" s="70"/>
      <c r="RYR1" s="70"/>
      <c r="RYS1" s="70"/>
      <c r="RYT1" s="70"/>
      <c r="RYU1" s="70"/>
      <c r="RYV1" s="70"/>
      <c r="RYW1" s="70"/>
      <c r="RYX1" s="70"/>
      <c r="RYY1" s="70"/>
      <c r="RYZ1" s="70"/>
      <c r="RZA1" s="70"/>
      <c r="RZB1" s="70"/>
      <c r="RZC1" s="70"/>
      <c r="RZD1" s="70"/>
      <c r="RZE1" s="70"/>
      <c r="RZF1" s="70"/>
      <c r="RZG1" s="70"/>
      <c r="RZH1" s="70"/>
      <c r="RZI1" s="70"/>
      <c r="RZJ1" s="70"/>
      <c r="RZK1" s="70"/>
      <c r="RZL1" s="70"/>
      <c r="RZM1" s="70"/>
      <c r="RZN1" s="70"/>
      <c r="RZO1" s="70"/>
      <c r="RZP1" s="70"/>
      <c r="RZQ1" s="70"/>
      <c r="RZR1" s="70"/>
      <c r="RZS1" s="70"/>
      <c r="RZT1" s="70"/>
      <c r="RZU1" s="70"/>
      <c r="RZV1" s="70"/>
      <c r="RZW1" s="70"/>
      <c r="RZX1" s="70"/>
      <c r="RZY1" s="70"/>
      <c r="RZZ1" s="70"/>
      <c r="SAA1" s="70"/>
      <c r="SAB1" s="70"/>
      <c r="SAC1" s="70"/>
      <c r="SAD1" s="70"/>
      <c r="SAE1" s="70"/>
      <c r="SAF1" s="70"/>
      <c r="SAG1" s="70"/>
      <c r="SAH1" s="70"/>
      <c r="SAI1" s="70"/>
      <c r="SAJ1" s="70"/>
      <c r="SAK1" s="70"/>
      <c r="SAL1" s="70"/>
      <c r="SAM1" s="70"/>
      <c r="SAN1" s="70"/>
      <c r="SAO1" s="70"/>
      <c r="SAP1" s="70"/>
      <c r="SAQ1" s="70"/>
      <c r="SAR1" s="70"/>
      <c r="SAS1" s="70"/>
      <c r="SAT1" s="70"/>
      <c r="SAU1" s="70"/>
      <c r="SAV1" s="70"/>
      <c r="SAW1" s="70"/>
      <c r="SAX1" s="70"/>
      <c r="SAY1" s="70"/>
      <c r="SAZ1" s="70"/>
      <c r="SBA1" s="70"/>
      <c r="SBB1" s="70"/>
      <c r="SBC1" s="70"/>
      <c r="SBD1" s="70"/>
      <c r="SBE1" s="70"/>
      <c r="SBF1" s="70"/>
      <c r="SBG1" s="70"/>
      <c r="SBH1" s="70"/>
      <c r="SBI1" s="70"/>
      <c r="SBJ1" s="70"/>
      <c r="SBK1" s="70"/>
      <c r="SBL1" s="70"/>
      <c r="SBM1" s="70"/>
      <c r="SBN1" s="70"/>
      <c r="SBO1" s="70"/>
      <c r="SBP1" s="70"/>
      <c r="SBQ1" s="70"/>
      <c r="SBR1" s="70"/>
      <c r="SBS1" s="70"/>
      <c r="SBT1" s="70"/>
      <c r="SBU1" s="70"/>
      <c r="SBV1" s="70"/>
      <c r="SBW1" s="70"/>
      <c r="SBX1" s="70"/>
      <c r="SBY1" s="70"/>
      <c r="SBZ1" s="70"/>
      <c r="SCA1" s="70"/>
      <c r="SCB1" s="70"/>
      <c r="SCC1" s="70"/>
      <c r="SCD1" s="70"/>
      <c r="SCE1" s="70"/>
      <c r="SCF1" s="70"/>
      <c r="SCG1" s="70"/>
      <c r="SCH1" s="70"/>
      <c r="SCI1" s="70"/>
      <c r="SCJ1" s="70"/>
      <c r="SCK1" s="70"/>
      <c r="SCL1" s="70"/>
      <c r="SCM1" s="70"/>
      <c r="SCN1" s="70"/>
      <c r="SCO1" s="70"/>
      <c r="SCP1" s="70"/>
      <c r="SCQ1" s="70"/>
      <c r="SCR1" s="70"/>
      <c r="SCS1" s="70"/>
      <c r="SCT1" s="70"/>
      <c r="SCU1" s="70"/>
      <c r="SCV1" s="70"/>
      <c r="SCW1" s="70"/>
      <c r="SCX1" s="70"/>
      <c r="SCY1" s="70"/>
      <c r="SCZ1" s="70"/>
      <c r="SDA1" s="70"/>
      <c r="SDB1" s="70"/>
      <c r="SDC1" s="70"/>
      <c r="SDD1" s="70"/>
      <c r="SDE1" s="70"/>
      <c r="SDF1" s="70"/>
      <c r="SDG1" s="70"/>
      <c r="SDH1" s="70"/>
      <c r="SDI1" s="70"/>
      <c r="SDJ1" s="70"/>
      <c r="SDK1" s="70"/>
      <c r="SDL1" s="70"/>
      <c r="SDM1" s="70"/>
      <c r="SDN1" s="70"/>
      <c r="SDO1" s="70"/>
      <c r="SDP1" s="70"/>
      <c r="SDQ1" s="70"/>
      <c r="SDR1" s="70"/>
      <c r="SDS1" s="70"/>
      <c r="SDT1" s="70"/>
      <c r="SDU1" s="70"/>
      <c r="SDV1" s="70"/>
      <c r="SDW1" s="70"/>
      <c r="SDX1" s="70"/>
      <c r="SDY1" s="70"/>
      <c r="SDZ1" s="70"/>
      <c r="SEA1" s="70"/>
      <c r="SEB1" s="70"/>
      <c r="SEC1" s="70"/>
      <c r="SED1" s="70"/>
      <c r="SEE1" s="70"/>
      <c r="SEF1" s="70"/>
      <c r="SEG1" s="70"/>
      <c r="SEH1" s="70"/>
      <c r="SEI1" s="70"/>
      <c r="SEJ1" s="70"/>
      <c r="SEK1" s="70"/>
      <c r="SEL1" s="70"/>
      <c r="SEM1" s="70"/>
      <c r="SEN1" s="70"/>
      <c r="SEO1" s="70"/>
      <c r="SEP1" s="70"/>
      <c r="SEQ1" s="70"/>
      <c r="SER1" s="70"/>
      <c r="SES1" s="70"/>
      <c r="SET1" s="70"/>
      <c r="SEU1" s="70"/>
      <c r="SEV1" s="70"/>
      <c r="SEW1" s="70"/>
      <c r="SEX1" s="70"/>
      <c r="SEY1" s="70"/>
      <c r="SEZ1" s="70"/>
      <c r="SFA1" s="70"/>
      <c r="SFB1" s="70"/>
      <c r="SFC1" s="70"/>
      <c r="SFD1" s="70"/>
      <c r="SFE1" s="70"/>
      <c r="SFF1" s="70"/>
      <c r="SFG1" s="70"/>
      <c r="SFH1" s="70"/>
      <c r="SFI1" s="70"/>
      <c r="SFJ1" s="70"/>
      <c r="SFK1" s="70"/>
      <c r="SFL1" s="70"/>
      <c r="SFM1" s="70"/>
      <c r="SFN1" s="70"/>
      <c r="SFO1" s="70"/>
      <c r="SFP1" s="70"/>
      <c r="SFQ1" s="70"/>
      <c r="SFR1" s="70"/>
      <c r="SFS1" s="70"/>
      <c r="SFT1" s="70"/>
      <c r="SFU1" s="70"/>
      <c r="SFV1" s="70"/>
      <c r="SFW1" s="70"/>
      <c r="SFX1" s="70"/>
      <c r="SFY1" s="70"/>
      <c r="SFZ1" s="70"/>
      <c r="SGA1" s="70"/>
      <c r="SGB1" s="70"/>
      <c r="SGC1" s="70"/>
      <c r="SGD1" s="70"/>
      <c r="SGE1" s="70"/>
      <c r="SGF1" s="70"/>
      <c r="SGG1" s="70"/>
      <c r="SGH1" s="70"/>
      <c r="SGI1" s="70"/>
      <c r="SGJ1" s="70"/>
      <c r="SGK1" s="70"/>
      <c r="SGL1" s="70"/>
      <c r="SGM1" s="70"/>
      <c r="SGN1" s="70"/>
      <c r="SGO1" s="70"/>
      <c r="SGP1" s="70"/>
      <c r="SGQ1" s="70"/>
      <c r="SGR1" s="70"/>
      <c r="SGS1" s="70"/>
      <c r="SGT1" s="70"/>
      <c r="SGU1" s="70"/>
      <c r="SGV1" s="70"/>
      <c r="SGW1" s="70"/>
      <c r="SGX1" s="70"/>
      <c r="SGY1" s="70"/>
      <c r="SGZ1" s="70"/>
      <c r="SHA1" s="70"/>
      <c r="SHB1" s="70"/>
      <c r="SHC1" s="70"/>
      <c r="SHD1" s="70"/>
      <c r="SHE1" s="70"/>
      <c r="SHF1" s="70"/>
      <c r="SHG1" s="70"/>
      <c r="SHH1" s="70"/>
      <c r="SHI1" s="70"/>
      <c r="SHJ1" s="70"/>
      <c r="SHK1" s="70"/>
      <c r="SHL1" s="70"/>
      <c r="SHM1" s="70"/>
      <c r="SHN1" s="70"/>
      <c r="SHO1" s="70"/>
      <c r="SHP1" s="70"/>
      <c r="SHQ1" s="70"/>
      <c r="SHR1" s="70"/>
      <c r="SHS1" s="70"/>
      <c r="SHT1" s="70"/>
      <c r="SHU1" s="70"/>
      <c r="SHV1" s="70"/>
      <c r="SHW1" s="70"/>
      <c r="SHX1" s="70"/>
      <c r="SHY1" s="70"/>
      <c r="SHZ1" s="70"/>
      <c r="SIA1" s="70"/>
      <c r="SIB1" s="70"/>
      <c r="SIC1" s="70"/>
      <c r="SID1" s="70"/>
      <c r="SIE1" s="70"/>
      <c r="SIF1" s="70"/>
      <c r="SIG1" s="70"/>
      <c r="SIH1" s="70"/>
      <c r="SII1" s="70"/>
      <c r="SIJ1" s="70"/>
      <c r="SIK1" s="70"/>
      <c r="SIL1" s="70"/>
      <c r="SIM1" s="70"/>
      <c r="SIN1" s="70"/>
      <c r="SIO1" s="70"/>
      <c r="SIP1" s="70"/>
      <c r="SIQ1" s="70"/>
      <c r="SIR1" s="70"/>
      <c r="SIS1" s="70"/>
      <c r="SIT1" s="70"/>
      <c r="SIU1" s="70"/>
      <c r="SIV1" s="70"/>
      <c r="SIW1" s="70"/>
      <c r="SIX1" s="70"/>
      <c r="SIY1" s="70"/>
      <c r="SIZ1" s="70"/>
      <c r="SJA1" s="70"/>
      <c r="SJB1" s="70"/>
      <c r="SJC1" s="70"/>
      <c r="SJD1" s="70"/>
      <c r="SJE1" s="70"/>
      <c r="SJF1" s="70"/>
      <c r="SJG1" s="70"/>
      <c r="SJH1" s="70"/>
      <c r="SJI1" s="70"/>
      <c r="SJJ1" s="70"/>
      <c r="SJK1" s="70"/>
      <c r="SJL1" s="70"/>
      <c r="SJM1" s="70"/>
      <c r="SJN1" s="70"/>
      <c r="SJO1" s="70"/>
      <c r="SJP1" s="70"/>
      <c r="SJQ1" s="70"/>
      <c r="SJR1" s="70"/>
      <c r="SJS1" s="70"/>
      <c r="SJT1" s="70"/>
      <c r="SJU1" s="70"/>
      <c r="SJV1" s="70"/>
      <c r="SJW1" s="70"/>
      <c r="SJX1" s="70"/>
      <c r="SJY1" s="70"/>
      <c r="SJZ1" s="70"/>
      <c r="SKA1" s="70"/>
      <c r="SKB1" s="70"/>
      <c r="SKC1" s="70"/>
      <c r="SKD1" s="70"/>
      <c r="SKE1" s="70"/>
      <c r="SKF1" s="70"/>
      <c r="SKG1" s="70"/>
      <c r="SKH1" s="70"/>
      <c r="SKI1" s="70"/>
      <c r="SKJ1" s="70"/>
      <c r="SKK1" s="70"/>
      <c r="SKL1" s="70"/>
      <c r="SKM1" s="70"/>
      <c r="SKN1" s="70"/>
      <c r="SKO1" s="70"/>
      <c r="SKP1" s="70"/>
      <c r="SKQ1" s="70"/>
      <c r="SKR1" s="70"/>
      <c r="SKS1" s="70"/>
      <c r="SKT1" s="70"/>
      <c r="SKU1" s="70"/>
      <c r="SKV1" s="70"/>
      <c r="SKW1" s="70"/>
      <c r="SKX1" s="70"/>
      <c r="SKY1" s="70"/>
      <c r="SKZ1" s="70"/>
      <c r="SLA1" s="70"/>
      <c r="SLB1" s="70"/>
      <c r="SLC1" s="70"/>
      <c r="SLD1" s="70"/>
      <c r="SLE1" s="70"/>
      <c r="SLF1" s="70"/>
      <c r="SLG1" s="70"/>
      <c r="SLH1" s="70"/>
      <c r="SLI1" s="70"/>
      <c r="SLJ1" s="70"/>
      <c r="SLK1" s="70"/>
      <c r="SLL1" s="70"/>
      <c r="SLM1" s="70"/>
      <c r="SLN1" s="70"/>
      <c r="SLO1" s="70"/>
      <c r="SLP1" s="70"/>
      <c r="SLQ1" s="70"/>
      <c r="SLR1" s="70"/>
      <c r="SLS1" s="70"/>
      <c r="SLT1" s="70"/>
      <c r="SLU1" s="70"/>
      <c r="SLV1" s="70"/>
      <c r="SLW1" s="70"/>
      <c r="SLX1" s="70"/>
      <c r="SLY1" s="70"/>
      <c r="SLZ1" s="70"/>
      <c r="SMA1" s="70"/>
      <c r="SMB1" s="70"/>
      <c r="SMC1" s="70"/>
      <c r="SMD1" s="70"/>
      <c r="SME1" s="70"/>
      <c r="SMF1" s="70"/>
      <c r="SMG1" s="70"/>
      <c r="SMH1" s="70"/>
      <c r="SMI1" s="70"/>
      <c r="SMJ1" s="70"/>
      <c r="SMK1" s="70"/>
      <c r="SML1" s="70"/>
      <c r="SMM1" s="70"/>
      <c r="SMN1" s="70"/>
      <c r="SMO1" s="70"/>
      <c r="SMP1" s="70"/>
      <c r="SMQ1" s="70"/>
      <c r="SMR1" s="70"/>
      <c r="SMS1" s="70"/>
      <c r="SMT1" s="70"/>
      <c r="SMU1" s="70"/>
      <c r="SMV1" s="70"/>
      <c r="SMW1" s="70"/>
      <c r="SMX1" s="70"/>
      <c r="SMY1" s="70"/>
      <c r="SMZ1" s="70"/>
      <c r="SNA1" s="70"/>
      <c r="SNB1" s="70"/>
      <c r="SNC1" s="70"/>
      <c r="SND1" s="70"/>
      <c r="SNE1" s="70"/>
      <c r="SNF1" s="70"/>
      <c r="SNG1" s="70"/>
      <c r="SNH1" s="70"/>
      <c r="SNI1" s="70"/>
      <c r="SNJ1" s="70"/>
      <c r="SNK1" s="70"/>
      <c r="SNL1" s="70"/>
      <c r="SNM1" s="70"/>
      <c r="SNN1" s="70"/>
      <c r="SNO1" s="70"/>
      <c r="SNP1" s="70"/>
      <c r="SNQ1" s="70"/>
      <c r="SNR1" s="70"/>
      <c r="SNS1" s="70"/>
      <c r="SNT1" s="70"/>
      <c r="SNU1" s="70"/>
      <c r="SNV1" s="70"/>
      <c r="SNW1" s="70"/>
      <c r="SNX1" s="70"/>
      <c r="SNY1" s="70"/>
      <c r="SNZ1" s="70"/>
      <c r="SOA1" s="70"/>
      <c r="SOB1" s="70"/>
      <c r="SOC1" s="70"/>
      <c r="SOD1" s="70"/>
      <c r="SOE1" s="70"/>
      <c r="SOF1" s="70"/>
      <c r="SOG1" s="70"/>
      <c r="SOH1" s="70"/>
      <c r="SOI1" s="70"/>
      <c r="SOJ1" s="70"/>
      <c r="SOK1" s="70"/>
      <c r="SOL1" s="70"/>
      <c r="SOM1" s="70"/>
      <c r="SON1" s="70"/>
      <c r="SOO1" s="70"/>
      <c r="SOP1" s="70"/>
      <c r="SOQ1" s="70"/>
      <c r="SOR1" s="70"/>
      <c r="SOS1" s="70"/>
      <c r="SOT1" s="70"/>
      <c r="SOU1" s="70"/>
      <c r="SOV1" s="70"/>
      <c r="SOW1" s="70"/>
      <c r="SOX1" s="70"/>
      <c r="SOY1" s="70"/>
      <c r="SOZ1" s="70"/>
      <c r="SPA1" s="70"/>
      <c r="SPB1" s="70"/>
      <c r="SPC1" s="70"/>
      <c r="SPD1" s="70"/>
      <c r="SPE1" s="70"/>
      <c r="SPF1" s="70"/>
      <c r="SPG1" s="70"/>
      <c r="SPH1" s="70"/>
      <c r="SPI1" s="70"/>
      <c r="SPJ1" s="70"/>
      <c r="SPK1" s="70"/>
      <c r="SPL1" s="70"/>
      <c r="SPM1" s="70"/>
      <c r="SPN1" s="70"/>
      <c r="SPO1" s="70"/>
      <c r="SPP1" s="70"/>
      <c r="SPQ1" s="70"/>
      <c r="SPR1" s="70"/>
      <c r="SPS1" s="70"/>
      <c r="SPT1" s="70"/>
      <c r="SPU1" s="70"/>
      <c r="SPV1" s="70"/>
      <c r="SPW1" s="70"/>
      <c r="SPX1" s="70"/>
      <c r="SPY1" s="70"/>
      <c r="SPZ1" s="70"/>
      <c r="SQA1" s="70"/>
      <c r="SQB1" s="70"/>
      <c r="SQC1" s="70"/>
      <c r="SQD1" s="70"/>
      <c r="SQE1" s="70"/>
      <c r="SQF1" s="70"/>
      <c r="SQG1" s="70"/>
      <c r="SQH1" s="70"/>
      <c r="SQI1" s="70"/>
      <c r="SQJ1" s="70"/>
      <c r="SQK1" s="70"/>
      <c r="SQL1" s="70"/>
      <c r="SQM1" s="70"/>
      <c r="SQN1" s="70"/>
      <c r="SQO1" s="70"/>
      <c r="SQP1" s="70"/>
      <c r="SQQ1" s="70"/>
      <c r="SQR1" s="70"/>
      <c r="SQS1" s="70"/>
      <c r="SQT1" s="70"/>
      <c r="SQU1" s="70"/>
      <c r="SQV1" s="70"/>
      <c r="SQW1" s="70"/>
      <c r="SQX1" s="70"/>
      <c r="SQY1" s="70"/>
      <c r="SQZ1" s="70"/>
      <c r="SRA1" s="70"/>
      <c r="SRB1" s="70"/>
      <c r="SRC1" s="70"/>
      <c r="SRD1" s="70"/>
      <c r="SRE1" s="70"/>
      <c r="SRF1" s="70"/>
      <c r="SRG1" s="70"/>
      <c r="SRH1" s="70"/>
      <c r="SRI1" s="70"/>
      <c r="SRJ1" s="70"/>
      <c r="SRK1" s="70"/>
      <c r="SRL1" s="70"/>
      <c r="SRM1" s="70"/>
      <c r="SRN1" s="70"/>
      <c r="SRO1" s="70"/>
      <c r="SRP1" s="70"/>
      <c r="SRQ1" s="70"/>
      <c r="SRR1" s="70"/>
      <c r="SRS1" s="70"/>
      <c r="SRT1" s="70"/>
      <c r="SRU1" s="70"/>
      <c r="SRV1" s="70"/>
      <c r="SRW1" s="70"/>
      <c r="SRX1" s="70"/>
      <c r="SRY1" s="70"/>
      <c r="SRZ1" s="70"/>
      <c r="SSA1" s="70"/>
      <c r="SSB1" s="70"/>
      <c r="SSC1" s="70"/>
      <c r="SSD1" s="70"/>
      <c r="SSE1" s="70"/>
      <c r="SSF1" s="70"/>
      <c r="SSG1" s="70"/>
      <c r="SSH1" s="70"/>
      <c r="SSI1" s="70"/>
      <c r="SSJ1" s="70"/>
      <c r="SSK1" s="70"/>
      <c r="SSL1" s="70"/>
      <c r="SSM1" s="70"/>
      <c r="SSN1" s="70"/>
      <c r="SSO1" s="70"/>
      <c r="SSP1" s="70"/>
      <c r="SSQ1" s="70"/>
      <c r="SSR1" s="70"/>
      <c r="SSS1" s="70"/>
      <c r="SST1" s="70"/>
      <c r="SSU1" s="70"/>
      <c r="SSV1" s="70"/>
      <c r="SSW1" s="70"/>
      <c r="SSX1" s="70"/>
      <c r="SSY1" s="70"/>
      <c r="SSZ1" s="70"/>
      <c r="STA1" s="70"/>
      <c r="STB1" s="70"/>
      <c r="STC1" s="70"/>
      <c r="STD1" s="70"/>
      <c r="STE1" s="70"/>
      <c r="STF1" s="70"/>
      <c r="STG1" s="70"/>
      <c r="STH1" s="70"/>
      <c r="STI1" s="70"/>
      <c r="STJ1" s="70"/>
      <c r="STK1" s="70"/>
      <c r="STL1" s="70"/>
      <c r="STM1" s="70"/>
      <c r="STN1" s="70"/>
      <c r="STO1" s="70"/>
      <c r="STP1" s="70"/>
      <c r="STQ1" s="70"/>
      <c r="STR1" s="70"/>
      <c r="STS1" s="70"/>
      <c r="STT1" s="70"/>
      <c r="STU1" s="70"/>
      <c r="STV1" s="70"/>
      <c r="STW1" s="70"/>
      <c r="STX1" s="70"/>
      <c r="STY1" s="70"/>
      <c r="STZ1" s="70"/>
      <c r="SUA1" s="70"/>
      <c r="SUB1" s="70"/>
      <c r="SUC1" s="70"/>
      <c r="SUD1" s="70"/>
      <c r="SUE1" s="70"/>
      <c r="SUF1" s="70"/>
      <c r="SUG1" s="70"/>
      <c r="SUH1" s="70"/>
      <c r="SUI1" s="70"/>
      <c r="SUJ1" s="70"/>
      <c r="SUK1" s="70"/>
      <c r="SUL1" s="70"/>
      <c r="SUM1" s="70"/>
      <c r="SUN1" s="70"/>
      <c r="SUO1" s="70"/>
      <c r="SUP1" s="70"/>
      <c r="SUQ1" s="70"/>
      <c r="SUR1" s="70"/>
      <c r="SUS1" s="70"/>
      <c r="SUT1" s="70"/>
      <c r="SUU1" s="70"/>
      <c r="SUV1" s="70"/>
      <c r="SUW1" s="70"/>
      <c r="SUX1" s="70"/>
      <c r="SUY1" s="70"/>
      <c r="SUZ1" s="70"/>
      <c r="SVA1" s="70"/>
      <c r="SVB1" s="70"/>
      <c r="SVC1" s="70"/>
      <c r="SVD1" s="70"/>
      <c r="SVE1" s="70"/>
      <c r="SVF1" s="70"/>
      <c r="SVG1" s="70"/>
      <c r="SVH1" s="70"/>
      <c r="SVI1" s="70"/>
      <c r="SVJ1" s="70"/>
      <c r="SVK1" s="70"/>
      <c r="SVL1" s="70"/>
      <c r="SVM1" s="70"/>
      <c r="SVN1" s="70"/>
      <c r="SVO1" s="70"/>
      <c r="SVP1" s="70"/>
      <c r="SVQ1" s="70"/>
      <c r="SVR1" s="70"/>
      <c r="SVS1" s="70"/>
      <c r="SVT1" s="70"/>
      <c r="SVU1" s="70"/>
      <c r="SVV1" s="70"/>
      <c r="SVW1" s="70"/>
      <c r="SVX1" s="70"/>
      <c r="SVY1" s="70"/>
      <c r="SVZ1" s="70"/>
      <c r="SWA1" s="70"/>
      <c r="SWB1" s="70"/>
      <c r="SWC1" s="70"/>
      <c r="SWD1" s="70"/>
      <c r="SWE1" s="70"/>
      <c r="SWF1" s="70"/>
      <c r="SWG1" s="70"/>
      <c r="SWH1" s="70"/>
      <c r="SWI1" s="70"/>
      <c r="SWJ1" s="70"/>
      <c r="SWK1" s="70"/>
      <c r="SWL1" s="70"/>
      <c r="SWM1" s="70"/>
      <c r="SWN1" s="70"/>
      <c r="SWO1" s="70"/>
      <c r="SWP1" s="70"/>
      <c r="SWQ1" s="70"/>
      <c r="SWR1" s="70"/>
      <c r="SWS1" s="70"/>
      <c r="SWT1" s="70"/>
      <c r="SWU1" s="70"/>
      <c r="SWV1" s="70"/>
      <c r="SWW1" s="70"/>
      <c r="SWX1" s="70"/>
      <c r="SWY1" s="70"/>
      <c r="SWZ1" s="70"/>
      <c r="SXA1" s="70"/>
      <c r="SXB1" s="70"/>
      <c r="SXC1" s="70"/>
      <c r="SXD1" s="70"/>
      <c r="SXE1" s="70"/>
      <c r="SXF1" s="70"/>
      <c r="SXG1" s="70"/>
      <c r="SXH1" s="70"/>
      <c r="SXI1" s="70"/>
      <c r="SXJ1" s="70"/>
      <c r="SXK1" s="70"/>
      <c r="SXL1" s="70"/>
      <c r="SXM1" s="70"/>
      <c r="SXN1" s="70"/>
      <c r="SXO1" s="70"/>
      <c r="SXP1" s="70"/>
      <c r="SXQ1" s="70"/>
      <c r="SXR1" s="70"/>
      <c r="SXS1" s="70"/>
      <c r="SXT1" s="70"/>
      <c r="SXU1" s="70"/>
      <c r="SXV1" s="70"/>
      <c r="SXW1" s="70"/>
      <c r="SXX1" s="70"/>
      <c r="SXY1" s="70"/>
      <c r="SXZ1" s="70"/>
      <c r="SYA1" s="70"/>
      <c r="SYB1" s="70"/>
      <c r="SYC1" s="70"/>
      <c r="SYD1" s="70"/>
      <c r="SYE1" s="70"/>
      <c r="SYF1" s="70"/>
      <c r="SYG1" s="70"/>
      <c r="SYH1" s="70"/>
      <c r="SYI1" s="70"/>
      <c r="SYJ1" s="70"/>
      <c r="SYK1" s="70"/>
      <c r="SYL1" s="70"/>
      <c r="SYM1" s="70"/>
      <c r="SYN1" s="70"/>
      <c r="SYO1" s="70"/>
      <c r="SYP1" s="70"/>
      <c r="SYQ1" s="70"/>
      <c r="SYR1" s="70"/>
      <c r="SYS1" s="70"/>
      <c r="SYT1" s="70"/>
      <c r="SYU1" s="70"/>
      <c r="SYV1" s="70"/>
      <c r="SYW1" s="70"/>
      <c r="SYX1" s="70"/>
      <c r="SYY1" s="70"/>
      <c r="SYZ1" s="70"/>
      <c r="SZA1" s="70"/>
      <c r="SZB1" s="70"/>
      <c r="SZC1" s="70"/>
      <c r="SZD1" s="70"/>
      <c r="SZE1" s="70"/>
      <c r="SZF1" s="70"/>
      <c r="SZG1" s="70"/>
      <c r="SZH1" s="70"/>
      <c r="SZI1" s="70"/>
      <c r="SZJ1" s="70"/>
      <c r="SZK1" s="70"/>
      <c r="SZL1" s="70"/>
      <c r="SZM1" s="70"/>
      <c r="SZN1" s="70"/>
      <c r="SZO1" s="70"/>
      <c r="SZP1" s="70"/>
      <c r="SZQ1" s="70"/>
      <c r="SZR1" s="70"/>
      <c r="SZS1" s="70"/>
      <c r="SZT1" s="70"/>
      <c r="SZU1" s="70"/>
      <c r="SZV1" s="70"/>
      <c r="SZW1" s="70"/>
      <c r="SZX1" s="70"/>
      <c r="SZY1" s="70"/>
      <c r="SZZ1" s="70"/>
      <c r="TAA1" s="70"/>
      <c r="TAB1" s="70"/>
      <c r="TAC1" s="70"/>
      <c r="TAD1" s="70"/>
      <c r="TAE1" s="70"/>
      <c r="TAF1" s="70"/>
      <c r="TAG1" s="70"/>
      <c r="TAH1" s="70"/>
      <c r="TAI1" s="70"/>
      <c r="TAJ1" s="70"/>
      <c r="TAK1" s="70"/>
      <c r="TAL1" s="70"/>
      <c r="TAM1" s="70"/>
      <c r="TAN1" s="70"/>
      <c r="TAO1" s="70"/>
      <c r="TAP1" s="70"/>
      <c r="TAQ1" s="70"/>
      <c r="TAR1" s="70"/>
      <c r="TAS1" s="70"/>
      <c r="TAT1" s="70"/>
      <c r="TAU1" s="70"/>
      <c r="TAV1" s="70"/>
      <c r="TAW1" s="70"/>
      <c r="TAX1" s="70"/>
      <c r="TAY1" s="70"/>
      <c r="TAZ1" s="70"/>
      <c r="TBA1" s="70"/>
      <c r="TBB1" s="70"/>
      <c r="TBC1" s="70"/>
      <c r="TBD1" s="70"/>
      <c r="TBE1" s="70"/>
      <c r="TBF1" s="70"/>
      <c r="TBG1" s="70"/>
      <c r="TBH1" s="70"/>
      <c r="TBI1" s="70"/>
      <c r="TBJ1" s="70"/>
      <c r="TBK1" s="70"/>
      <c r="TBL1" s="70"/>
      <c r="TBM1" s="70"/>
      <c r="TBN1" s="70"/>
      <c r="TBO1" s="70"/>
      <c r="TBP1" s="70"/>
      <c r="TBQ1" s="70"/>
      <c r="TBR1" s="70"/>
      <c r="TBS1" s="70"/>
      <c r="TBT1" s="70"/>
      <c r="TBU1" s="70"/>
      <c r="TBV1" s="70"/>
      <c r="TBW1" s="70"/>
      <c r="TBX1" s="70"/>
      <c r="TBY1" s="70"/>
      <c r="TBZ1" s="70"/>
      <c r="TCA1" s="70"/>
      <c r="TCB1" s="70"/>
      <c r="TCC1" s="70"/>
      <c r="TCD1" s="70"/>
      <c r="TCE1" s="70"/>
      <c r="TCF1" s="70"/>
      <c r="TCG1" s="70"/>
      <c r="TCH1" s="70"/>
      <c r="TCI1" s="70"/>
      <c r="TCJ1" s="70"/>
      <c r="TCK1" s="70"/>
      <c r="TCL1" s="70"/>
      <c r="TCM1" s="70"/>
      <c r="TCN1" s="70"/>
      <c r="TCO1" s="70"/>
      <c r="TCP1" s="70"/>
      <c r="TCQ1" s="70"/>
      <c r="TCR1" s="70"/>
      <c r="TCS1" s="70"/>
      <c r="TCT1" s="70"/>
      <c r="TCU1" s="70"/>
      <c r="TCV1" s="70"/>
      <c r="TCW1" s="70"/>
      <c r="TCX1" s="70"/>
      <c r="TCY1" s="70"/>
      <c r="TCZ1" s="70"/>
      <c r="TDA1" s="70"/>
      <c r="TDB1" s="70"/>
      <c r="TDC1" s="70"/>
      <c r="TDD1" s="70"/>
      <c r="TDE1" s="70"/>
      <c r="TDF1" s="70"/>
      <c r="TDG1" s="70"/>
      <c r="TDH1" s="70"/>
      <c r="TDI1" s="70"/>
      <c r="TDJ1" s="70"/>
      <c r="TDK1" s="70"/>
      <c r="TDL1" s="70"/>
      <c r="TDM1" s="70"/>
      <c r="TDN1" s="70"/>
      <c r="TDO1" s="70"/>
      <c r="TDP1" s="70"/>
      <c r="TDQ1" s="70"/>
      <c r="TDR1" s="70"/>
      <c r="TDS1" s="70"/>
      <c r="TDT1" s="70"/>
      <c r="TDU1" s="70"/>
      <c r="TDV1" s="70"/>
      <c r="TDW1" s="70"/>
      <c r="TDX1" s="70"/>
      <c r="TDY1" s="70"/>
      <c r="TDZ1" s="70"/>
      <c r="TEA1" s="70"/>
      <c r="TEB1" s="70"/>
      <c r="TEC1" s="70"/>
      <c r="TED1" s="70"/>
      <c r="TEE1" s="70"/>
      <c r="TEF1" s="70"/>
      <c r="TEG1" s="70"/>
      <c r="TEH1" s="70"/>
      <c r="TEI1" s="70"/>
      <c r="TEJ1" s="70"/>
      <c r="TEK1" s="70"/>
      <c r="TEL1" s="70"/>
      <c r="TEM1" s="70"/>
      <c r="TEN1" s="70"/>
      <c r="TEO1" s="70"/>
      <c r="TEP1" s="70"/>
      <c r="TEQ1" s="70"/>
      <c r="TER1" s="70"/>
      <c r="TES1" s="70"/>
      <c r="TET1" s="70"/>
      <c r="TEU1" s="70"/>
      <c r="TEV1" s="70"/>
      <c r="TEW1" s="70"/>
      <c r="TEX1" s="70"/>
      <c r="TEY1" s="70"/>
      <c r="TEZ1" s="70"/>
      <c r="TFA1" s="70"/>
      <c r="TFB1" s="70"/>
      <c r="TFC1" s="70"/>
      <c r="TFD1" s="70"/>
      <c r="TFE1" s="70"/>
      <c r="TFF1" s="70"/>
      <c r="TFG1" s="70"/>
      <c r="TFH1" s="70"/>
      <c r="TFI1" s="70"/>
      <c r="TFJ1" s="70"/>
      <c r="TFK1" s="70"/>
      <c r="TFL1" s="70"/>
      <c r="TFM1" s="70"/>
      <c r="TFN1" s="70"/>
      <c r="TFO1" s="70"/>
      <c r="TFP1" s="70"/>
      <c r="TFQ1" s="70"/>
      <c r="TFR1" s="70"/>
      <c r="TFS1" s="70"/>
      <c r="TFT1" s="70"/>
      <c r="TFU1" s="70"/>
      <c r="TFV1" s="70"/>
      <c r="TFW1" s="70"/>
      <c r="TFX1" s="70"/>
      <c r="TFY1" s="70"/>
      <c r="TFZ1" s="70"/>
      <c r="TGA1" s="70"/>
      <c r="TGB1" s="70"/>
      <c r="TGC1" s="70"/>
      <c r="TGD1" s="70"/>
      <c r="TGE1" s="70"/>
      <c r="TGF1" s="70"/>
      <c r="TGG1" s="70"/>
      <c r="TGH1" s="70"/>
      <c r="TGI1" s="70"/>
      <c r="TGJ1" s="70"/>
      <c r="TGK1" s="70"/>
      <c r="TGL1" s="70"/>
      <c r="TGM1" s="70"/>
      <c r="TGN1" s="70"/>
      <c r="TGO1" s="70"/>
      <c r="TGP1" s="70"/>
      <c r="TGQ1" s="70"/>
      <c r="TGR1" s="70"/>
      <c r="TGS1" s="70"/>
      <c r="TGT1" s="70"/>
      <c r="TGU1" s="70"/>
      <c r="TGV1" s="70"/>
      <c r="TGW1" s="70"/>
      <c r="TGX1" s="70"/>
      <c r="TGY1" s="70"/>
      <c r="TGZ1" s="70"/>
      <c r="THA1" s="70"/>
      <c r="THB1" s="70"/>
      <c r="THC1" s="70"/>
      <c r="THD1" s="70"/>
      <c r="THE1" s="70"/>
      <c r="THF1" s="70"/>
      <c r="THG1" s="70"/>
      <c r="THH1" s="70"/>
      <c r="THI1" s="70"/>
      <c r="THJ1" s="70"/>
      <c r="THK1" s="70"/>
      <c r="THL1" s="70"/>
      <c r="THM1" s="70"/>
      <c r="THN1" s="70"/>
      <c r="THO1" s="70"/>
      <c r="THP1" s="70"/>
      <c r="THQ1" s="70"/>
      <c r="THR1" s="70"/>
      <c r="THS1" s="70"/>
      <c r="THT1" s="70"/>
      <c r="THU1" s="70"/>
      <c r="THV1" s="70"/>
      <c r="THW1" s="70"/>
      <c r="THX1" s="70"/>
      <c r="THY1" s="70"/>
      <c r="THZ1" s="70"/>
      <c r="TIA1" s="70"/>
      <c r="TIB1" s="70"/>
      <c r="TIC1" s="70"/>
      <c r="TID1" s="70"/>
      <c r="TIE1" s="70"/>
      <c r="TIF1" s="70"/>
      <c r="TIG1" s="70"/>
      <c r="TIH1" s="70"/>
      <c r="TII1" s="70"/>
      <c r="TIJ1" s="70"/>
      <c r="TIK1" s="70"/>
      <c r="TIL1" s="70"/>
      <c r="TIM1" s="70"/>
      <c r="TIN1" s="70"/>
      <c r="TIO1" s="70"/>
      <c r="TIP1" s="70"/>
      <c r="TIQ1" s="70"/>
      <c r="TIR1" s="70"/>
      <c r="TIS1" s="70"/>
      <c r="TIT1" s="70"/>
      <c r="TIU1" s="70"/>
      <c r="TIV1" s="70"/>
      <c r="TIW1" s="70"/>
      <c r="TIX1" s="70"/>
      <c r="TIY1" s="70"/>
      <c r="TIZ1" s="70"/>
      <c r="TJA1" s="70"/>
      <c r="TJB1" s="70"/>
      <c r="TJC1" s="70"/>
      <c r="TJD1" s="70"/>
      <c r="TJE1" s="70"/>
      <c r="TJF1" s="70"/>
      <c r="TJG1" s="70"/>
      <c r="TJH1" s="70"/>
      <c r="TJI1" s="70"/>
      <c r="TJJ1" s="70"/>
      <c r="TJK1" s="70"/>
      <c r="TJL1" s="70"/>
      <c r="TJM1" s="70"/>
      <c r="TJN1" s="70"/>
      <c r="TJO1" s="70"/>
      <c r="TJP1" s="70"/>
      <c r="TJQ1" s="70"/>
      <c r="TJR1" s="70"/>
      <c r="TJS1" s="70"/>
      <c r="TJT1" s="70"/>
      <c r="TJU1" s="70"/>
      <c r="TJV1" s="70"/>
      <c r="TJW1" s="70"/>
      <c r="TJX1" s="70"/>
      <c r="TJY1" s="70"/>
      <c r="TJZ1" s="70"/>
      <c r="TKA1" s="70"/>
      <c r="TKB1" s="70"/>
      <c r="TKC1" s="70"/>
      <c r="TKD1" s="70"/>
      <c r="TKE1" s="70"/>
      <c r="TKF1" s="70"/>
      <c r="TKG1" s="70"/>
      <c r="TKH1" s="70"/>
      <c r="TKI1" s="70"/>
      <c r="TKJ1" s="70"/>
      <c r="TKK1" s="70"/>
      <c r="TKL1" s="70"/>
      <c r="TKM1" s="70"/>
      <c r="TKN1" s="70"/>
      <c r="TKO1" s="70"/>
      <c r="TKP1" s="70"/>
      <c r="TKQ1" s="70"/>
      <c r="TKR1" s="70"/>
      <c r="TKS1" s="70"/>
      <c r="TKT1" s="70"/>
      <c r="TKU1" s="70"/>
      <c r="TKV1" s="70"/>
      <c r="TKW1" s="70"/>
      <c r="TKX1" s="70"/>
      <c r="TKY1" s="70"/>
      <c r="TKZ1" s="70"/>
      <c r="TLA1" s="70"/>
      <c r="TLB1" s="70"/>
      <c r="TLC1" s="70"/>
      <c r="TLD1" s="70"/>
      <c r="TLE1" s="70"/>
      <c r="TLF1" s="70"/>
      <c r="TLG1" s="70"/>
      <c r="TLH1" s="70"/>
      <c r="TLI1" s="70"/>
      <c r="TLJ1" s="70"/>
      <c r="TLK1" s="70"/>
      <c r="TLL1" s="70"/>
      <c r="TLM1" s="70"/>
      <c r="TLN1" s="70"/>
      <c r="TLO1" s="70"/>
      <c r="TLP1" s="70"/>
      <c r="TLQ1" s="70"/>
      <c r="TLR1" s="70"/>
      <c r="TLS1" s="70"/>
      <c r="TLT1" s="70"/>
      <c r="TLU1" s="70"/>
      <c r="TLV1" s="70"/>
      <c r="TLW1" s="70"/>
      <c r="TLX1" s="70"/>
      <c r="TLY1" s="70"/>
      <c r="TLZ1" s="70"/>
      <c r="TMA1" s="70"/>
      <c r="TMB1" s="70"/>
      <c r="TMC1" s="70"/>
      <c r="TMD1" s="70"/>
      <c r="TME1" s="70"/>
      <c r="TMF1" s="70"/>
      <c r="TMG1" s="70"/>
      <c r="TMH1" s="70"/>
      <c r="TMI1" s="70"/>
      <c r="TMJ1" s="70"/>
      <c r="TMK1" s="70"/>
      <c r="TML1" s="70"/>
      <c r="TMM1" s="70"/>
      <c r="TMN1" s="70"/>
      <c r="TMO1" s="70"/>
      <c r="TMP1" s="70"/>
      <c r="TMQ1" s="70"/>
      <c r="TMR1" s="70"/>
      <c r="TMS1" s="70"/>
      <c r="TMT1" s="70"/>
      <c r="TMU1" s="70"/>
      <c r="TMV1" s="70"/>
      <c r="TMW1" s="70"/>
      <c r="TMX1" s="70"/>
      <c r="TMY1" s="70"/>
      <c r="TMZ1" s="70"/>
      <c r="TNA1" s="70"/>
      <c r="TNB1" s="70"/>
      <c r="TNC1" s="70"/>
      <c r="TND1" s="70"/>
      <c r="TNE1" s="70"/>
      <c r="TNF1" s="70"/>
      <c r="TNG1" s="70"/>
      <c r="TNH1" s="70"/>
      <c r="TNI1" s="70"/>
      <c r="TNJ1" s="70"/>
      <c r="TNK1" s="70"/>
      <c r="TNL1" s="70"/>
      <c r="TNM1" s="70"/>
      <c r="TNN1" s="70"/>
      <c r="TNO1" s="70"/>
      <c r="TNP1" s="70"/>
      <c r="TNQ1" s="70"/>
      <c r="TNR1" s="70"/>
      <c r="TNS1" s="70"/>
      <c r="TNT1" s="70"/>
      <c r="TNU1" s="70"/>
      <c r="TNV1" s="70"/>
      <c r="TNW1" s="70"/>
      <c r="TNX1" s="70"/>
      <c r="TNY1" s="70"/>
      <c r="TNZ1" s="70"/>
      <c r="TOA1" s="70"/>
      <c r="TOB1" s="70"/>
      <c r="TOC1" s="70"/>
      <c r="TOD1" s="70"/>
      <c r="TOE1" s="70"/>
      <c r="TOF1" s="70"/>
      <c r="TOG1" s="70"/>
      <c r="TOH1" s="70"/>
      <c r="TOI1" s="70"/>
      <c r="TOJ1" s="70"/>
      <c r="TOK1" s="70"/>
      <c r="TOL1" s="70"/>
      <c r="TOM1" s="70"/>
      <c r="TON1" s="70"/>
      <c r="TOO1" s="70"/>
      <c r="TOP1" s="70"/>
      <c r="TOQ1" s="70"/>
      <c r="TOR1" s="70"/>
      <c r="TOS1" s="70"/>
      <c r="TOT1" s="70"/>
      <c r="TOU1" s="70"/>
      <c r="TOV1" s="70"/>
      <c r="TOW1" s="70"/>
      <c r="TOX1" s="70"/>
      <c r="TOY1" s="70"/>
      <c r="TOZ1" s="70"/>
      <c r="TPA1" s="70"/>
      <c r="TPB1" s="70"/>
      <c r="TPC1" s="70"/>
      <c r="TPD1" s="70"/>
      <c r="TPE1" s="70"/>
      <c r="TPF1" s="70"/>
      <c r="TPG1" s="70"/>
      <c r="TPH1" s="70"/>
      <c r="TPI1" s="70"/>
      <c r="TPJ1" s="70"/>
      <c r="TPK1" s="70"/>
      <c r="TPL1" s="70"/>
      <c r="TPM1" s="70"/>
      <c r="TPN1" s="70"/>
      <c r="TPO1" s="70"/>
      <c r="TPP1" s="70"/>
      <c r="TPQ1" s="70"/>
      <c r="TPR1" s="70"/>
      <c r="TPS1" s="70"/>
      <c r="TPT1" s="70"/>
      <c r="TPU1" s="70"/>
      <c r="TPV1" s="70"/>
      <c r="TPW1" s="70"/>
      <c r="TPX1" s="70"/>
      <c r="TPY1" s="70"/>
      <c r="TPZ1" s="70"/>
      <c r="TQA1" s="70"/>
      <c r="TQB1" s="70"/>
      <c r="TQC1" s="70"/>
      <c r="TQD1" s="70"/>
      <c r="TQE1" s="70"/>
      <c r="TQF1" s="70"/>
      <c r="TQG1" s="70"/>
      <c r="TQH1" s="70"/>
      <c r="TQI1" s="70"/>
      <c r="TQJ1" s="70"/>
      <c r="TQK1" s="70"/>
      <c r="TQL1" s="70"/>
      <c r="TQM1" s="70"/>
      <c r="TQN1" s="70"/>
      <c r="TQO1" s="70"/>
      <c r="TQP1" s="70"/>
      <c r="TQQ1" s="70"/>
      <c r="TQR1" s="70"/>
      <c r="TQS1" s="70"/>
      <c r="TQT1" s="70"/>
      <c r="TQU1" s="70"/>
      <c r="TQV1" s="70"/>
      <c r="TQW1" s="70"/>
      <c r="TQX1" s="70"/>
      <c r="TQY1" s="70"/>
      <c r="TQZ1" s="70"/>
      <c r="TRA1" s="70"/>
      <c r="TRB1" s="70"/>
      <c r="TRC1" s="70"/>
      <c r="TRD1" s="70"/>
      <c r="TRE1" s="70"/>
      <c r="TRF1" s="70"/>
      <c r="TRG1" s="70"/>
      <c r="TRH1" s="70"/>
      <c r="TRI1" s="70"/>
      <c r="TRJ1" s="70"/>
      <c r="TRK1" s="70"/>
      <c r="TRL1" s="70"/>
      <c r="TRM1" s="70"/>
      <c r="TRN1" s="70"/>
      <c r="TRO1" s="70"/>
      <c r="TRP1" s="70"/>
      <c r="TRQ1" s="70"/>
      <c r="TRR1" s="70"/>
      <c r="TRS1" s="70"/>
      <c r="TRT1" s="70"/>
      <c r="TRU1" s="70"/>
      <c r="TRV1" s="70"/>
      <c r="TRW1" s="70"/>
      <c r="TRX1" s="70"/>
      <c r="TRY1" s="70"/>
      <c r="TRZ1" s="70"/>
      <c r="TSA1" s="70"/>
      <c r="TSB1" s="70"/>
      <c r="TSC1" s="70"/>
      <c r="TSD1" s="70"/>
      <c r="TSE1" s="70"/>
      <c r="TSF1" s="70"/>
      <c r="TSG1" s="70"/>
      <c r="TSH1" s="70"/>
      <c r="TSI1" s="70"/>
      <c r="TSJ1" s="70"/>
      <c r="TSK1" s="70"/>
      <c r="TSL1" s="70"/>
      <c r="TSM1" s="70"/>
      <c r="TSN1" s="70"/>
      <c r="TSO1" s="70"/>
      <c r="TSP1" s="70"/>
      <c r="TSQ1" s="70"/>
      <c r="TSR1" s="70"/>
      <c r="TSS1" s="70"/>
      <c r="TST1" s="70"/>
      <c r="TSU1" s="70"/>
      <c r="TSV1" s="70"/>
      <c r="TSW1" s="70"/>
      <c r="TSX1" s="70"/>
      <c r="TSY1" s="70"/>
      <c r="TSZ1" s="70"/>
      <c r="TTA1" s="70"/>
      <c r="TTB1" s="70"/>
      <c r="TTC1" s="70"/>
      <c r="TTD1" s="70"/>
      <c r="TTE1" s="70"/>
      <c r="TTF1" s="70"/>
      <c r="TTG1" s="70"/>
      <c r="TTH1" s="70"/>
      <c r="TTI1" s="70"/>
      <c r="TTJ1" s="70"/>
      <c r="TTK1" s="70"/>
      <c r="TTL1" s="70"/>
      <c r="TTM1" s="70"/>
      <c r="TTN1" s="70"/>
      <c r="TTO1" s="70"/>
      <c r="TTP1" s="70"/>
      <c r="TTQ1" s="70"/>
      <c r="TTR1" s="70"/>
      <c r="TTS1" s="70"/>
      <c r="TTT1" s="70"/>
      <c r="TTU1" s="70"/>
      <c r="TTV1" s="70"/>
      <c r="TTW1" s="70"/>
      <c r="TTX1" s="70"/>
      <c r="TTY1" s="70"/>
      <c r="TTZ1" s="70"/>
      <c r="TUA1" s="70"/>
      <c r="TUB1" s="70"/>
      <c r="TUC1" s="70"/>
      <c r="TUD1" s="70"/>
      <c r="TUE1" s="70"/>
      <c r="TUF1" s="70"/>
      <c r="TUG1" s="70"/>
      <c r="TUH1" s="70"/>
      <c r="TUI1" s="70"/>
      <c r="TUJ1" s="70"/>
      <c r="TUK1" s="70"/>
      <c r="TUL1" s="70"/>
      <c r="TUM1" s="70"/>
      <c r="TUN1" s="70"/>
      <c r="TUO1" s="70"/>
      <c r="TUP1" s="70"/>
      <c r="TUQ1" s="70"/>
      <c r="TUR1" s="70"/>
      <c r="TUS1" s="70"/>
      <c r="TUT1" s="70"/>
      <c r="TUU1" s="70"/>
      <c r="TUV1" s="70"/>
      <c r="TUW1" s="70"/>
      <c r="TUX1" s="70"/>
      <c r="TUY1" s="70"/>
      <c r="TUZ1" s="70"/>
      <c r="TVA1" s="70"/>
      <c r="TVB1" s="70"/>
      <c r="TVC1" s="70"/>
      <c r="TVD1" s="70"/>
      <c r="TVE1" s="70"/>
      <c r="TVF1" s="70"/>
      <c r="TVG1" s="70"/>
      <c r="TVH1" s="70"/>
      <c r="TVI1" s="70"/>
      <c r="TVJ1" s="70"/>
      <c r="TVK1" s="70"/>
      <c r="TVL1" s="70"/>
      <c r="TVM1" s="70"/>
      <c r="TVN1" s="70"/>
      <c r="TVO1" s="70"/>
      <c r="TVP1" s="70"/>
      <c r="TVQ1" s="70"/>
      <c r="TVR1" s="70"/>
      <c r="TVS1" s="70"/>
      <c r="TVT1" s="70"/>
      <c r="TVU1" s="70"/>
      <c r="TVV1" s="70"/>
      <c r="TVW1" s="70"/>
      <c r="TVX1" s="70"/>
      <c r="TVY1" s="70"/>
      <c r="TVZ1" s="70"/>
      <c r="TWA1" s="70"/>
      <c r="TWB1" s="70"/>
      <c r="TWC1" s="70"/>
      <c r="TWD1" s="70"/>
      <c r="TWE1" s="70"/>
      <c r="TWF1" s="70"/>
      <c r="TWG1" s="70"/>
      <c r="TWH1" s="70"/>
      <c r="TWI1" s="70"/>
      <c r="TWJ1" s="70"/>
      <c r="TWK1" s="70"/>
      <c r="TWL1" s="70"/>
      <c r="TWM1" s="70"/>
      <c r="TWN1" s="70"/>
      <c r="TWO1" s="70"/>
      <c r="TWP1" s="70"/>
      <c r="TWQ1" s="70"/>
      <c r="TWR1" s="70"/>
      <c r="TWS1" s="70"/>
      <c r="TWT1" s="70"/>
      <c r="TWU1" s="70"/>
      <c r="TWV1" s="70"/>
      <c r="TWW1" s="70"/>
      <c r="TWX1" s="70"/>
      <c r="TWY1" s="70"/>
      <c r="TWZ1" s="70"/>
      <c r="TXA1" s="70"/>
      <c r="TXB1" s="70"/>
      <c r="TXC1" s="70"/>
      <c r="TXD1" s="70"/>
      <c r="TXE1" s="70"/>
      <c r="TXF1" s="70"/>
      <c r="TXG1" s="70"/>
      <c r="TXH1" s="70"/>
      <c r="TXI1" s="70"/>
      <c r="TXJ1" s="70"/>
      <c r="TXK1" s="70"/>
      <c r="TXL1" s="70"/>
      <c r="TXM1" s="70"/>
      <c r="TXN1" s="70"/>
      <c r="TXO1" s="70"/>
      <c r="TXP1" s="70"/>
      <c r="TXQ1" s="70"/>
      <c r="TXR1" s="70"/>
      <c r="TXS1" s="70"/>
      <c r="TXT1" s="70"/>
      <c r="TXU1" s="70"/>
      <c r="TXV1" s="70"/>
      <c r="TXW1" s="70"/>
      <c r="TXX1" s="70"/>
      <c r="TXY1" s="70"/>
      <c r="TXZ1" s="70"/>
      <c r="TYA1" s="70"/>
      <c r="TYB1" s="70"/>
      <c r="TYC1" s="70"/>
      <c r="TYD1" s="70"/>
      <c r="TYE1" s="70"/>
      <c r="TYF1" s="70"/>
      <c r="TYG1" s="70"/>
      <c r="TYH1" s="70"/>
      <c r="TYI1" s="70"/>
      <c r="TYJ1" s="70"/>
      <c r="TYK1" s="70"/>
      <c r="TYL1" s="70"/>
      <c r="TYM1" s="70"/>
      <c r="TYN1" s="70"/>
      <c r="TYO1" s="70"/>
      <c r="TYP1" s="70"/>
      <c r="TYQ1" s="70"/>
      <c r="TYR1" s="70"/>
      <c r="TYS1" s="70"/>
      <c r="TYT1" s="70"/>
      <c r="TYU1" s="70"/>
      <c r="TYV1" s="70"/>
      <c r="TYW1" s="70"/>
      <c r="TYX1" s="70"/>
      <c r="TYY1" s="70"/>
      <c r="TYZ1" s="70"/>
      <c r="TZA1" s="70"/>
      <c r="TZB1" s="70"/>
      <c r="TZC1" s="70"/>
      <c r="TZD1" s="70"/>
      <c r="TZE1" s="70"/>
      <c r="TZF1" s="70"/>
      <c r="TZG1" s="70"/>
      <c r="TZH1" s="70"/>
      <c r="TZI1" s="70"/>
      <c r="TZJ1" s="70"/>
      <c r="TZK1" s="70"/>
      <c r="TZL1" s="70"/>
      <c r="TZM1" s="70"/>
      <c r="TZN1" s="70"/>
      <c r="TZO1" s="70"/>
      <c r="TZP1" s="70"/>
      <c r="TZQ1" s="70"/>
      <c r="TZR1" s="70"/>
      <c r="TZS1" s="70"/>
      <c r="TZT1" s="70"/>
      <c r="TZU1" s="70"/>
      <c r="TZV1" s="70"/>
      <c r="TZW1" s="70"/>
      <c r="TZX1" s="70"/>
      <c r="TZY1" s="70"/>
      <c r="TZZ1" s="70"/>
      <c r="UAA1" s="70"/>
      <c r="UAB1" s="70"/>
      <c r="UAC1" s="70"/>
      <c r="UAD1" s="70"/>
      <c r="UAE1" s="70"/>
      <c r="UAF1" s="70"/>
      <c r="UAG1" s="70"/>
      <c r="UAH1" s="70"/>
      <c r="UAI1" s="70"/>
      <c r="UAJ1" s="70"/>
      <c r="UAK1" s="70"/>
      <c r="UAL1" s="70"/>
      <c r="UAM1" s="70"/>
      <c r="UAN1" s="70"/>
      <c r="UAO1" s="70"/>
      <c r="UAP1" s="70"/>
      <c r="UAQ1" s="70"/>
      <c r="UAR1" s="70"/>
      <c r="UAS1" s="70"/>
      <c r="UAT1" s="70"/>
      <c r="UAU1" s="70"/>
      <c r="UAV1" s="70"/>
      <c r="UAW1" s="70"/>
      <c r="UAX1" s="70"/>
      <c r="UAY1" s="70"/>
      <c r="UAZ1" s="70"/>
      <c r="UBA1" s="70"/>
      <c r="UBB1" s="70"/>
      <c r="UBC1" s="70"/>
      <c r="UBD1" s="70"/>
      <c r="UBE1" s="70"/>
      <c r="UBF1" s="70"/>
      <c r="UBG1" s="70"/>
      <c r="UBH1" s="70"/>
      <c r="UBI1" s="70"/>
      <c r="UBJ1" s="70"/>
      <c r="UBK1" s="70"/>
      <c r="UBL1" s="70"/>
      <c r="UBM1" s="70"/>
      <c r="UBN1" s="70"/>
      <c r="UBO1" s="70"/>
      <c r="UBP1" s="70"/>
      <c r="UBQ1" s="70"/>
      <c r="UBR1" s="70"/>
      <c r="UBS1" s="70"/>
      <c r="UBT1" s="70"/>
      <c r="UBU1" s="70"/>
      <c r="UBV1" s="70"/>
      <c r="UBW1" s="70"/>
      <c r="UBX1" s="70"/>
      <c r="UBY1" s="70"/>
      <c r="UBZ1" s="70"/>
      <c r="UCA1" s="70"/>
      <c r="UCB1" s="70"/>
      <c r="UCC1" s="70"/>
      <c r="UCD1" s="70"/>
      <c r="UCE1" s="70"/>
      <c r="UCF1" s="70"/>
      <c r="UCG1" s="70"/>
      <c r="UCH1" s="70"/>
      <c r="UCI1" s="70"/>
      <c r="UCJ1" s="70"/>
      <c r="UCK1" s="70"/>
      <c r="UCL1" s="70"/>
      <c r="UCM1" s="70"/>
      <c r="UCN1" s="70"/>
      <c r="UCO1" s="70"/>
      <c r="UCP1" s="70"/>
      <c r="UCQ1" s="70"/>
      <c r="UCR1" s="70"/>
      <c r="UCS1" s="70"/>
      <c r="UCT1" s="70"/>
      <c r="UCU1" s="70"/>
      <c r="UCV1" s="70"/>
      <c r="UCW1" s="70"/>
      <c r="UCX1" s="70"/>
      <c r="UCY1" s="70"/>
      <c r="UCZ1" s="70"/>
      <c r="UDA1" s="70"/>
      <c r="UDB1" s="70"/>
      <c r="UDC1" s="70"/>
      <c r="UDD1" s="70"/>
      <c r="UDE1" s="70"/>
      <c r="UDF1" s="70"/>
      <c r="UDG1" s="70"/>
      <c r="UDH1" s="70"/>
      <c r="UDI1" s="70"/>
      <c r="UDJ1" s="70"/>
      <c r="UDK1" s="70"/>
      <c r="UDL1" s="70"/>
      <c r="UDM1" s="70"/>
      <c r="UDN1" s="70"/>
      <c r="UDO1" s="70"/>
      <c r="UDP1" s="70"/>
      <c r="UDQ1" s="70"/>
      <c r="UDR1" s="70"/>
      <c r="UDS1" s="70"/>
      <c r="UDT1" s="70"/>
      <c r="UDU1" s="70"/>
      <c r="UDV1" s="70"/>
      <c r="UDW1" s="70"/>
      <c r="UDX1" s="70"/>
      <c r="UDY1" s="70"/>
      <c r="UDZ1" s="70"/>
      <c r="UEA1" s="70"/>
      <c r="UEB1" s="70"/>
      <c r="UEC1" s="70"/>
      <c r="UED1" s="70"/>
      <c r="UEE1" s="70"/>
      <c r="UEF1" s="70"/>
      <c r="UEG1" s="70"/>
      <c r="UEH1" s="70"/>
      <c r="UEI1" s="70"/>
      <c r="UEJ1" s="70"/>
      <c r="UEK1" s="70"/>
      <c r="UEL1" s="70"/>
      <c r="UEM1" s="70"/>
      <c r="UEN1" s="70"/>
      <c r="UEO1" s="70"/>
      <c r="UEP1" s="70"/>
      <c r="UEQ1" s="70"/>
      <c r="UER1" s="70"/>
      <c r="UES1" s="70"/>
      <c r="UET1" s="70"/>
      <c r="UEU1" s="70"/>
      <c r="UEV1" s="70"/>
      <c r="UEW1" s="70"/>
      <c r="UEX1" s="70"/>
      <c r="UEY1" s="70"/>
      <c r="UEZ1" s="70"/>
      <c r="UFA1" s="70"/>
      <c r="UFB1" s="70"/>
      <c r="UFC1" s="70"/>
      <c r="UFD1" s="70"/>
      <c r="UFE1" s="70"/>
      <c r="UFF1" s="70"/>
      <c r="UFG1" s="70"/>
      <c r="UFH1" s="70"/>
      <c r="UFI1" s="70"/>
      <c r="UFJ1" s="70"/>
      <c r="UFK1" s="70"/>
      <c r="UFL1" s="70"/>
      <c r="UFM1" s="70"/>
      <c r="UFN1" s="70"/>
      <c r="UFO1" s="70"/>
      <c r="UFP1" s="70"/>
      <c r="UFQ1" s="70"/>
      <c r="UFR1" s="70"/>
      <c r="UFS1" s="70"/>
      <c r="UFT1" s="70"/>
      <c r="UFU1" s="70"/>
      <c r="UFV1" s="70"/>
      <c r="UFW1" s="70"/>
      <c r="UFX1" s="70"/>
      <c r="UFY1" s="70"/>
      <c r="UFZ1" s="70"/>
      <c r="UGA1" s="70"/>
      <c r="UGB1" s="70"/>
      <c r="UGC1" s="70"/>
      <c r="UGD1" s="70"/>
      <c r="UGE1" s="70"/>
      <c r="UGF1" s="70"/>
      <c r="UGG1" s="70"/>
      <c r="UGH1" s="70"/>
      <c r="UGI1" s="70"/>
      <c r="UGJ1" s="70"/>
      <c r="UGK1" s="70"/>
      <c r="UGL1" s="70"/>
      <c r="UGM1" s="70"/>
      <c r="UGN1" s="70"/>
      <c r="UGO1" s="70"/>
      <c r="UGP1" s="70"/>
      <c r="UGQ1" s="70"/>
      <c r="UGR1" s="70"/>
      <c r="UGS1" s="70"/>
      <c r="UGT1" s="70"/>
      <c r="UGU1" s="70"/>
      <c r="UGV1" s="70"/>
      <c r="UGW1" s="70"/>
      <c r="UGX1" s="70"/>
      <c r="UGY1" s="70"/>
      <c r="UGZ1" s="70"/>
      <c r="UHA1" s="70"/>
      <c r="UHB1" s="70"/>
      <c r="UHC1" s="70"/>
      <c r="UHD1" s="70"/>
      <c r="UHE1" s="70"/>
      <c r="UHF1" s="70"/>
      <c r="UHG1" s="70"/>
      <c r="UHH1" s="70"/>
      <c r="UHI1" s="70"/>
      <c r="UHJ1" s="70"/>
      <c r="UHK1" s="70"/>
      <c r="UHL1" s="70"/>
      <c r="UHM1" s="70"/>
      <c r="UHN1" s="70"/>
      <c r="UHO1" s="70"/>
      <c r="UHP1" s="70"/>
      <c r="UHQ1" s="70"/>
      <c r="UHR1" s="70"/>
      <c r="UHS1" s="70"/>
      <c r="UHT1" s="70"/>
      <c r="UHU1" s="70"/>
      <c r="UHV1" s="70"/>
      <c r="UHW1" s="70"/>
      <c r="UHX1" s="70"/>
      <c r="UHY1" s="70"/>
      <c r="UHZ1" s="70"/>
      <c r="UIA1" s="70"/>
      <c r="UIB1" s="70"/>
      <c r="UIC1" s="70"/>
      <c r="UID1" s="70"/>
      <c r="UIE1" s="70"/>
      <c r="UIF1" s="70"/>
      <c r="UIG1" s="70"/>
      <c r="UIH1" s="70"/>
      <c r="UII1" s="70"/>
      <c r="UIJ1" s="70"/>
      <c r="UIK1" s="70"/>
      <c r="UIL1" s="70"/>
      <c r="UIM1" s="70"/>
      <c r="UIN1" s="70"/>
      <c r="UIO1" s="70"/>
      <c r="UIP1" s="70"/>
      <c r="UIQ1" s="70"/>
      <c r="UIR1" s="70"/>
      <c r="UIS1" s="70"/>
      <c r="UIT1" s="70"/>
      <c r="UIU1" s="70"/>
      <c r="UIV1" s="70"/>
      <c r="UIW1" s="70"/>
      <c r="UIX1" s="70"/>
      <c r="UIY1" s="70"/>
      <c r="UIZ1" s="70"/>
      <c r="UJA1" s="70"/>
      <c r="UJB1" s="70"/>
      <c r="UJC1" s="70"/>
      <c r="UJD1" s="70"/>
      <c r="UJE1" s="70"/>
      <c r="UJF1" s="70"/>
      <c r="UJG1" s="70"/>
      <c r="UJH1" s="70"/>
      <c r="UJI1" s="70"/>
      <c r="UJJ1" s="70"/>
      <c r="UJK1" s="70"/>
      <c r="UJL1" s="70"/>
      <c r="UJM1" s="70"/>
      <c r="UJN1" s="70"/>
      <c r="UJO1" s="70"/>
      <c r="UJP1" s="70"/>
      <c r="UJQ1" s="70"/>
      <c r="UJR1" s="70"/>
      <c r="UJS1" s="70"/>
      <c r="UJT1" s="70"/>
      <c r="UJU1" s="70"/>
      <c r="UJV1" s="70"/>
      <c r="UJW1" s="70"/>
      <c r="UJX1" s="70"/>
      <c r="UJY1" s="70"/>
      <c r="UJZ1" s="70"/>
      <c r="UKA1" s="70"/>
      <c r="UKB1" s="70"/>
      <c r="UKC1" s="70"/>
      <c r="UKD1" s="70"/>
      <c r="UKE1" s="70"/>
      <c r="UKF1" s="70"/>
      <c r="UKG1" s="70"/>
      <c r="UKH1" s="70"/>
      <c r="UKI1" s="70"/>
      <c r="UKJ1" s="70"/>
      <c r="UKK1" s="70"/>
      <c r="UKL1" s="70"/>
      <c r="UKM1" s="70"/>
      <c r="UKN1" s="70"/>
      <c r="UKO1" s="70"/>
      <c r="UKP1" s="70"/>
      <c r="UKQ1" s="70"/>
      <c r="UKR1" s="70"/>
      <c r="UKS1" s="70"/>
      <c r="UKT1" s="70"/>
      <c r="UKU1" s="70"/>
      <c r="UKV1" s="70"/>
      <c r="UKW1" s="70"/>
      <c r="UKX1" s="70"/>
      <c r="UKY1" s="70"/>
      <c r="UKZ1" s="70"/>
      <c r="ULA1" s="70"/>
      <c r="ULB1" s="70"/>
      <c r="ULC1" s="70"/>
      <c r="ULD1" s="70"/>
      <c r="ULE1" s="70"/>
      <c r="ULF1" s="70"/>
      <c r="ULG1" s="70"/>
      <c r="ULH1" s="70"/>
      <c r="ULI1" s="70"/>
      <c r="ULJ1" s="70"/>
      <c r="ULK1" s="70"/>
      <c r="ULL1" s="70"/>
      <c r="ULM1" s="70"/>
      <c r="ULN1" s="70"/>
      <c r="ULO1" s="70"/>
      <c r="ULP1" s="70"/>
      <c r="ULQ1" s="70"/>
      <c r="ULR1" s="70"/>
      <c r="ULS1" s="70"/>
      <c r="ULT1" s="70"/>
      <c r="ULU1" s="70"/>
      <c r="ULV1" s="70"/>
      <c r="ULW1" s="70"/>
      <c r="ULX1" s="70"/>
      <c r="ULY1" s="70"/>
      <c r="ULZ1" s="70"/>
      <c r="UMA1" s="70"/>
      <c r="UMB1" s="70"/>
      <c r="UMC1" s="70"/>
      <c r="UMD1" s="70"/>
      <c r="UME1" s="70"/>
      <c r="UMF1" s="70"/>
      <c r="UMG1" s="70"/>
      <c r="UMH1" s="70"/>
      <c r="UMI1" s="70"/>
      <c r="UMJ1" s="70"/>
      <c r="UMK1" s="70"/>
      <c r="UML1" s="70"/>
      <c r="UMM1" s="70"/>
      <c r="UMN1" s="70"/>
      <c r="UMO1" s="70"/>
      <c r="UMP1" s="70"/>
      <c r="UMQ1" s="70"/>
      <c r="UMR1" s="70"/>
      <c r="UMS1" s="70"/>
      <c r="UMT1" s="70"/>
      <c r="UMU1" s="70"/>
      <c r="UMV1" s="70"/>
      <c r="UMW1" s="70"/>
      <c r="UMX1" s="70"/>
      <c r="UMY1" s="70"/>
      <c r="UMZ1" s="70"/>
      <c r="UNA1" s="70"/>
      <c r="UNB1" s="70"/>
      <c r="UNC1" s="70"/>
      <c r="UND1" s="70"/>
      <c r="UNE1" s="70"/>
      <c r="UNF1" s="70"/>
      <c r="UNG1" s="70"/>
      <c r="UNH1" s="70"/>
      <c r="UNI1" s="70"/>
      <c r="UNJ1" s="70"/>
      <c r="UNK1" s="70"/>
      <c r="UNL1" s="70"/>
      <c r="UNM1" s="70"/>
      <c r="UNN1" s="70"/>
      <c r="UNO1" s="70"/>
      <c r="UNP1" s="70"/>
      <c r="UNQ1" s="70"/>
      <c r="UNR1" s="70"/>
      <c r="UNS1" s="70"/>
      <c r="UNT1" s="70"/>
      <c r="UNU1" s="70"/>
      <c r="UNV1" s="70"/>
      <c r="UNW1" s="70"/>
      <c r="UNX1" s="70"/>
      <c r="UNY1" s="70"/>
      <c r="UNZ1" s="70"/>
      <c r="UOA1" s="70"/>
      <c r="UOB1" s="70"/>
      <c r="UOC1" s="70"/>
      <c r="UOD1" s="70"/>
      <c r="UOE1" s="70"/>
      <c r="UOF1" s="70"/>
      <c r="UOG1" s="70"/>
      <c r="UOH1" s="70"/>
      <c r="UOI1" s="70"/>
      <c r="UOJ1" s="70"/>
      <c r="UOK1" s="70"/>
      <c r="UOL1" s="70"/>
      <c r="UOM1" s="70"/>
      <c r="UON1" s="70"/>
      <c r="UOO1" s="70"/>
      <c r="UOP1" s="70"/>
      <c r="UOQ1" s="70"/>
      <c r="UOR1" s="70"/>
      <c r="UOS1" s="70"/>
      <c r="UOT1" s="70"/>
      <c r="UOU1" s="70"/>
      <c r="UOV1" s="70"/>
      <c r="UOW1" s="70"/>
      <c r="UOX1" s="70"/>
      <c r="UOY1" s="70"/>
      <c r="UOZ1" s="70"/>
      <c r="UPA1" s="70"/>
      <c r="UPB1" s="70"/>
      <c r="UPC1" s="70"/>
      <c r="UPD1" s="70"/>
      <c r="UPE1" s="70"/>
      <c r="UPF1" s="70"/>
      <c r="UPG1" s="70"/>
      <c r="UPH1" s="70"/>
      <c r="UPI1" s="70"/>
      <c r="UPJ1" s="70"/>
      <c r="UPK1" s="70"/>
      <c r="UPL1" s="70"/>
      <c r="UPM1" s="70"/>
      <c r="UPN1" s="70"/>
      <c r="UPO1" s="70"/>
      <c r="UPP1" s="70"/>
      <c r="UPQ1" s="70"/>
      <c r="UPR1" s="70"/>
      <c r="UPS1" s="70"/>
      <c r="UPT1" s="70"/>
      <c r="UPU1" s="70"/>
      <c r="UPV1" s="70"/>
      <c r="UPW1" s="70"/>
      <c r="UPX1" s="70"/>
      <c r="UPY1" s="70"/>
      <c r="UPZ1" s="70"/>
      <c r="UQA1" s="70"/>
      <c r="UQB1" s="70"/>
      <c r="UQC1" s="70"/>
      <c r="UQD1" s="70"/>
      <c r="UQE1" s="70"/>
      <c r="UQF1" s="70"/>
      <c r="UQG1" s="70"/>
      <c r="UQH1" s="70"/>
      <c r="UQI1" s="70"/>
      <c r="UQJ1" s="70"/>
      <c r="UQK1" s="70"/>
      <c r="UQL1" s="70"/>
      <c r="UQM1" s="70"/>
      <c r="UQN1" s="70"/>
      <c r="UQO1" s="70"/>
      <c r="UQP1" s="70"/>
      <c r="UQQ1" s="70"/>
      <c r="UQR1" s="70"/>
      <c r="UQS1" s="70"/>
      <c r="UQT1" s="70"/>
      <c r="UQU1" s="70"/>
      <c r="UQV1" s="70"/>
      <c r="UQW1" s="70"/>
      <c r="UQX1" s="70"/>
      <c r="UQY1" s="70"/>
      <c r="UQZ1" s="70"/>
      <c r="URA1" s="70"/>
      <c r="URB1" s="70"/>
      <c r="URC1" s="70"/>
      <c r="URD1" s="70"/>
      <c r="URE1" s="70"/>
      <c r="URF1" s="70"/>
      <c r="URG1" s="70"/>
      <c r="URH1" s="70"/>
      <c r="URI1" s="70"/>
      <c r="URJ1" s="70"/>
      <c r="URK1" s="70"/>
      <c r="URL1" s="70"/>
      <c r="URM1" s="70"/>
      <c r="URN1" s="70"/>
      <c r="URO1" s="70"/>
      <c r="URP1" s="70"/>
      <c r="URQ1" s="70"/>
      <c r="URR1" s="70"/>
      <c r="URS1" s="70"/>
      <c r="URT1" s="70"/>
      <c r="URU1" s="70"/>
      <c r="URV1" s="70"/>
      <c r="URW1" s="70"/>
      <c r="URX1" s="70"/>
      <c r="URY1" s="70"/>
      <c r="URZ1" s="70"/>
      <c r="USA1" s="70"/>
      <c r="USB1" s="70"/>
      <c r="USC1" s="70"/>
      <c r="USD1" s="70"/>
      <c r="USE1" s="70"/>
      <c r="USF1" s="70"/>
      <c r="USG1" s="70"/>
      <c r="USH1" s="70"/>
      <c r="USI1" s="70"/>
      <c r="USJ1" s="70"/>
      <c r="USK1" s="70"/>
      <c r="USL1" s="70"/>
      <c r="USM1" s="70"/>
      <c r="USN1" s="70"/>
      <c r="USO1" s="70"/>
      <c r="USP1" s="70"/>
      <c r="USQ1" s="70"/>
      <c r="USR1" s="70"/>
      <c r="USS1" s="70"/>
      <c r="UST1" s="70"/>
      <c r="USU1" s="70"/>
      <c r="USV1" s="70"/>
      <c r="USW1" s="70"/>
      <c r="USX1" s="70"/>
      <c r="USY1" s="70"/>
      <c r="USZ1" s="70"/>
      <c r="UTA1" s="70"/>
      <c r="UTB1" s="70"/>
      <c r="UTC1" s="70"/>
      <c r="UTD1" s="70"/>
      <c r="UTE1" s="70"/>
      <c r="UTF1" s="70"/>
      <c r="UTG1" s="70"/>
      <c r="UTH1" s="70"/>
      <c r="UTI1" s="70"/>
      <c r="UTJ1" s="70"/>
      <c r="UTK1" s="70"/>
      <c r="UTL1" s="70"/>
      <c r="UTM1" s="70"/>
      <c r="UTN1" s="70"/>
      <c r="UTO1" s="70"/>
      <c r="UTP1" s="70"/>
      <c r="UTQ1" s="70"/>
      <c r="UTR1" s="70"/>
      <c r="UTS1" s="70"/>
      <c r="UTT1" s="70"/>
      <c r="UTU1" s="70"/>
      <c r="UTV1" s="70"/>
      <c r="UTW1" s="70"/>
      <c r="UTX1" s="70"/>
      <c r="UTY1" s="70"/>
      <c r="UTZ1" s="70"/>
      <c r="UUA1" s="70"/>
      <c r="UUB1" s="70"/>
      <c r="UUC1" s="70"/>
      <c r="UUD1" s="70"/>
      <c r="UUE1" s="70"/>
      <c r="UUF1" s="70"/>
      <c r="UUG1" s="70"/>
      <c r="UUH1" s="70"/>
      <c r="UUI1" s="70"/>
      <c r="UUJ1" s="70"/>
      <c r="UUK1" s="70"/>
      <c r="UUL1" s="70"/>
      <c r="UUM1" s="70"/>
      <c r="UUN1" s="70"/>
      <c r="UUO1" s="70"/>
      <c r="UUP1" s="70"/>
      <c r="UUQ1" s="70"/>
      <c r="UUR1" s="70"/>
      <c r="UUS1" s="70"/>
      <c r="UUT1" s="70"/>
      <c r="UUU1" s="70"/>
      <c r="UUV1" s="70"/>
      <c r="UUW1" s="70"/>
      <c r="UUX1" s="70"/>
      <c r="UUY1" s="70"/>
      <c r="UUZ1" s="70"/>
      <c r="UVA1" s="70"/>
      <c r="UVB1" s="70"/>
      <c r="UVC1" s="70"/>
      <c r="UVD1" s="70"/>
      <c r="UVE1" s="70"/>
      <c r="UVF1" s="70"/>
      <c r="UVG1" s="70"/>
      <c r="UVH1" s="70"/>
      <c r="UVI1" s="70"/>
      <c r="UVJ1" s="70"/>
      <c r="UVK1" s="70"/>
      <c r="UVL1" s="70"/>
      <c r="UVM1" s="70"/>
      <c r="UVN1" s="70"/>
      <c r="UVO1" s="70"/>
      <c r="UVP1" s="70"/>
      <c r="UVQ1" s="70"/>
      <c r="UVR1" s="70"/>
      <c r="UVS1" s="70"/>
      <c r="UVT1" s="70"/>
      <c r="UVU1" s="70"/>
      <c r="UVV1" s="70"/>
      <c r="UVW1" s="70"/>
      <c r="UVX1" s="70"/>
      <c r="UVY1" s="70"/>
      <c r="UVZ1" s="70"/>
      <c r="UWA1" s="70"/>
      <c r="UWB1" s="70"/>
      <c r="UWC1" s="70"/>
      <c r="UWD1" s="70"/>
      <c r="UWE1" s="70"/>
      <c r="UWF1" s="70"/>
      <c r="UWG1" s="70"/>
      <c r="UWH1" s="70"/>
      <c r="UWI1" s="70"/>
      <c r="UWJ1" s="70"/>
      <c r="UWK1" s="70"/>
      <c r="UWL1" s="70"/>
      <c r="UWM1" s="70"/>
      <c r="UWN1" s="70"/>
      <c r="UWO1" s="70"/>
      <c r="UWP1" s="70"/>
      <c r="UWQ1" s="70"/>
      <c r="UWR1" s="70"/>
      <c r="UWS1" s="70"/>
      <c r="UWT1" s="70"/>
      <c r="UWU1" s="70"/>
      <c r="UWV1" s="70"/>
      <c r="UWW1" s="70"/>
      <c r="UWX1" s="70"/>
      <c r="UWY1" s="70"/>
      <c r="UWZ1" s="70"/>
      <c r="UXA1" s="70"/>
      <c r="UXB1" s="70"/>
      <c r="UXC1" s="70"/>
      <c r="UXD1" s="70"/>
      <c r="UXE1" s="70"/>
      <c r="UXF1" s="70"/>
      <c r="UXG1" s="70"/>
      <c r="UXH1" s="70"/>
      <c r="UXI1" s="70"/>
      <c r="UXJ1" s="70"/>
      <c r="UXK1" s="70"/>
      <c r="UXL1" s="70"/>
      <c r="UXM1" s="70"/>
      <c r="UXN1" s="70"/>
      <c r="UXO1" s="70"/>
      <c r="UXP1" s="70"/>
      <c r="UXQ1" s="70"/>
      <c r="UXR1" s="70"/>
      <c r="UXS1" s="70"/>
      <c r="UXT1" s="70"/>
      <c r="UXU1" s="70"/>
      <c r="UXV1" s="70"/>
      <c r="UXW1" s="70"/>
      <c r="UXX1" s="70"/>
      <c r="UXY1" s="70"/>
      <c r="UXZ1" s="70"/>
      <c r="UYA1" s="70"/>
      <c r="UYB1" s="70"/>
      <c r="UYC1" s="70"/>
      <c r="UYD1" s="70"/>
      <c r="UYE1" s="70"/>
      <c r="UYF1" s="70"/>
      <c r="UYG1" s="70"/>
      <c r="UYH1" s="70"/>
      <c r="UYI1" s="70"/>
      <c r="UYJ1" s="70"/>
      <c r="UYK1" s="70"/>
      <c r="UYL1" s="70"/>
      <c r="UYM1" s="70"/>
      <c r="UYN1" s="70"/>
      <c r="UYO1" s="70"/>
      <c r="UYP1" s="70"/>
      <c r="UYQ1" s="70"/>
      <c r="UYR1" s="70"/>
      <c r="UYS1" s="70"/>
      <c r="UYT1" s="70"/>
      <c r="UYU1" s="70"/>
      <c r="UYV1" s="70"/>
      <c r="UYW1" s="70"/>
      <c r="UYX1" s="70"/>
      <c r="UYY1" s="70"/>
      <c r="UYZ1" s="70"/>
      <c r="UZA1" s="70"/>
      <c r="UZB1" s="70"/>
      <c r="UZC1" s="70"/>
      <c r="UZD1" s="70"/>
      <c r="UZE1" s="70"/>
      <c r="UZF1" s="70"/>
      <c r="UZG1" s="70"/>
      <c r="UZH1" s="70"/>
      <c r="UZI1" s="70"/>
      <c r="UZJ1" s="70"/>
      <c r="UZK1" s="70"/>
      <c r="UZL1" s="70"/>
      <c r="UZM1" s="70"/>
      <c r="UZN1" s="70"/>
      <c r="UZO1" s="70"/>
      <c r="UZP1" s="70"/>
      <c r="UZQ1" s="70"/>
      <c r="UZR1" s="70"/>
      <c r="UZS1" s="70"/>
      <c r="UZT1" s="70"/>
      <c r="UZU1" s="70"/>
      <c r="UZV1" s="70"/>
      <c r="UZW1" s="70"/>
      <c r="UZX1" s="70"/>
      <c r="UZY1" s="70"/>
      <c r="UZZ1" s="70"/>
      <c r="VAA1" s="70"/>
      <c r="VAB1" s="70"/>
      <c r="VAC1" s="70"/>
      <c r="VAD1" s="70"/>
      <c r="VAE1" s="70"/>
      <c r="VAF1" s="70"/>
      <c r="VAG1" s="70"/>
      <c r="VAH1" s="70"/>
      <c r="VAI1" s="70"/>
      <c r="VAJ1" s="70"/>
      <c r="VAK1" s="70"/>
      <c r="VAL1" s="70"/>
      <c r="VAM1" s="70"/>
      <c r="VAN1" s="70"/>
      <c r="VAO1" s="70"/>
      <c r="VAP1" s="70"/>
      <c r="VAQ1" s="70"/>
      <c r="VAR1" s="70"/>
      <c r="VAS1" s="70"/>
      <c r="VAT1" s="70"/>
      <c r="VAU1" s="70"/>
      <c r="VAV1" s="70"/>
      <c r="VAW1" s="70"/>
      <c r="VAX1" s="70"/>
      <c r="VAY1" s="70"/>
      <c r="VAZ1" s="70"/>
      <c r="VBA1" s="70"/>
      <c r="VBB1" s="70"/>
      <c r="VBC1" s="70"/>
      <c r="VBD1" s="70"/>
      <c r="VBE1" s="70"/>
      <c r="VBF1" s="70"/>
      <c r="VBG1" s="70"/>
      <c r="VBH1" s="70"/>
      <c r="VBI1" s="70"/>
      <c r="VBJ1" s="70"/>
      <c r="VBK1" s="70"/>
      <c r="VBL1" s="70"/>
      <c r="VBM1" s="70"/>
      <c r="VBN1" s="70"/>
      <c r="VBO1" s="70"/>
      <c r="VBP1" s="70"/>
      <c r="VBQ1" s="70"/>
      <c r="VBR1" s="70"/>
      <c r="VBS1" s="70"/>
      <c r="VBT1" s="70"/>
      <c r="VBU1" s="70"/>
      <c r="VBV1" s="70"/>
      <c r="VBW1" s="70"/>
      <c r="VBX1" s="70"/>
      <c r="VBY1" s="70"/>
      <c r="VBZ1" s="70"/>
      <c r="VCA1" s="70"/>
      <c r="VCB1" s="70"/>
      <c r="VCC1" s="70"/>
      <c r="VCD1" s="70"/>
      <c r="VCE1" s="70"/>
      <c r="VCF1" s="70"/>
      <c r="VCG1" s="70"/>
      <c r="VCH1" s="70"/>
      <c r="VCI1" s="70"/>
      <c r="VCJ1" s="70"/>
      <c r="VCK1" s="70"/>
      <c r="VCL1" s="70"/>
      <c r="VCM1" s="70"/>
      <c r="VCN1" s="70"/>
      <c r="VCO1" s="70"/>
      <c r="VCP1" s="70"/>
      <c r="VCQ1" s="70"/>
      <c r="VCR1" s="70"/>
      <c r="VCS1" s="70"/>
      <c r="VCT1" s="70"/>
      <c r="VCU1" s="70"/>
      <c r="VCV1" s="70"/>
      <c r="VCW1" s="70"/>
      <c r="VCX1" s="70"/>
      <c r="VCY1" s="70"/>
      <c r="VCZ1" s="70"/>
      <c r="VDA1" s="70"/>
      <c r="VDB1" s="70"/>
      <c r="VDC1" s="70"/>
      <c r="VDD1" s="70"/>
      <c r="VDE1" s="70"/>
      <c r="VDF1" s="70"/>
      <c r="VDG1" s="70"/>
      <c r="VDH1" s="70"/>
      <c r="VDI1" s="70"/>
      <c r="VDJ1" s="70"/>
      <c r="VDK1" s="70"/>
      <c r="VDL1" s="70"/>
      <c r="VDM1" s="70"/>
      <c r="VDN1" s="70"/>
      <c r="VDO1" s="70"/>
      <c r="VDP1" s="70"/>
      <c r="VDQ1" s="70"/>
      <c r="VDR1" s="70"/>
      <c r="VDS1" s="70"/>
      <c r="VDT1" s="70"/>
      <c r="VDU1" s="70"/>
      <c r="VDV1" s="70"/>
      <c r="VDW1" s="70"/>
      <c r="VDX1" s="70"/>
      <c r="VDY1" s="70"/>
      <c r="VDZ1" s="70"/>
      <c r="VEA1" s="70"/>
      <c r="VEB1" s="70"/>
      <c r="VEC1" s="70"/>
      <c r="VED1" s="70"/>
      <c r="VEE1" s="70"/>
      <c r="VEF1" s="70"/>
      <c r="VEG1" s="70"/>
      <c r="VEH1" s="70"/>
      <c r="VEI1" s="70"/>
      <c r="VEJ1" s="70"/>
      <c r="VEK1" s="70"/>
      <c r="VEL1" s="70"/>
      <c r="VEM1" s="70"/>
      <c r="VEN1" s="70"/>
      <c r="VEO1" s="70"/>
      <c r="VEP1" s="70"/>
      <c r="VEQ1" s="70"/>
      <c r="VER1" s="70"/>
      <c r="VES1" s="70"/>
      <c r="VET1" s="70"/>
      <c r="VEU1" s="70"/>
      <c r="VEV1" s="70"/>
      <c r="VEW1" s="70"/>
      <c r="VEX1" s="70"/>
      <c r="VEY1" s="70"/>
      <c r="VEZ1" s="70"/>
      <c r="VFA1" s="70"/>
      <c r="VFB1" s="70"/>
      <c r="VFC1" s="70"/>
      <c r="VFD1" s="70"/>
      <c r="VFE1" s="70"/>
      <c r="VFF1" s="70"/>
      <c r="VFG1" s="70"/>
      <c r="VFH1" s="70"/>
      <c r="VFI1" s="70"/>
      <c r="VFJ1" s="70"/>
      <c r="VFK1" s="70"/>
      <c r="VFL1" s="70"/>
      <c r="VFM1" s="70"/>
      <c r="VFN1" s="70"/>
      <c r="VFO1" s="70"/>
      <c r="VFP1" s="70"/>
      <c r="VFQ1" s="70"/>
      <c r="VFR1" s="70"/>
      <c r="VFS1" s="70"/>
      <c r="VFT1" s="70"/>
      <c r="VFU1" s="70"/>
      <c r="VFV1" s="70"/>
      <c r="VFW1" s="70"/>
      <c r="VFX1" s="70"/>
      <c r="VFY1" s="70"/>
      <c r="VFZ1" s="70"/>
      <c r="VGA1" s="70"/>
      <c r="VGB1" s="70"/>
      <c r="VGC1" s="70"/>
      <c r="VGD1" s="70"/>
      <c r="VGE1" s="70"/>
      <c r="VGF1" s="70"/>
      <c r="VGG1" s="70"/>
      <c r="VGH1" s="70"/>
      <c r="VGI1" s="70"/>
      <c r="VGJ1" s="70"/>
      <c r="VGK1" s="70"/>
      <c r="VGL1" s="70"/>
      <c r="VGM1" s="70"/>
      <c r="VGN1" s="70"/>
      <c r="VGO1" s="70"/>
      <c r="VGP1" s="70"/>
      <c r="VGQ1" s="70"/>
      <c r="VGR1" s="70"/>
      <c r="VGS1" s="70"/>
      <c r="VGT1" s="70"/>
      <c r="VGU1" s="70"/>
      <c r="VGV1" s="70"/>
      <c r="VGW1" s="70"/>
      <c r="VGX1" s="70"/>
      <c r="VGY1" s="70"/>
      <c r="VGZ1" s="70"/>
      <c r="VHA1" s="70"/>
      <c r="VHB1" s="70"/>
      <c r="VHC1" s="70"/>
      <c r="VHD1" s="70"/>
      <c r="VHE1" s="70"/>
      <c r="VHF1" s="70"/>
      <c r="VHG1" s="70"/>
      <c r="VHH1" s="70"/>
      <c r="VHI1" s="70"/>
      <c r="VHJ1" s="70"/>
      <c r="VHK1" s="70"/>
      <c r="VHL1" s="70"/>
      <c r="VHM1" s="70"/>
      <c r="VHN1" s="70"/>
      <c r="VHO1" s="70"/>
      <c r="VHP1" s="70"/>
      <c r="VHQ1" s="70"/>
      <c r="VHR1" s="70"/>
      <c r="VHS1" s="70"/>
      <c r="VHT1" s="70"/>
      <c r="VHU1" s="70"/>
      <c r="VHV1" s="70"/>
      <c r="VHW1" s="70"/>
      <c r="VHX1" s="70"/>
      <c r="VHY1" s="70"/>
      <c r="VHZ1" s="70"/>
      <c r="VIA1" s="70"/>
      <c r="VIB1" s="70"/>
      <c r="VIC1" s="70"/>
      <c r="VID1" s="70"/>
      <c r="VIE1" s="70"/>
      <c r="VIF1" s="70"/>
      <c r="VIG1" s="70"/>
      <c r="VIH1" s="70"/>
      <c r="VII1" s="70"/>
      <c r="VIJ1" s="70"/>
      <c r="VIK1" s="70"/>
      <c r="VIL1" s="70"/>
      <c r="VIM1" s="70"/>
      <c r="VIN1" s="70"/>
      <c r="VIO1" s="70"/>
      <c r="VIP1" s="70"/>
      <c r="VIQ1" s="70"/>
      <c r="VIR1" s="70"/>
      <c r="VIS1" s="70"/>
      <c r="VIT1" s="70"/>
      <c r="VIU1" s="70"/>
      <c r="VIV1" s="70"/>
      <c r="VIW1" s="70"/>
      <c r="VIX1" s="70"/>
      <c r="VIY1" s="70"/>
      <c r="VIZ1" s="70"/>
      <c r="VJA1" s="70"/>
      <c r="VJB1" s="70"/>
      <c r="VJC1" s="70"/>
      <c r="VJD1" s="70"/>
      <c r="VJE1" s="70"/>
      <c r="VJF1" s="70"/>
      <c r="VJG1" s="70"/>
      <c r="VJH1" s="70"/>
      <c r="VJI1" s="70"/>
      <c r="VJJ1" s="70"/>
      <c r="VJK1" s="70"/>
      <c r="VJL1" s="70"/>
      <c r="VJM1" s="70"/>
      <c r="VJN1" s="70"/>
      <c r="VJO1" s="70"/>
      <c r="VJP1" s="70"/>
      <c r="VJQ1" s="70"/>
      <c r="VJR1" s="70"/>
      <c r="VJS1" s="70"/>
      <c r="VJT1" s="70"/>
      <c r="VJU1" s="70"/>
      <c r="VJV1" s="70"/>
      <c r="VJW1" s="70"/>
      <c r="VJX1" s="70"/>
      <c r="VJY1" s="70"/>
      <c r="VJZ1" s="70"/>
      <c r="VKA1" s="70"/>
      <c r="VKB1" s="70"/>
      <c r="VKC1" s="70"/>
      <c r="VKD1" s="70"/>
      <c r="VKE1" s="70"/>
      <c r="VKF1" s="70"/>
      <c r="VKG1" s="70"/>
      <c r="VKH1" s="70"/>
      <c r="VKI1" s="70"/>
      <c r="VKJ1" s="70"/>
      <c r="VKK1" s="70"/>
      <c r="VKL1" s="70"/>
      <c r="VKM1" s="70"/>
      <c r="VKN1" s="70"/>
      <c r="VKO1" s="70"/>
      <c r="VKP1" s="70"/>
      <c r="VKQ1" s="70"/>
      <c r="VKR1" s="70"/>
      <c r="VKS1" s="70"/>
      <c r="VKT1" s="70"/>
      <c r="VKU1" s="70"/>
      <c r="VKV1" s="70"/>
      <c r="VKW1" s="70"/>
      <c r="VKX1" s="70"/>
      <c r="VKY1" s="70"/>
      <c r="VKZ1" s="70"/>
      <c r="VLA1" s="70"/>
      <c r="VLB1" s="70"/>
      <c r="VLC1" s="70"/>
      <c r="VLD1" s="70"/>
      <c r="VLE1" s="70"/>
      <c r="VLF1" s="70"/>
      <c r="VLG1" s="70"/>
      <c r="VLH1" s="70"/>
      <c r="VLI1" s="70"/>
      <c r="VLJ1" s="70"/>
      <c r="VLK1" s="70"/>
      <c r="VLL1" s="70"/>
      <c r="VLM1" s="70"/>
      <c r="VLN1" s="70"/>
      <c r="VLO1" s="70"/>
      <c r="VLP1" s="70"/>
      <c r="VLQ1" s="70"/>
      <c r="VLR1" s="70"/>
      <c r="VLS1" s="70"/>
      <c r="VLT1" s="70"/>
      <c r="VLU1" s="70"/>
      <c r="VLV1" s="70"/>
      <c r="VLW1" s="70"/>
      <c r="VLX1" s="70"/>
      <c r="VLY1" s="70"/>
      <c r="VLZ1" s="70"/>
      <c r="VMA1" s="70"/>
      <c r="VMB1" s="70"/>
      <c r="VMC1" s="70"/>
      <c r="VMD1" s="70"/>
      <c r="VME1" s="70"/>
      <c r="VMF1" s="70"/>
      <c r="VMG1" s="70"/>
      <c r="VMH1" s="70"/>
      <c r="VMI1" s="70"/>
      <c r="VMJ1" s="70"/>
      <c r="VMK1" s="70"/>
      <c r="VML1" s="70"/>
      <c r="VMM1" s="70"/>
      <c r="VMN1" s="70"/>
      <c r="VMO1" s="70"/>
      <c r="VMP1" s="70"/>
      <c r="VMQ1" s="70"/>
      <c r="VMR1" s="70"/>
      <c r="VMS1" s="70"/>
      <c r="VMT1" s="70"/>
      <c r="VMU1" s="70"/>
      <c r="VMV1" s="70"/>
      <c r="VMW1" s="70"/>
      <c r="VMX1" s="70"/>
      <c r="VMY1" s="70"/>
      <c r="VMZ1" s="70"/>
      <c r="VNA1" s="70"/>
      <c r="VNB1" s="70"/>
      <c r="VNC1" s="70"/>
      <c r="VND1" s="70"/>
      <c r="VNE1" s="70"/>
      <c r="VNF1" s="70"/>
      <c r="VNG1" s="70"/>
      <c r="VNH1" s="70"/>
      <c r="VNI1" s="70"/>
      <c r="VNJ1" s="70"/>
      <c r="VNK1" s="70"/>
      <c r="VNL1" s="70"/>
      <c r="VNM1" s="70"/>
      <c r="VNN1" s="70"/>
      <c r="VNO1" s="70"/>
      <c r="VNP1" s="70"/>
      <c r="VNQ1" s="70"/>
      <c r="VNR1" s="70"/>
      <c r="VNS1" s="70"/>
      <c r="VNT1" s="70"/>
      <c r="VNU1" s="70"/>
      <c r="VNV1" s="70"/>
      <c r="VNW1" s="70"/>
      <c r="VNX1" s="70"/>
      <c r="VNY1" s="70"/>
      <c r="VNZ1" s="70"/>
      <c r="VOA1" s="70"/>
      <c r="VOB1" s="70"/>
      <c r="VOC1" s="70"/>
      <c r="VOD1" s="70"/>
      <c r="VOE1" s="70"/>
      <c r="VOF1" s="70"/>
      <c r="VOG1" s="70"/>
      <c r="VOH1" s="70"/>
      <c r="VOI1" s="70"/>
      <c r="VOJ1" s="70"/>
      <c r="VOK1" s="70"/>
      <c r="VOL1" s="70"/>
      <c r="VOM1" s="70"/>
      <c r="VON1" s="70"/>
      <c r="VOO1" s="70"/>
      <c r="VOP1" s="70"/>
      <c r="VOQ1" s="70"/>
      <c r="VOR1" s="70"/>
      <c r="VOS1" s="70"/>
      <c r="VOT1" s="70"/>
      <c r="VOU1" s="70"/>
      <c r="VOV1" s="70"/>
      <c r="VOW1" s="70"/>
      <c r="VOX1" s="70"/>
      <c r="VOY1" s="70"/>
      <c r="VOZ1" s="70"/>
      <c r="VPA1" s="70"/>
      <c r="VPB1" s="70"/>
      <c r="VPC1" s="70"/>
      <c r="VPD1" s="70"/>
      <c r="VPE1" s="70"/>
      <c r="VPF1" s="70"/>
      <c r="VPG1" s="70"/>
      <c r="VPH1" s="70"/>
      <c r="VPI1" s="70"/>
      <c r="VPJ1" s="70"/>
      <c r="VPK1" s="70"/>
      <c r="VPL1" s="70"/>
      <c r="VPM1" s="70"/>
      <c r="VPN1" s="70"/>
      <c r="VPO1" s="70"/>
      <c r="VPP1" s="70"/>
      <c r="VPQ1" s="70"/>
      <c r="VPR1" s="70"/>
      <c r="VPS1" s="70"/>
      <c r="VPT1" s="70"/>
      <c r="VPU1" s="70"/>
      <c r="VPV1" s="70"/>
      <c r="VPW1" s="70"/>
      <c r="VPX1" s="70"/>
      <c r="VPY1" s="70"/>
      <c r="VPZ1" s="70"/>
      <c r="VQA1" s="70"/>
      <c r="VQB1" s="70"/>
      <c r="VQC1" s="70"/>
      <c r="VQD1" s="70"/>
      <c r="VQE1" s="70"/>
      <c r="VQF1" s="70"/>
      <c r="VQG1" s="70"/>
      <c r="VQH1" s="70"/>
      <c r="VQI1" s="70"/>
      <c r="VQJ1" s="70"/>
      <c r="VQK1" s="70"/>
      <c r="VQL1" s="70"/>
      <c r="VQM1" s="70"/>
      <c r="VQN1" s="70"/>
      <c r="VQO1" s="70"/>
      <c r="VQP1" s="70"/>
      <c r="VQQ1" s="70"/>
      <c r="VQR1" s="70"/>
      <c r="VQS1" s="70"/>
      <c r="VQT1" s="70"/>
      <c r="VQU1" s="70"/>
      <c r="VQV1" s="70"/>
      <c r="VQW1" s="70"/>
      <c r="VQX1" s="70"/>
      <c r="VQY1" s="70"/>
      <c r="VQZ1" s="70"/>
      <c r="VRA1" s="70"/>
      <c r="VRB1" s="70"/>
      <c r="VRC1" s="70"/>
      <c r="VRD1" s="70"/>
      <c r="VRE1" s="70"/>
      <c r="VRF1" s="70"/>
      <c r="VRG1" s="70"/>
      <c r="VRH1" s="70"/>
      <c r="VRI1" s="70"/>
      <c r="VRJ1" s="70"/>
      <c r="VRK1" s="70"/>
      <c r="VRL1" s="70"/>
      <c r="VRM1" s="70"/>
      <c r="VRN1" s="70"/>
      <c r="VRO1" s="70"/>
      <c r="VRP1" s="70"/>
      <c r="VRQ1" s="70"/>
      <c r="VRR1" s="70"/>
      <c r="VRS1" s="70"/>
      <c r="VRT1" s="70"/>
      <c r="VRU1" s="70"/>
      <c r="VRV1" s="70"/>
      <c r="VRW1" s="70"/>
      <c r="VRX1" s="70"/>
      <c r="VRY1" s="70"/>
      <c r="VRZ1" s="70"/>
      <c r="VSA1" s="70"/>
      <c r="VSB1" s="70"/>
      <c r="VSC1" s="70"/>
      <c r="VSD1" s="70"/>
      <c r="VSE1" s="70"/>
      <c r="VSF1" s="70"/>
      <c r="VSG1" s="70"/>
      <c r="VSH1" s="70"/>
      <c r="VSI1" s="70"/>
      <c r="VSJ1" s="70"/>
      <c r="VSK1" s="70"/>
      <c r="VSL1" s="70"/>
      <c r="VSM1" s="70"/>
      <c r="VSN1" s="70"/>
      <c r="VSO1" s="70"/>
      <c r="VSP1" s="70"/>
      <c r="VSQ1" s="70"/>
      <c r="VSR1" s="70"/>
      <c r="VSS1" s="70"/>
      <c r="VST1" s="70"/>
      <c r="VSU1" s="70"/>
      <c r="VSV1" s="70"/>
      <c r="VSW1" s="70"/>
      <c r="VSX1" s="70"/>
      <c r="VSY1" s="70"/>
      <c r="VSZ1" s="70"/>
      <c r="VTA1" s="70"/>
      <c r="VTB1" s="70"/>
      <c r="VTC1" s="70"/>
      <c r="VTD1" s="70"/>
      <c r="VTE1" s="70"/>
      <c r="VTF1" s="70"/>
      <c r="VTG1" s="70"/>
      <c r="VTH1" s="70"/>
      <c r="VTI1" s="70"/>
      <c r="VTJ1" s="70"/>
      <c r="VTK1" s="70"/>
      <c r="VTL1" s="70"/>
      <c r="VTM1" s="70"/>
      <c r="VTN1" s="70"/>
      <c r="VTO1" s="70"/>
      <c r="VTP1" s="70"/>
      <c r="VTQ1" s="70"/>
      <c r="VTR1" s="70"/>
      <c r="VTS1" s="70"/>
      <c r="VTT1" s="70"/>
      <c r="VTU1" s="70"/>
      <c r="VTV1" s="70"/>
      <c r="VTW1" s="70"/>
      <c r="VTX1" s="70"/>
      <c r="VTY1" s="70"/>
      <c r="VTZ1" s="70"/>
      <c r="VUA1" s="70"/>
      <c r="VUB1" s="70"/>
      <c r="VUC1" s="70"/>
      <c r="VUD1" s="70"/>
      <c r="VUE1" s="70"/>
      <c r="VUF1" s="70"/>
      <c r="VUG1" s="70"/>
      <c r="VUH1" s="70"/>
      <c r="VUI1" s="70"/>
      <c r="VUJ1" s="70"/>
      <c r="VUK1" s="70"/>
      <c r="VUL1" s="70"/>
      <c r="VUM1" s="70"/>
      <c r="VUN1" s="70"/>
      <c r="VUO1" s="70"/>
      <c r="VUP1" s="70"/>
      <c r="VUQ1" s="70"/>
      <c r="VUR1" s="70"/>
      <c r="VUS1" s="70"/>
      <c r="VUT1" s="70"/>
      <c r="VUU1" s="70"/>
      <c r="VUV1" s="70"/>
      <c r="VUW1" s="70"/>
      <c r="VUX1" s="70"/>
      <c r="VUY1" s="70"/>
      <c r="VUZ1" s="70"/>
      <c r="VVA1" s="70"/>
      <c r="VVB1" s="70"/>
      <c r="VVC1" s="70"/>
      <c r="VVD1" s="70"/>
      <c r="VVE1" s="70"/>
      <c r="VVF1" s="70"/>
      <c r="VVG1" s="70"/>
      <c r="VVH1" s="70"/>
      <c r="VVI1" s="70"/>
      <c r="VVJ1" s="70"/>
      <c r="VVK1" s="70"/>
      <c r="VVL1" s="70"/>
      <c r="VVM1" s="70"/>
      <c r="VVN1" s="70"/>
      <c r="VVO1" s="70"/>
      <c r="VVP1" s="70"/>
      <c r="VVQ1" s="70"/>
      <c r="VVR1" s="70"/>
      <c r="VVS1" s="70"/>
      <c r="VVT1" s="70"/>
      <c r="VVU1" s="70"/>
      <c r="VVV1" s="70"/>
      <c r="VVW1" s="70"/>
      <c r="VVX1" s="70"/>
      <c r="VVY1" s="70"/>
      <c r="VVZ1" s="70"/>
      <c r="VWA1" s="70"/>
      <c r="VWB1" s="70"/>
      <c r="VWC1" s="70"/>
      <c r="VWD1" s="70"/>
      <c r="VWE1" s="70"/>
      <c r="VWF1" s="70"/>
      <c r="VWG1" s="70"/>
      <c r="VWH1" s="70"/>
      <c r="VWI1" s="70"/>
      <c r="VWJ1" s="70"/>
      <c r="VWK1" s="70"/>
      <c r="VWL1" s="70"/>
      <c r="VWM1" s="70"/>
      <c r="VWN1" s="70"/>
      <c r="VWO1" s="70"/>
      <c r="VWP1" s="70"/>
      <c r="VWQ1" s="70"/>
      <c r="VWR1" s="70"/>
      <c r="VWS1" s="70"/>
      <c r="VWT1" s="70"/>
      <c r="VWU1" s="70"/>
      <c r="VWV1" s="70"/>
      <c r="VWW1" s="70"/>
      <c r="VWX1" s="70"/>
      <c r="VWY1" s="70"/>
      <c r="VWZ1" s="70"/>
      <c r="VXA1" s="70"/>
      <c r="VXB1" s="70"/>
      <c r="VXC1" s="70"/>
      <c r="VXD1" s="70"/>
      <c r="VXE1" s="70"/>
      <c r="VXF1" s="70"/>
      <c r="VXG1" s="70"/>
      <c r="VXH1" s="70"/>
      <c r="VXI1" s="70"/>
      <c r="VXJ1" s="70"/>
      <c r="VXK1" s="70"/>
      <c r="VXL1" s="70"/>
      <c r="VXM1" s="70"/>
      <c r="VXN1" s="70"/>
      <c r="VXO1" s="70"/>
      <c r="VXP1" s="70"/>
      <c r="VXQ1" s="70"/>
      <c r="VXR1" s="70"/>
      <c r="VXS1" s="70"/>
      <c r="VXT1" s="70"/>
      <c r="VXU1" s="70"/>
      <c r="VXV1" s="70"/>
      <c r="VXW1" s="70"/>
      <c r="VXX1" s="70"/>
      <c r="VXY1" s="70"/>
      <c r="VXZ1" s="70"/>
      <c r="VYA1" s="70"/>
      <c r="VYB1" s="70"/>
      <c r="VYC1" s="70"/>
      <c r="VYD1" s="70"/>
      <c r="VYE1" s="70"/>
      <c r="VYF1" s="70"/>
      <c r="VYG1" s="70"/>
      <c r="VYH1" s="70"/>
      <c r="VYI1" s="70"/>
      <c r="VYJ1" s="70"/>
      <c r="VYK1" s="70"/>
      <c r="VYL1" s="70"/>
      <c r="VYM1" s="70"/>
      <c r="VYN1" s="70"/>
      <c r="VYO1" s="70"/>
      <c r="VYP1" s="70"/>
      <c r="VYQ1" s="70"/>
      <c r="VYR1" s="70"/>
      <c r="VYS1" s="70"/>
      <c r="VYT1" s="70"/>
      <c r="VYU1" s="70"/>
      <c r="VYV1" s="70"/>
      <c r="VYW1" s="70"/>
      <c r="VYX1" s="70"/>
      <c r="VYY1" s="70"/>
      <c r="VYZ1" s="70"/>
      <c r="VZA1" s="70"/>
      <c r="VZB1" s="70"/>
      <c r="VZC1" s="70"/>
      <c r="VZD1" s="70"/>
      <c r="VZE1" s="70"/>
      <c r="VZF1" s="70"/>
      <c r="VZG1" s="70"/>
      <c r="VZH1" s="70"/>
      <c r="VZI1" s="70"/>
      <c r="VZJ1" s="70"/>
      <c r="VZK1" s="70"/>
      <c r="VZL1" s="70"/>
      <c r="VZM1" s="70"/>
      <c r="VZN1" s="70"/>
      <c r="VZO1" s="70"/>
      <c r="VZP1" s="70"/>
      <c r="VZQ1" s="70"/>
      <c r="VZR1" s="70"/>
      <c r="VZS1" s="70"/>
      <c r="VZT1" s="70"/>
      <c r="VZU1" s="70"/>
      <c r="VZV1" s="70"/>
      <c r="VZW1" s="70"/>
      <c r="VZX1" s="70"/>
      <c r="VZY1" s="70"/>
      <c r="VZZ1" s="70"/>
      <c r="WAA1" s="70"/>
      <c r="WAB1" s="70"/>
      <c r="WAC1" s="70"/>
      <c r="WAD1" s="70"/>
      <c r="WAE1" s="70"/>
      <c r="WAF1" s="70"/>
      <c r="WAG1" s="70"/>
      <c r="WAH1" s="70"/>
      <c r="WAI1" s="70"/>
      <c r="WAJ1" s="70"/>
      <c r="WAK1" s="70"/>
      <c r="WAL1" s="70"/>
      <c r="WAM1" s="70"/>
      <c r="WAN1" s="70"/>
      <c r="WAO1" s="70"/>
      <c r="WAP1" s="70"/>
      <c r="WAQ1" s="70"/>
      <c r="WAR1" s="70"/>
      <c r="WAS1" s="70"/>
      <c r="WAT1" s="70"/>
      <c r="WAU1" s="70"/>
      <c r="WAV1" s="70"/>
      <c r="WAW1" s="70"/>
      <c r="WAX1" s="70"/>
      <c r="WAY1" s="70"/>
      <c r="WAZ1" s="70"/>
      <c r="WBA1" s="70"/>
      <c r="WBB1" s="70"/>
      <c r="WBC1" s="70"/>
      <c r="WBD1" s="70"/>
      <c r="WBE1" s="70"/>
      <c r="WBF1" s="70"/>
      <c r="WBG1" s="70"/>
      <c r="WBH1" s="70"/>
      <c r="WBI1" s="70"/>
      <c r="WBJ1" s="70"/>
      <c r="WBK1" s="70"/>
      <c r="WBL1" s="70"/>
      <c r="WBM1" s="70"/>
      <c r="WBN1" s="70"/>
      <c r="WBO1" s="70"/>
      <c r="WBP1" s="70"/>
      <c r="WBQ1" s="70"/>
      <c r="WBR1" s="70"/>
      <c r="WBS1" s="70"/>
      <c r="WBT1" s="70"/>
      <c r="WBU1" s="70"/>
      <c r="WBV1" s="70"/>
      <c r="WBW1" s="70"/>
      <c r="WBX1" s="70"/>
      <c r="WBY1" s="70"/>
      <c r="WBZ1" s="70"/>
      <c r="WCA1" s="70"/>
      <c r="WCB1" s="70"/>
      <c r="WCC1" s="70"/>
      <c r="WCD1" s="70"/>
      <c r="WCE1" s="70"/>
      <c r="WCF1" s="70"/>
      <c r="WCG1" s="70"/>
      <c r="WCH1" s="70"/>
      <c r="WCI1" s="70"/>
      <c r="WCJ1" s="70"/>
      <c r="WCK1" s="70"/>
      <c r="WCL1" s="70"/>
      <c r="WCM1" s="70"/>
      <c r="WCN1" s="70"/>
      <c r="WCO1" s="70"/>
      <c r="WCP1" s="70"/>
      <c r="WCQ1" s="70"/>
      <c r="WCR1" s="70"/>
      <c r="WCS1" s="70"/>
      <c r="WCT1" s="70"/>
      <c r="WCU1" s="70"/>
      <c r="WCV1" s="70"/>
      <c r="WCW1" s="70"/>
      <c r="WCX1" s="70"/>
      <c r="WCY1" s="70"/>
      <c r="WCZ1" s="70"/>
      <c r="WDA1" s="70"/>
      <c r="WDB1" s="70"/>
      <c r="WDC1" s="70"/>
      <c r="WDD1" s="70"/>
      <c r="WDE1" s="70"/>
      <c r="WDF1" s="70"/>
      <c r="WDG1" s="70"/>
      <c r="WDH1" s="70"/>
      <c r="WDI1" s="70"/>
      <c r="WDJ1" s="70"/>
      <c r="WDK1" s="70"/>
      <c r="WDL1" s="70"/>
      <c r="WDM1" s="70"/>
      <c r="WDN1" s="70"/>
      <c r="WDO1" s="70"/>
      <c r="WDP1" s="70"/>
      <c r="WDQ1" s="70"/>
      <c r="WDR1" s="70"/>
      <c r="WDS1" s="70"/>
      <c r="WDT1" s="70"/>
      <c r="WDU1" s="70"/>
      <c r="WDV1" s="70"/>
      <c r="WDW1" s="70"/>
      <c r="WDX1" s="70"/>
      <c r="WDY1" s="70"/>
      <c r="WDZ1" s="70"/>
      <c r="WEA1" s="70"/>
      <c r="WEB1" s="70"/>
      <c r="WEC1" s="70"/>
      <c r="WED1" s="70"/>
      <c r="WEE1" s="70"/>
      <c r="WEF1" s="70"/>
      <c r="WEG1" s="70"/>
      <c r="WEH1" s="70"/>
      <c r="WEI1" s="70"/>
      <c r="WEJ1" s="70"/>
      <c r="WEK1" s="70"/>
      <c r="WEL1" s="70"/>
      <c r="WEM1" s="70"/>
      <c r="WEN1" s="70"/>
      <c r="WEO1" s="70"/>
      <c r="WEP1" s="70"/>
      <c r="WEQ1" s="70"/>
      <c r="WER1" s="70"/>
      <c r="WES1" s="70"/>
      <c r="WET1" s="70"/>
      <c r="WEU1" s="70"/>
      <c r="WEV1" s="70"/>
      <c r="WEW1" s="70"/>
      <c r="WEX1" s="70"/>
      <c r="WEY1" s="70"/>
      <c r="WEZ1" s="70"/>
      <c r="WFA1" s="70"/>
      <c r="WFB1" s="70"/>
      <c r="WFC1" s="70"/>
      <c r="WFD1" s="70"/>
      <c r="WFE1" s="70"/>
      <c r="WFF1" s="70"/>
      <c r="WFG1" s="70"/>
      <c r="WFH1" s="70"/>
      <c r="WFI1" s="70"/>
      <c r="WFJ1" s="70"/>
      <c r="WFK1" s="70"/>
      <c r="WFL1" s="70"/>
      <c r="WFM1" s="70"/>
      <c r="WFN1" s="70"/>
      <c r="WFO1" s="70"/>
      <c r="WFP1" s="70"/>
      <c r="WFQ1" s="70"/>
      <c r="WFR1" s="70"/>
      <c r="WFS1" s="70"/>
      <c r="WFT1" s="70"/>
      <c r="WFU1" s="70"/>
      <c r="WFV1" s="70"/>
      <c r="WFW1" s="70"/>
      <c r="WFX1" s="70"/>
      <c r="WFY1" s="70"/>
      <c r="WFZ1" s="70"/>
      <c r="WGA1" s="70"/>
      <c r="WGB1" s="70"/>
      <c r="WGC1" s="70"/>
      <c r="WGD1" s="70"/>
      <c r="WGE1" s="70"/>
      <c r="WGF1" s="70"/>
      <c r="WGG1" s="70"/>
      <c r="WGH1" s="70"/>
      <c r="WGI1" s="70"/>
      <c r="WGJ1" s="70"/>
      <c r="WGK1" s="70"/>
      <c r="WGL1" s="70"/>
      <c r="WGM1" s="70"/>
      <c r="WGN1" s="70"/>
      <c r="WGO1" s="70"/>
      <c r="WGP1" s="70"/>
      <c r="WGQ1" s="70"/>
      <c r="WGR1" s="70"/>
      <c r="WGS1" s="70"/>
      <c r="WGT1" s="70"/>
      <c r="WGU1" s="70"/>
      <c r="WGV1" s="70"/>
      <c r="WGW1" s="70"/>
      <c r="WGX1" s="70"/>
      <c r="WGY1" s="70"/>
      <c r="WGZ1" s="70"/>
      <c r="WHA1" s="70"/>
      <c r="WHB1" s="70"/>
      <c r="WHC1" s="70"/>
      <c r="WHD1" s="70"/>
      <c r="WHE1" s="70"/>
      <c r="WHF1" s="70"/>
      <c r="WHG1" s="70"/>
      <c r="WHH1" s="70"/>
      <c r="WHI1" s="70"/>
      <c r="WHJ1" s="70"/>
      <c r="WHK1" s="70"/>
      <c r="WHL1" s="70"/>
      <c r="WHM1" s="70"/>
      <c r="WHN1" s="70"/>
      <c r="WHO1" s="70"/>
      <c r="WHP1" s="70"/>
      <c r="WHQ1" s="70"/>
      <c r="WHR1" s="70"/>
      <c r="WHS1" s="70"/>
      <c r="WHT1" s="70"/>
      <c r="WHU1" s="70"/>
      <c r="WHV1" s="70"/>
      <c r="WHW1" s="70"/>
      <c r="WHX1" s="70"/>
      <c r="WHY1" s="70"/>
      <c r="WHZ1" s="70"/>
      <c r="WIA1" s="70"/>
      <c r="WIB1" s="70"/>
      <c r="WIC1" s="70"/>
      <c r="WID1" s="70"/>
      <c r="WIE1" s="70"/>
      <c r="WIF1" s="70"/>
      <c r="WIG1" s="70"/>
      <c r="WIH1" s="70"/>
      <c r="WII1" s="70"/>
      <c r="WIJ1" s="70"/>
      <c r="WIK1" s="70"/>
      <c r="WIL1" s="70"/>
      <c r="WIM1" s="70"/>
      <c r="WIN1" s="70"/>
      <c r="WIO1" s="70"/>
      <c r="WIP1" s="70"/>
      <c r="WIQ1" s="70"/>
      <c r="WIR1" s="70"/>
      <c r="WIS1" s="70"/>
      <c r="WIT1" s="70"/>
      <c r="WIU1" s="70"/>
      <c r="WIV1" s="70"/>
      <c r="WIW1" s="70"/>
      <c r="WIX1" s="70"/>
      <c r="WIY1" s="70"/>
      <c r="WIZ1" s="70"/>
      <c r="WJA1" s="70"/>
      <c r="WJB1" s="70"/>
      <c r="WJC1" s="70"/>
      <c r="WJD1" s="70"/>
      <c r="WJE1" s="70"/>
      <c r="WJF1" s="70"/>
      <c r="WJG1" s="70"/>
      <c r="WJH1" s="70"/>
      <c r="WJI1" s="70"/>
      <c r="WJJ1" s="70"/>
      <c r="WJK1" s="70"/>
      <c r="WJL1" s="70"/>
      <c r="WJM1" s="70"/>
      <c r="WJN1" s="70"/>
      <c r="WJO1" s="70"/>
      <c r="WJP1" s="70"/>
      <c r="WJQ1" s="70"/>
      <c r="WJR1" s="70"/>
      <c r="WJS1" s="70"/>
      <c r="WJT1" s="70"/>
      <c r="WJU1" s="70"/>
      <c r="WJV1" s="70"/>
      <c r="WJW1" s="70"/>
      <c r="WJX1" s="70"/>
      <c r="WJY1" s="70"/>
      <c r="WJZ1" s="70"/>
      <c r="WKA1" s="70"/>
      <c r="WKB1" s="70"/>
      <c r="WKC1" s="70"/>
      <c r="WKD1" s="70"/>
      <c r="WKE1" s="70"/>
      <c r="WKF1" s="70"/>
      <c r="WKG1" s="70"/>
      <c r="WKH1" s="70"/>
      <c r="WKI1" s="70"/>
      <c r="WKJ1" s="70"/>
      <c r="WKK1" s="70"/>
      <c r="WKL1" s="70"/>
      <c r="WKM1" s="70"/>
      <c r="WKN1" s="70"/>
      <c r="WKO1" s="70"/>
      <c r="WKP1" s="70"/>
      <c r="WKQ1" s="70"/>
      <c r="WKR1" s="70"/>
      <c r="WKS1" s="70"/>
      <c r="WKT1" s="70"/>
      <c r="WKU1" s="70"/>
      <c r="WKV1" s="70"/>
      <c r="WKW1" s="70"/>
      <c r="WKX1" s="70"/>
      <c r="WKY1" s="70"/>
      <c r="WKZ1" s="70"/>
      <c r="WLA1" s="70"/>
      <c r="WLB1" s="70"/>
      <c r="WLC1" s="70"/>
      <c r="WLD1" s="70"/>
      <c r="WLE1" s="70"/>
      <c r="WLF1" s="70"/>
      <c r="WLG1" s="70"/>
      <c r="WLH1" s="70"/>
      <c r="WLI1" s="70"/>
      <c r="WLJ1" s="70"/>
      <c r="WLK1" s="70"/>
      <c r="WLL1" s="70"/>
      <c r="WLM1" s="70"/>
      <c r="WLN1" s="70"/>
      <c r="WLO1" s="70"/>
      <c r="WLP1" s="70"/>
      <c r="WLQ1" s="70"/>
      <c r="WLR1" s="70"/>
      <c r="WLS1" s="70"/>
      <c r="WLT1" s="70"/>
      <c r="WLU1" s="70"/>
      <c r="WLV1" s="70"/>
      <c r="WLW1" s="70"/>
      <c r="WLX1" s="70"/>
      <c r="WLY1" s="70"/>
      <c r="WLZ1" s="70"/>
      <c r="WMA1" s="70"/>
      <c r="WMB1" s="70"/>
      <c r="WMC1" s="70"/>
      <c r="WMD1" s="70"/>
      <c r="WME1" s="70"/>
      <c r="WMF1" s="70"/>
      <c r="WMG1" s="70"/>
      <c r="WMH1" s="70"/>
      <c r="WMI1" s="70"/>
      <c r="WMJ1" s="70"/>
      <c r="WMK1" s="70"/>
      <c r="WML1" s="70"/>
      <c r="WMM1" s="70"/>
      <c r="WMN1" s="70"/>
      <c r="WMO1" s="70"/>
      <c r="WMP1" s="70"/>
      <c r="WMQ1" s="70"/>
      <c r="WMR1" s="70"/>
      <c r="WMS1" s="70"/>
      <c r="WMT1" s="70"/>
      <c r="WMU1" s="70"/>
      <c r="WMV1" s="70"/>
      <c r="WMW1" s="70"/>
      <c r="WMX1" s="70"/>
      <c r="WMY1" s="70"/>
      <c r="WMZ1" s="70"/>
      <c r="WNA1" s="70"/>
      <c r="WNB1" s="70"/>
      <c r="WNC1" s="70"/>
      <c r="WND1" s="70"/>
      <c r="WNE1" s="70"/>
      <c r="WNF1" s="70"/>
      <c r="WNG1" s="70"/>
      <c r="WNH1" s="70"/>
      <c r="WNI1" s="70"/>
      <c r="WNJ1" s="70"/>
      <c r="WNK1" s="70"/>
      <c r="WNL1" s="70"/>
      <c r="WNM1" s="70"/>
      <c r="WNN1" s="70"/>
      <c r="WNO1" s="70"/>
      <c r="WNP1" s="70"/>
      <c r="WNQ1" s="70"/>
      <c r="WNR1" s="70"/>
      <c r="WNS1" s="70"/>
      <c r="WNT1" s="70"/>
      <c r="WNU1" s="70"/>
      <c r="WNV1" s="70"/>
      <c r="WNW1" s="70"/>
      <c r="WNX1" s="70"/>
      <c r="WNY1" s="70"/>
      <c r="WNZ1" s="70"/>
      <c r="WOA1" s="70"/>
      <c r="WOB1" s="70"/>
      <c r="WOC1" s="70"/>
      <c r="WOD1" s="70"/>
      <c r="WOE1" s="70"/>
      <c r="WOF1" s="70"/>
      <c r="WOG1" s="70"/>
      <c r="WOH1" s="70"/>
      <c r="WOI1" s="70"/>
      <c r="WOJ1" s="70"/>
      <c r="WOK1" s="70"/>
      <c r="WOL1" s="70"/>
      <c r="WOM1" s="70"/>
      <c r="WON1" s="70"/>
      <c r="WOO1" s="70"/>
      <c r="WOP1" s="70"/>
      <c r="WOQ1" s="70"/>
      <c r="WOR1" s="70"/>
      <c r="WOS1" s="70"/>
      <c r="WOT1" s="70"/>
      <c r="WOU1" s="70"/>
      <c r="WOV1" s="70"/>
      <c r="WOW1" s="70"/>
      <c r="WOX1" s="70"/>
      <c r="WOY1" s="70"/>
      <c r="WOZ1" s="70"/>
      <c r="WPA1" s="70"/>
      <c r="WPB1" s="70"/>
      <c r="WPC1" s="70"/>
      <c r="WPD1" s="70"/>
      <c r="WPE1" s="70"/>
      <c r="WPF1" s="70"/>
      <c r="WPG1" s="70"/>
      <c r="WPH1" s="70"/>
      <c r="WPI1" s="70"/>
      <c r="WPJ1" s="70"/>
      <c r="WPK1" s="70"/>
      <c r="WPL1" s="70"/>
      <c r="WPM1" s="70"/>
      <c r="WPN1" s="70"/>
      <c r="WPO1" s="70"/>
      <c r="WPP1" s="70"/>
      <c r="WPQ1" s="70"/>
      <c r="WPR1" s="70"/>
      <c r="WPS1" s="70"/>
      <c r="WPT1" s="70"/>
      <c r="WPU1" s="70"/>
      <c r="WPV1" s="70"/>
      <c r="WPW1" s="70"/>
      <c r="WPX1" s="70"/>
      <c r="WPY1" s="70"/>
      <c r="WPZ1" s="70"/>
      <c r="WQA1" s="70"/>
      <c r="WQB1" s="70"/>
      <c r="WQC1" s="70"/>
      <c r="WQD1" s="70"/>
      <c r="WQE1" s="70"/>
      <c r="WQF1" s="70"/>
      <c r="WQG1" s="70"/>
      <c r="WQH1" s="70"/>
      <c r="WQI1" s="70"/>
      <c r="WQJ1" s="70"/>
      <c r="WQK1" s="70"/>
      <c r="WQL1" s="70"/>
      <c r="WQM1" s="70"/>
      <c r="WQN1" s="70"/>
      <c r="WQO1" s="70"/>
      <c r="WQP1" s="70"/>
      <c r="WQQ1" s="70"/>
      <c r="WQR1" s="70"/>
      <c r="WQS1" s="70"/>
      <c r="WQT1" s="70"/>
      <c r="WQU1" s="70"/>
      <c r="WQV1" s="70"/>
      <c r="WQW1" s="70"/>
      <c r="WQX1" s="70"/>
      <c r="WQY1" s="70"/>
      <c r="WQZ1" s="70"/>
      <c r="WRA1" s="70"/>
      <c r="WRB1" s="70"/>
      <c r="WRC1" s="70"/>
      <c r="WRD1" s="70"/>
      <c r="WRE1" s="70"/>
      <c r="WRF1" s="70"/>
      <c r="WRG1" s="70"/>
      <c r="WRH1" s="70"/>
      <c r="WRI1" s="70"/>
      <c r="WRJ1" s="70"/>
      <c r="WRK1" s="70"/>
      <c r="WRL1" s="70"/>
      <c r="WRM1" s="70"/>
      <c r="WRN1" s="70"/>
      <c r="WRO1" s="70"/>
      <c r="WRP1" s="70"/>
      <c r="WRQ1" s="70"/>
      <c r="WRR1" s="70"/>
      <c r="WRS1" s="70"/>
      <c r="WRT1" s="70"/>
      <c r="WRU1" s="70"/>
      <c r="WRV1" s="70"/>
      <c r="WRW1" s="70"/>
      <c r="WRX1" s="70"/>
      <c r="WRY1" s="70"/>
      <c r="WRZ1" s="70"/>
      <c r="WSA1" s="70"/>
      <c r="WSB1" s="70"/>
      <c r="WSC1" s="70"/>
      <c r="WSD1" s="70"/>
      <c r="WSE1" s="70"/>
      <c r="WSF1" s="70"/>
      <c r="WSG1" s="70"/>
      <c r="WSH1" s="70"/>
      <c r="WSI1" s="70"/>
      <c r="WSJ1" s="70"/>
      <c r="WSK1" s="70"/>
      <c r="WSL1" s="70"/>
      <c r="WSM1" s="70"/>
      <c r="WSN1" s="70"/>
      <c r="WSO1" s="70"/>
      <c r="WSP1" s="70"/>
      <c r="WSQ1" s="70"/>
      <c r="WSR1" s="70"/>
      <c r="WSS1" s="70"/>
      <c r="WST1" s="70"/>
      <c r="WSU1" s="70"/>
      <c r="WSV1" s="70"/>
      <c r="WSW1" s="70"/>
      <c r="WSX1" s="70"/>
      <c r="WSY1" s="70"/>
      <c r="WSZ1" s="70"/>
      <c r="WTA1" s="70"/>
      <c r="WTB1" s="70"/>
      <c r="WTC1" s="70"/>
      <c r="WTD1" s="70"/>
      <c r="WTE1" s="70"/>
      <c r="WTF1" s="70"/>
      <c r="WTG1" s="70"/>
      <c r="WTH1" s="70"/>
      <c r="WTI1" s="70"/>
      <c r="WTJ1" s="70"/>
      <c r="WTK1" s="70"/>
      <c r="WTL1" s="70"/>
      <c r="WTM1" s="70"/>
      <c r="WTN1" s="70"/>
      <c r="WTO1" s="70"/>
      <c r="WTP1" s="70"/>
      <c r="WTQ1" s="70"/>
      <c r="WTR1" s="70"/>
      <c r="WTS1" s="70"/>
      <c r="WTT1" s="70"/>
      <c r="WTU1" s="70"/>
      <c r="WTV1" s="70"/>
      <c r="WTW1" s="70"/>
      <c r="WTX1" s="70"/>
      <c r="WTY1" s="70"/>
      <c r="WTZ1" s="70"/>
      <c r="WUA1" s="70"/>
      <c r="WUB1" s="70"/>
      <c r="WUC1" s="70"/>
      <c r="WUD1" s="70"/>
      <c r="WUE1" s="70"/>
      <c r="WUF1" s="70"/>
      <c r="WUG1" s="70"/>
      <c r="WUH1" s="70"/>
      <c r="WUI1" s="70"/>
      <c r="WUJ1" s="70"/>
      <c r="WUK1" s="70"/>
      <c r="WUL1" s="70"/>
      <c r="WUM1" s="70"/>
      <c r="WUN1" s="70"/>
      <c r="WUO1" s="70"/>
      <c r="WUP1" s="70"/>
      <c r="WUQ1" s="70"/>
      <c r="WUR1" s="70"/>
      <c r="WUS1" s="70"/>
      <c r="WUT1" s="70"/>
      <c r="WUU1" s="70"/>
      <c r="WUV1" s="70"/>
      <c r="WUW1" s="70"/>
      <c r="WUX1" s="70"/>
      <c r="WUY1" s="70"/>
      <c r="WUZ1" s="70"/>
      <c r="WVA1" s="70"/>
      <c r="WVB1" s="70"/>
      <c r="WVC1" s="70"/>
      <c r="WVD1" s="70"/>
      <c r="WVE1" s="70"/>
      <c r="WVF1" s="70"/>
      <c r="WVG1" s="70"/>
      <c r="WVH1" s="70"/>
      <c r="WVI1" s="70"/>
      <c r="WVJ1" s="70"/>
      <c r="WVK1" s="70"/>
      <c r="WVL1" s="70"/>
      <c r="WVM1" s="70"/>
      <c r="WVN1" s="70"/>
      <c r="WVO1" s="70"/>
      <c r="WVP1" s="70"/>
      <c r="WVQ1" s="70"/>
      <c r="WVR1" s="70"/>
      <c r="WVS1" s="70"/>
      <c r="WVT1" s="70"/>
      <c r="WVU1" s="70"/>
      <c r="WVV1" s="70"/>
      <c r="WVW1" s="70"/>
      <c r="WVX1" s="70"/>
      <c r="WVY1" s="70"/>
      <c r="WVZ1" s="70"/>
      <c r="WWA1" s="70"/>
      <c r="WWB1" s="70"/>
      <c r="WWC1" s="70"/>
      <c r="WWD1" s="70"/>
      <c r="WWE1" s="70"/>
      <c r="WWF1" s="70"/>
      <c r="WWG1" s="70"/>
      <c r="WWH1" s="70"/>
      <c r="WWI1" s="70"/>
      <c r="WWJ1" s="70"/>
      <c r="WWK1" s="70"/>
      <c r="WWL1" s="70"/>
      <c r="WWM1" s="70"/>
      <c r="WWN1" s="70"/>
      <c r="WWO1" s="70"/>
      <c r="WWP1" s="70"/>
      <c r="WWQ1" s="70"/>
      <c r="WWR1" s="70"/>
      <c r="WWS1" s="70"/>
      <c r="WWT1" s="70"/>
      <c r="WWU1" s="70"/>
      <c r="WWV1" s="70"/>
      <c r="WWW1" s="70"/>
      <c r="WWX1" s="70"/>
      <c r="WWY1" s="70"/>
      <c r="WWZ1" s="70"/>
      <c r="WXA1" s="70"/>
      <c r="WXB1" s="70"/>
      <c r="WXC1" s="70"/>
      <c r="WXD1" s="70"/>
      <c r="WXE1" s="70"/>
      <c r="WXF1" s="70"/>
      <c r="WXG1" s="70"/>
      <c r="WXH1" s="70"/>
      <c r="WXI1" s="70"/>
      <c r="WXJ1" s="70"/>
      <c r="WXK1" s="70"/>
      <c r="WXL1" s="70"/>
      <c r="WXM1" s="70"/>
      <c r="WXN1" s="70"/>
      <c r="WXO1" s="70"/>
      <c r="WXP1" s="70"/>
      <c r="WXQ1" s="70"/>
      <c r="WXR1" s="70"/>
      <c r="WXS1" s="70"/>
      <c r="WXT1" s="70"/>
      <c r="WXU1" s="70"/>
      <c r="WXV1" s="70"/>
      <c r="WXW1" s="70"/>
      <c r="WXX1" s="70"/>
      <c r="WXY1" s="70"/>
      <c r="WXZ1" s="70"/>
      <c r="WYA1" s="70"/>
      <c r="WYB1" s="70"/>
      <c r="WYC1" s="70"/>
      <c r="WYD1" s="70"/>
      <c r="WYE1" s="70"/>
      <c r="WYF1" s="70"/>
      <c r="WYG1" s="70"/>
      <c r="WYH1" s="70"/>
      <c r="WYI1" s="70"/>
      <c r="WYJ1" s="70"/>
      <c r="WYK1" s="70"/>
      <c r="WYL1" s="70"/>
      <c r="WYM1" s="70"/>
      <c r="WYN1" s="70"/>
      <c r="WYO1" s="70"/>
      <c r="WYP1" s="70"/>
      <c r="WYQ1" s="70"/>
      <c r="WYR1" s="70"/>
      <c r="WYS1" s="70"/>
      <c r="WYT1" s="70"/>
      <c r="WYU1" s="70"/>
      <c r="WYV1" s="70"/>
      <c r="WYW1" s="70"/>
      <c r="WYX1" s="70"/>
      <c r="WYY1" s="70"/>
      <c r="WYZ1" s="70"/>
      <c r="WZA1" s="70"/>
      <c r="WZB1" s="70"/>
      <c r="WZC1" s="70"/>
      <c r="WZD1" s="70"/>
      <c r="WZE1" s="70"/>
      <c r="WZF1" s="70"/>
      <c r="WZG1" s="70"/>
      <c r="WZH1" s="70"/>
      <c r="WZI1" s="70"/>
      <c r="WZJ1" s="70"/>
      <c r="WZK1" s="70"/>
      <c r="WZL1" s="70"/>
      <c r="WZM1" s="70"/>
      <c r="WZN1" s="70"/>
      <c r="WZO1" s="70"/>
      <c r="WZP1" s="70"/>
      <c r="WZQ1" s="70"/>
      <c r="WZR1" s="70"/>
      <c r="WZS1" s="70"/>
      <c r="WZT1" s="70"/>
      <c r="WZU1" s="70"/>
      <c r="WZV1" s="70"/>
      <c r="WZW1" s="70"/>
      <c r="WZX1" s="70"/>
      <c r="WZY1" s="70"/>
      <c r="WZZ1" s="70"/>
      <c r="XAA1" s="70"/>
      <c r="XAB1" s="70"/>
      <c r="XAC1" s="70"/>
      <c r="XAD1" s="70"/>
      <c r="XAE1" s="70"/>
      <c r="XAF1" s="70"/>
      <c r="XAG1" s="70"/>
      <c r="XAH1" s="70"/>
      <c r="XAI1" s="70"/>
      <c r="XAJ1" s="70"/>
      <c r="XAK1" s="70"/>
      <c r="XAL1" s="70"/>
      <c r="XAM1" s="70"/>
      <c r="XAN1" s="70"/>
      <c r="XAO1" s="70"/>
      <c r="XAP1" s="70"/>
      <c r="XAQ1" s="70"/>
      <c r="XAR1" s="70"/>
      <c r="XAS1" s="70"/>
      <c r="XAT1" s="70"/>
      <c r="XAU1" s="70"/>
      <c r="XAV1" s="70"/>
      <c r="XAW1" s="70"/>
      <c r="XAX1" s="70"/>
      <c r="XAY1" s="70"/>
      <c r="XAZ1" s="70"/>
      <c r="XBA1" s="70"/>
      <c r="XBB1" s="70"/>
      <c r="XBC1" s="70"/>
      <c r="XBD1" s="70"/>
      <c r="XBE1" s="70"/>
      <c r="XBF1" s="70"/>
      <c r="XBG1" s="70"/>
      <c r="XBH1" s="70"/>
      <c r="XBI1" s="70"/>
      <c r="XBJ1" s="70"/>
      <c r="XBK1" s="70"/>
      <c r="XBL1" s="70"/>
      <c r="XBM1" s="70"/>
      <c r="XBN1" s="70"/>
      <c r="XBO1" s="70"/>
      <c r="XBP1" s="70"/>
      <c r="XBQ1" s="70"/>
      <c r="XBR1" s="70"/>
      <c r="XBS1" s="70"/>
      <c r="XBT1" s="70"/>
      <c r="XBU1" s="70"/>
      <c r="XBV1" s="70"/>
      <c r="XBW1" s="70"/>
      <c r="XBX1" s="70"/>
      <c r="XBY1" s="70"/>
      <c r="XBZ1" s="70"/>
      <c r="XCA1" s="70"/>
      <c r="XCB1" s="70"/>
      <c r="XCC1" s="70"/>
      <c r="XCD1" s="70"/>
      <c r="XCE1" s="70"/>
      <c r="XCF1" s="70"/>
      <c r="XCG1" s="70"/>
      <c r="XCH1" s="70"/>
      <c r="XCI1" s="70"/>
      <c r="XCJ1" s="70"/>
      <c r="XCK1" s="70"/>
      <c r="XCL1" s="70"/>
      <c r="XCM1" s="70"/>
      <c r="XCN1" s="70"/>
      <c r="XCO1" s="70"/>
      <c r="XCP1" s="70"/>
      <c r="XCQ1" s="70"/>
      <c r="XCR1" s="70"/>
      <c r="XCS1" s="70"/>
      <c r="XCT1" s="70"/>
      <c r="XCU1" s="70"/>
      <c r="XCV1" s="70"/>
      <c r="XCW1" s="70"/>
      <c r="XCX1" s="70"/>
      <c r="XCY1" s="70"/>
      <c r="XCZ1" s="70"/>
      <c r="XDA1" s="70"/>
      <c r="XDB1" s="70"/>
      <c r="XDC1" s="70"/>
      <c r="XDD1" s="70"/>
      <c r="XDE1" s="70"/>
      <c r="XDF1" s="70"/>
      <c r="XDG1" s="70"/>
      <c r="XDH1" s="70"/>
      <c r="XDI1" s="70"/>
      <c r="XDJ1" s="70"/>
      <c r="XDK1" s="70"/>
      <c r="XDL1" s="70"/>
      <c r="XDM1" s="70"/>
      <c r="XDN1" s="70"/>
      <c r="XDO1" s="70"/>
      <c r="XDP1" s="70"/>
      <c r="XDQ1" s="70"/>
      <c r="XDR1" s="70"/>
      <c r="XDS1" s="70"/>
      <c r="XDT1" s="70"/>
      <c r="XDU1" s="70"/>
      <c r="XDV1" s="70"/>
      <c r="XDW1" s="70"/>
      <c r="XDX1" s="70"/>
      <c r="XDY1" s="70"/>
      <c r="XDZ1" s="70"/>
      <c r="XEA1" s="70"/>
      <c r="XEB1" s="70"/>
      <c r="XEC1" s="70"/>
      <c r="XED1" s="70"/>
      <c r="XEE1" s="70"/>
      <c r="XEF1" s="70"/>
      <c r="XEG1" s="70"/>
      <c r="XEH1" s="70"/>
      <c r="XEI1" s="70"/>
      <c r="XEJ1" s="70"/>
      <c r="XEK1" s="70"/>
      <c r="XEL1" s="70"/>
      <c r="XEM1" s="70"/>
      <c r="XEN1" s="70"/>
      <c r="XEO1" s="70"/>
      <c r="XEP1" s="70"/>
      <c r="XEQ1" s="70"/>
      <c r="XER1" s="70"/>
      <c r="XES1" s="70"/>
      <c r="XET1" s="70"/>
      <c r="XEU1" s="70"/>
      <c r="XEV1" s="70"/>
      <c r="XEW1" s="70"/>
      <c r="XEX1" s="70"/>
      <c r="XEY1" s="70"/>
      <c r="XEZ1" s="70"/>
      <c r="XFA1" s="70"/>
      <c r="XFB1" s="70"/>
      <c r="XFC1" s="70"/>
      <c r="XFD1" s="70"/>
    </row>
    <row r="2" spans="1:16384" ht="15" thickTop="1" x14ac:dyDescent="0.3">
      <c r="A2" s="125" t="s">
        <v>1046</v>
      </c>
      <c r="B2" s="125" t="s">
        <v>1068</v>
      </c>
      <c r="C2" s="125" t="s">
        <v>8</v>
      </c>
      <c r="D2" s="103" t="s">
        <v>359</v>
      </c>
      <c r="E2" s="104">
        <v>1</v>
      </c>
      <c r="F2" s="103" t="s">
        <v>360</v>
      </c>
      <c r="G2" s="103" t="s">
        <v>361</v>
      </c>
      <c r="H2" s="103" t="s">
        <v>362</v>
      </c>
      <c r="I2" s="103">
        <v>1</v>
      </c>
      <c r="J2" s="103">
        <v>94.95</v>
      </c>
      <c r="K2" s="103" t="s">
        <v>1913</v>
      </c>
      <c r="L2" s="103" t="s">
        <v>1054</v>
      </c>
      <c r="M2" s="103">
        <f t="shared" ref="M2:M42" si="0">E2*J2</f>
        <v>94.95</v>
      </c>
    </row>
    <row r="3" spans="1:16384" x14ac:dyDescent="0.3">
      <c r="A3" s="125" t="s">
        <v>1046</v>
      </c>
      <c r="B3" s="125" t="s">
        <v>1409</v>
      </c>
      <c r="C3" s="125" t="s">
        <v>8</v>
      </c>
      <c r="D3" s="103" t="s">
        <v>1330</v>
      </c>
      <c r="E3" s="104">
        <v>1</v>
      </c>
      <c r="F3" s="103" t="s">
        <v>1331</v>
      </c>
      <c r="G3" s="103" t="s">
        <v>1332</v>
      </c>
      <c r="H3" s="103" t="s">
        <v>1333</v>
      </c>
      <c r="I3" s="103">
        <v>1</v>
      </c>
      <c r="J3" s="103">
        <v>69.95</v>
      </c>
      <c r="K3" s="103" t="s">
        <v>1914</v>
      </c>
      <c r="L3" s="103" t="s">
        <v>1350</v>
      </c>
      <c r="M3" s="103">
        <f t="shared" si="0"/>
        <v>69.95</v>
      </c>
    </row>
    <row r="4" spans="1:16384" x14ac:dyDescent="0.3">
      <c r="A4" s="125" t="s">
        <v>1046</v>
      </c>
      <c r="B4" s="125" t="s">
        <v>1409</v>
      </c>
      <c r="C4" s="125" t="s">
        <v>8</v>
      </c>
      <c r="D4" s="103" t="s">
        <v>1318</v>
      </c>
      <c r="E4" s="104">
        <v>1</v>
      </c>
      <c r="F4" s="103" t="s">
        <v>1319</v>
      </c>
      <c r="G4" s="103" t="s">
        <v>1320</v>
      </c>
      <c r="H4" s="103" t="s">
        <v>1321</v>
      </c>
      <c r="I4" s="103"/>
      <c r="J4" s="103">
        <v>9.9499999999999993</v>
      </c>
      <c r="K4" s="103" t="s">
        <v>1914</v>
      </c>
      <c r="L4" s="103" t="s">
        <v>1350</v>
      </c>
      <c r="M4" s="103">
        <f t="shared" si="0"/>
        <v>9.9499999999999993</v>
      </c>
    </row>
    <row r="5" spans="1:16384" s="120" customFormat="1" x14ac:dyDescent="0.3">
      <c r="A5" s="118" t="s">
        <v>1046</v>
      </c>
      <c r="B5" s="118" t="s">
        <v>1409</v>
      </c>
      <c r="C5" s="118" t="s">
        <v>8</v>
      </c>
      <c r="D5" s="128" t="s">
        <v>1322</v>
      </c>
      <c r="E5" s="129">
        <v>1</v>
      </c>
      <c r="F5" s="128" t="s">
        <v>1323</v>
      </c>
      <c r="G5" s="128" t="s">
        <v>1324</v>
      </c>
      <c r="H5" s="128" t="s">
        <v>1325</v>
      </c>
      <c r="I5" s="128">
        <v>1</v>
      </c>
      <c r="J5" s="128">
        <v>99.95</v>
      </c>
      <c r="K5" s="128" t="s">
        <v>1914</v>
      </c>
      <c r="L5" s="128" t="s">
        <v>1350</v>
      </c>
      <c r="M5" s="128">
        <f t="shared" si="0"/>
        <v>99.95</v>
      </c>
    </row>
    <row r="6" spans="1:16384" s="120" customFormat="1" x14ac:dyDescent="0.3">
      <c r="A6" s="118" t="s">
        <v>1046</v>
      </c>
      <c r="B6" s="118" t="s">
        <v>1409</v>
      </c>
      <c r="C6" s="118" t="s">
        <v>8</v>
      </c>
      <c r="D6" s="128" t="s">
        <v>1326</v>
      </c>
      <c r="E6" s="129">
        <v>0</v>
      </c>
      <c r="F6" s="128" t="s">
        <v>1327</v>
      </c>
      <c r="G6" s="128" t="s">
        <v>1328</v>
      </c>
      <c r="H6" s="128" t="s">
        <v>1329</v>
      </c>
      <c r="I6" s="128">
        <v>1</v>
      </c>
      <c r="J6" s="128">
        <v>65.95</v>
      </c>
      <c r="K6" s="128" t="s">
        <v>1914</v>
      </c>
      <c r="L6" s="128" t="s">
        <v>1350</v>
      </c>
      <c r="M6" s="128">
        <f t="shared" si="0"/>
        <v>0</v>
      </c>
    </row>
    <row r="7" spans="1:16384" s="120" customFormat="1" x14ac:dyDescent="0.3">
      <c r="A7" s="118" t="s">
        <v>1046</v>
      </c>
      <c r="B7" s="118" t="s">
        <v>1409</v>
      </c>
      <c r="C7" s="118" t="s">
        <v>8</v>
      </c>
      <c r="D7" s="128" t="s">
        <v>1314</v>
      </c>
      <c r="E7" s="129">
        <v>0</v>
      </c>
      <c r="F7" s="128" t="s">
        <v>1315</v>
      </c>
      <c r="G7" s="128" t="s">
        <v>1316</v>
      </c>
      <c r="H7" s="128" t="s">
        <v>1317</v>
      </c>
      <c r="I7" s="128"/>
      <c r="J7" s="128">
        <v>7.95</v>
      </c>
      <c r="K7" s="128" t="s">
        <v>1914</v>
      </c>
      <c r="L7" s="128" t="s">
        <v>1350</v>
      </c>
      <c r="M7" s="128">
        <f t="shared" si="0"/>
        <v>0</v>
      </c>
    </row>
    <row r="8" spans="1:16384" s="120" customFormat="1" x14ac:dyDescent="0.3">
      <c r="A8" s="128" t="s">
        <v>1046</v>
      </c>
      <c r="B8" s="128" t="s">
        <v>1409</v>
      </c>
      <c r="C8" s="128" t="s">
        <v>1898</v>
      </c>
      <c r="D8" s="128" t="s">
        <v>2376</v>
      </c>
      <c r="E8" s="129">
        <v>1</v>
      </c>
      <c r="F8" s="128"/>
      <c r="G8" s="128"/>
      <c r="H8" s="118" t="s">
        <v>2377</v>
      </c>
      <c r="J8" s="118">
        <v>49.95</v>
      </c>
      <c r="K8" s="118" t="s">
        <v>1914</v>
      </c>
      <c r="L8" s="118"/>
    </row>
    <row r="9" spans="1:16384" s="120" customFormat="1" x14ac:dyDescent="0.3">
      <c r="A9" s="128" t="s">
        <v>1046</v>
      </c>
      <c r="B9" s="128" t="s">
        <v>1409</v>
      </c>
      <c r="C9" s="128" t="s">
        <v>1898</v>
      </c>
      <c r="D9" s="128" t="s">
        <v>2378</v>
      </c>
      <c r="E9" s="129">
        <v>0</v>
      </c>
      <c r="F9" s="128"/>
      <c r="G9" s="128"/>
      <c r="H9" s="118" t="s">
        <v>2379</v>
      </c>
      <c r="J9" s="118">
        <v>9.9499999999999993</v>
      </c>
      <c r="K9" s="118" t="s">
        <v>1914</v>
      </c>
      <c r="L9" s="118"/>
    </row>
    <row r="10" spans="1:16384" s="120" customFormat="1" x14ac:dyDescent="0.3">
      <c r="A10" s="128" t="s">
        <v>1046</v>
      </c>
      <c r="B10" s="128" t="s">
        <v>1409</v>
      </c>
      <c r="C10" s="128" t="s">
        <v>1898</v>
      </c>
      <c r="D10" s="128" t="s">
        <v>2380</v>
      </c>
      <c r="E10" s="129">
        <v>0</v>
      </c>
      <c r="F10" s="128"/>
      <c r="G10" s="128"/>
      <c r="H10" s="118" t="s">
        <v>2381</v>
      </c>
      <c r="J10" s="118">
        <v>19.95</v>
      </c>
      <c r="K10" s="118" t="s">
        <v>1914</v>
      </c>
      <c r="L10" s="118"/>
    </row>
    <row r="11" spans="1:16384" s="120" customFormat="1" x14ac:dyDescent="0.3">
      <c r="A11" s="128" t="s">
        <v>1046</v>
      </c>
      <c r="B11" s="128" t="s">
        <v>1409</v>
      </c>
      <c r="C11" s="128" t="s">
        <v>1898</v>
      </c>
      <c r="D11" s="128" t="s">
        <v>2382</v>
      </c>
      <c r="E11" s="129">
        <v>1</v>
      </c>
      <c r="F11" s="128"/>
      <c r="G11" s="128"/>
      <c r="H11" s="118" t="s">
        <v>2383</v>
      </c>
      <c r="J11" s="118">
        <v>9.9499999999999993</v>
      </c>
      <c r="K11" s="118" t="s">
        <v>1914</v>
      </c>
      <c r="L11" s="118"/>
    </row>
    <row r="12" spans="1:16384" s="120" customFormat="1" x14ac:dyDescent="0.3">
      <c r="A12" s="128" t="s">
        <v>1046</v>
      </c>
      <c r="B12" s="128" t="s">
        <v>1409</v>
      </c>
      <c r="C12" s="128" t="s">
        <v>1898</v>
      </c>
      <c r="D12" s="128" t="s">
        <v>2384</v>
      </c>
      <c r="E12" s="129">
        <v>0</v>
      </c>
      <c r="F12" s="128"/>
      <c r="G12" s="128"/>
      <c r="H12" s="118" t="s">
        <v>2385</v>
      </c>
      <c r="J12" s="118">
        <v>7.95</v>
      </c>
      <c r="K12" s="118" t="s">
        <v>1914</v>
      </c>
      <c r="L12" s="118"/>
    </row>
    <row r="13" spans="1:16384" s="120" customFormat="1" x14ac:dyDescent="0.3">
      <c r="A13" s="128" t="s">
        <v>1046</v>
      </c>
      <c r="B13" s="128" t="s">
        <v>1409</v>
      </c>
      <c r="C13" s="128" t="s">
        <v>1898</v>
      </c>
      <c r="D13" s="128" t="s">
        <v>2386</v>
      </c>
      <c r="E13" s="129">
        <v>1</v>
      </c>
      <c r="F13" s="128"/>
      <c r="G13" s="128"/>
      <c r="H13" s="118" t="s">
        <v>2387</v>
      </c>
      <c r="J13" s="118">
        <v>39.950000000000003</v>
      </c>
      <c r="K13" s="118" t="s">
        <v>1914</v>
      </c>
      <c r="L13" s="118"/>
    </row>
    <row r="14" spans="1:16384" s="120" customFormat="1" x14ac:dyDescent="0.3">
      <c r="A14" s="128" t="s">
        <v>1046</v>
      </c>
      <c r="B14" s="128" t="s">
        <v>1409</v>
      </c>
      <c r="C14" s="128" t="s">
        <v>1898</v>
      </c>
      <c r="D14" s="128" t="s">
        <v>2388</v>
      </c>
      <c r="E14" s="129">
        <v>0</v>
      </c>
      <c r="F14" s="128"/>
      <c r="G14" s="128"/>
      <c r="H14" s="118" t="s">
        <v>2389</v>
      </c>
      <c r="J14" s="118">
        <v>39.950000000000003</v>
      </c>
      <c r="K14" s="118" t="s">
        <v>1914</v>
      </c>
      <c r="L14" s="118"/>
    </row>
    <row r="15" spans="1:16384" s="120" customFormat="1" x14ac:dyDescent="0.3">
      <c r="A15" s="128" t="s">
        <v>1046</v>
      </c>
      <c r="B15" s="128" t="s">
        <v>1409</v>
      </c>
      <c r="C15" s="128" t="s">
        <v>1898</v>
      </c>
      <c r="D15" s="128" t="s">
        <v>2390</v>
      </c>
      <c r="E15" s="129">
        <v>0</v>
      </c>
      <c r="F15" s="128"/>
      <c r="G15" s="128"/>
      <c r="H15" s="118" t="s">
        <v>2391</v>
      </c>
      <c r="J15" s="118">
        <v>49.95</v>
      </c>
      <c r="K15" s="118" t="s">
        <v>1914</v>
      </c>
      <c r="L15" s="118"/>
    </row>
    <row r="16" spans="1:16384" x14ac:dyDescent="0.3">
      <c r="A16" s="125" t="s">
        <v>1046</v>
      </c>
      <c r="B16" s="125" t="s">
        <v>1042</v>
      </c>
      <c r="C16" s="125" t="s">
        <v>8</v>
      </c>
      <c r="D16" s="103" t="s">
        <v>340</v>
      </c>
      <c r="E16" s="104">
        <v>1</v>
      </c>
      <c r="F16" s="103" t="s">
        <v>341</v>
      </c>
      <c r="G16" s="103" t="s">
        <v>342</v>
      </c>
      <c r="H16" s="103" t="s">
        <v>343</v>
      </c>
      <c r="I16" s="103">
        <v>1</v>
      </c>
      <c r="J16" s="103">
        <v>54.95</v>
      </c>
      <c r="K16" s="103" t="s">
        <v>1914</v>
      </c>
      <c r="L16" s="103" t="s">
        <v>1045</v>
      </c>
      <c r="M16" s="103">
        <f t="shared" si="0"/>
        <v>54.95</v>
      </c>
    </row>
    <row r="17" spans="1:13" x14ac:dyDescent="0.3">
      <c r="A17" s="125" t="s">
        <v>1046</v>
      </c>
      <c r="B17" s="125" t="s">
        <v>1042</v>
      </c>
      <c r="C17" s="125" t="s">
        <v>8</v>
      </c>
      <c r="D17" s="103" t="s">
        <v>336</v>
      </c>
      <c r="E17" s="104">
        <v>1</v>
      </c>
      <c r="F17" s="103" t="s">
        <v>337</v>
      </c>
      <c r="G17" s="103" t="s">
        <v>338</v>
      </c>
      <c r="H17" s="103" t="s">
        <v>339</v>
      </c>
      <c r="I17" s="103"/>
      <c r="J17" s="103">
        <v>59.95</v>
      </c>
      <c r="K17" s="103" t="s">
        <v>1913</v>
      </c>
      <c r="L17" s="103" t="s">
        <v>1045</v>
      </c>
      <c r="M17" s="103">
        <f t="shared" si="0"/>
        <v>59.95</v>
      </c>
    </row>
    <row r="18" spans="1:13" x14ac:dyDescent="0.3">
      <c r="A18" s="125" t="s">
        <v>1046</v>
      </c>
      <c r="B18" s="125" t="s">
        <v>1043</v>
      </c>
      <c r="C18" s="125" t="s">
        <v>8</v>
      </c>
      <c r="D18" s="103" t="s">
        <v>300</v>
      </c>
      <c r="E18" s="104">
        <v>1</v>
      </c>
      <c r="F18" s="103" t="s">
        <v>301</v>
      </c>
      <c r="G18" s="103" t="s">
        <v>302</v>
      </c>
      <c r="H18" s="103" t="s">
        <v>303</v>
      </c>
      <c r="I18" s="103">
        <v>1</v>
      </c>
      <c r="J18" s="103">
        <v>99.95</v>
      </c>
      <c r="K18" s="103" t="s">
        <v>1914</v>
      </c>
      <c r="L18" s="103" t="s">
        <v>1053</v>
      </c>
      <c r="M18" s="103">
        <f t="shared" si="0"/>
        <v>99.95</v>
      </c>
    </row>
    <row r="19" spans="1:13" x14ac:dyDescent="0.3">
      <c r="A19" s="125" t="s">
        <v>1046</v>
      </c>
      <c r="B19" s="125" t="s">
        <v>1043</v>
      </c>
      <c r="C19" s="125" t="s">
        <v>8</v>
      </c>
      <c r="D19" s="103" t="s">
        <v>320</v>
      </c>
      <c r="E19" s="104">
        <v>1</v>
      </c>
      <c r="F19" s="103" t="s">
        <v>321</v>
      </c>
      <c r="G19" s="103" t="s">
        <v>322</v>
      </c>
      <c r="H19" s="103" t="s">
        <v>323</v>
      </c>
      <c r="I19" s="103">
        <v>1</v>
      </c>
      <c r="J19" s="103">
        <v>19.95</v>
      </c>
      <c r="K19" s="103" t="s">
        <v>1914</v>
      </c>
      <c r="L19" s="103" t="s">
        <v>1052</v>
      </c>
      <c r="M19" s="103">
        <f t="shared" si="0"/>
        <v>19.95</v>
      </c>
    </row>
    <row r="20" spans="1:13" x14ac:dyDescent="0.3">
      <c r="A20" s="125" t="s">
        <v>1046</v>
      </c>
      <c r="B20" s="125" t="s">
        <v>1043</v>
      </c>
      <c r="C20" s="125" t="s">
        <v>8</v>
      </c>
      <c r="D20" s="103" t="s">
        <v>308</v>
      </c>
      <c r="E20" s="104">
        <v>1</v>
      </c>
      <c r="F20" s="103" t="s">
        <v>309</v>
      </c>
      <c r="G20" s="103" t="s">
        <v>310</v>
      </c>
      <c r="H20" s="103" t="s">
        <v>311</v>
      </c>
      <c r="I20" s="103">
        <v>1</v>
      </c>
      <c r="J20" s="103">
        <v>9.9499999999999993</v>
      </c>
      <c r="K20" s="103" t="s">
        <v>1914</v>
      </c>
      <c r="L20" s="103" t="s">
        <v>1052</v>
      </c>
      <c r="M20" s="103">
        <f t="shared" si="0"/>
        <v>9.9499999999999993</v>
      </c>
    </row>
    <row r="21" spans="1:13" x14ac:dyDescent="0.3">
      <c r="A21" s="125" t="s">
        <v>1046</v>
      </c>
      <c r="B21" s="125" t="s">
        <v>1043</v>
      </c>
      <c r="C21" s="125" t="s">
        <v>8</v>
      </c>
      <c r="D21" s="103" t="s">
        <v>312</v>
      </c>
      <c r="E21" s="104">
        <v>1</v>
      </c>
      <c r="F21" s="103" t="s">
        <v>313</v>
      </c>
      <c r="G21" s="103" t="s">
        <v>314</v>
      </c>
      <c r="H21" s="103" t="s">
        <v>315</v>
      </c>
      <c r="I21" s="103">
        <v>1</v>
      </c>
      <c r="J21" s="103">
        <v>9.9499999999999993</v>
      </c>
      <c r="K21" s="103" t="s">
        <v>1914</v>
      </c>
      <c r="L21" s="103" t="s">
        <v>1052</v>
      </c>
      <c r="M21" s="103">
        <f t="shared" si="0"/>
        <v>9.9499999999999993</v>
      </c>
    </row>
    <row r="22" spans="1:13" x14ac:dyDescent="0.3">
      <c r="A22" s="125" t="s">
        <v>1046</v>
      </c>
      <c r="B22" s="125" t="s">
        <v>1043</v>
      </c>
      <c r="C22" s="125" t="s">
        <v>8</v>
      </c>
      <c r="D22" s="103" t="s">
        <v>316</v>
      </c>
      <c r="E22" s="104">
        <v>1</v>
      </c>
      <c r="F22" s="103" t="s">
        <v>317</v>
      </c>
      <c r="G22" s="103" t="s">
        <v>318</v>
      </c>
      <c r="H22" s="103" t="s">
        <v>319</v>
      </c>
      <c r="I22" s="103">
        <v>1</v>
      </c>
      <c r="J22" s="103">
        <v>9.9499999999999993</v>
      </c>
      <c r="K22" s="103" t="s">
        <v>1914</v>
      </c>
      <c r="L22" s="103" t="s">
        <v>1052</v>
      </c>
      <c r="M22" s="103">
        <f t="shared" si="0"/>
        <v>9.9499999999999993</v>
      </c>
    </row>
    <row r="23" spans="1:13" x14ac:dyDescent="0.3">
      <c r="A23" s="125" t="s">
        <v>1046</v>
      </c>
      <c r="B23" s="125" t="s">
        <v>1043</v>
      </c>
      <c r="C23" s="125" t="s">
        <v>8</v>
      </c>
      <c r="D23" s="103" t="s">
        <v>304</v>
      </c>
      <c r="E23" s="104">
        <v>1</v>
      </c>
      <c r="F23" s="103" t="s">
        <v>305</v>
      </c>
      <c r="G23" s="103" t="s">
        <v>306</v>
      </c>
      <c r="H23" s="103" t="s">
        <v>307</v>
      </c>
      <c r="I23" s="103">
        <v>1</v>
      </c>
      <c r="J23" s="103">
        <v>9.9499999999999993</v>
      </c>
      <c r="K23" s="103" t="s">
        <v>1914</v>
      </c>
      <c r="L23" s="103" t="s">
        <v>1052</v>
      </c>
      <c r="M23" s="103">
        <f t="shared" si="0"/>
        <v>9.9499999999999993</v>
      </c>
    </row>
    <row r="24" spans="1:13" x14ac:dyDescent="0.3">
      <c r="A24" s="125" t="s">
        <v>1046</v>
      </c>
      <c r="B24" s="125" t="s">
        <v>1043</v>
      </c>
      <c r="C24" s="125" t="s">
        <v>8</v>
      </c>
      <c r="D24" s="103" t="s">
        <v>1128</v>
      </c>
      <c r="E24" s="104">
        <v>1</v>
      </c>
      <c r="F24" s="103" t="s">
        <v>1129</v>
      </c>
      <c r="G24" s="103" t="s">
        <v>1130</v>
      </c>
      <c r="H24" s="103" t="s">
        <v>1131</v>
      </c>
      <c r="I24" s="103">
        <v>1</v>
      </c>
      <c r="J24" s="103">
        <v>14.95</v>
      </c>
      <c r="K24" s="103" t="s">
        <v>1914</v>
      </c>
      <c r="L24" s="103" t="s">
        <v>1052</v>
      </c>
      <c r="M24" s="103">
        <f t="shared" si="0"/>
        <v>14.95</v>
      </c>
    </row>
    <row r="25" spans="1:13" x14ac:dyDescent="0.3">
      <c r="A25" s="125" t="s">
        <v>1046</v>
      </c>
      <c r="B25" s="125" t="s">
        <v>1043</v>
      </c>
      <c r="C25" s="125" t="s">
        <v>8</v>
      </c>
      <c r="D25" s="103" t="s">
        <v>1148</v>
      </c>
      <c r="E25" s="104">
        <v>1</v>
      </c>
      <c r="F25" s="103" t="s">
        <v>1149</v>
      </c>
      <c r="G25" s="103" t="s">
        <v>1150</v>
      </c>
      <c r="H25" s="103" t="s">
        <v>1151</v>
      </c>
      <c r="I25" s="103">
        <v>1</v>
      </c>
      <c r="J25" s="103">
        <v>9.9499999999999993</v>
      </c>
      <c r="K25" s="103" t="s">
        <v>1914</v>
      </c>
      <c r="L25" s="103" t="s">
        <v>1052</v>
      </c>
      <c r="M25" s="103">
        <f t="shared" si="0"/>
        <v>9.9499999999999993</v>
      </c>
    </row>
    <row r="26" spans="1:13" x14ac:dyDescent="0.3">
      <c r="A26" s="125" t="s">
        <v>1046</v>
      </c>
      <c r="B26" s="125" t="s">
        <v>1043</v>
      </c>
      <c r="C26" s="125" t="s">
        <v>8</v>
      </c>
      <c r="D26" s="103" t="s">
        <v>799</v>
      </c>
      <c r="E26" s="104">
        <v>4</v>
      </c>
      <c r="F26" s="103" t="s">
        <v>800</v>
      </c>
      <c r="G26" s="103" t="s">
        <v>801</v>
      </c>
      <c r="H26" s="103" t="s">
        <v>802</v>
      </c>
      <c r="I26" s="103">
        <v>1</v>
      </c>
      <c r="J26" s="103">
        <v>2.95</v>
      </c>
      <c r="K26" s="103" t="s">
        <v>1914</v>
      </c>
      <c r="L26" s="103" t="s">
        <v>1052</v>
      </c>
      <c r="M26" s="103">
        <f t="shared" si="0"/>
        <v>11.8</v>
      </c>
    </row>
    <row r="27" spans="1:13" x14ac:dyDescent="0.3">
      <c r="A27" s="125" t="s">
        <v>1046</v>
      </c>
      <c r="B27" s="125" t="s">
        <v>1180</v>
      </c>
      <c r="C27" s="125" t="s">
        <v>8</v>
      </c>
      <c r="D27" s="103" t="s">
        <v>1172</v>
      </c>
      <c r="E27" s="104">
        <v>1</v>
      </c>
      <c r="F27" s="103" t="s">
        <v>1173</v>
      </c>
      <c r="G27" s="103" t="s">
        <v>1174</v>
      </c>
      <c r="H27" s="103" t="s">
        <v>1175</v>
      </c>
      <c r="I27" s="103"/>
      <c r="J27" s="103">
        <v>20</v>
      </c>
      <c r="K27" s="103" t="s">
        <v>1914</v>
      </c>
      <c r="L27" s="130" t="s">
        <v>1050</v>
      </c>
      <c r="M27" s="103">
        <f t="shared" si="0"/>
        <v>20</v>
      </c>
    </row>
    <row r="28" spans="1:13" x14ac:dyDescent="0.3">
      <c r="A28" s="125" t="s">
        <v>1046</v>
      </c>
      <c r="B28" s="125" t="s">
        <v>1180</v>
      </c>
      <c r="C28" s="125" t="s">
        <v>8</v>
      </c>
      <c r="D28" s="103" t="s">
        <v>1152</v>
      </c>
      <c r="E28" s="104">
        <v>1</v>
      </c>
      <c r="F28" s="103" t="s">
        <v>1153</v>
      </c>
      <c r="G28" s="103" t="s">
        <v>1154</v>
      </c>
      <c r="H28" s="103" t="s">
        <v>1155</v>
      </c>
      <c r="I28" s="103"/>
      <c r="J28" s="103">
        <v>9</v>
      </c>
      <c r="K28" s="103" t="s">
        <v>1914</v>
      </c>
      <c r="L28" s="130" t="s">
        <v>1050</v>
      </c>
      <c r="M28" s="103">
        <f t="shared" si="0"/>
        <v>9</v>
      </c>
    </row>
    <row r="29" spans="1:13" x14ac:dyDescent="0.3">
      <c r="A29" s="125" t="s">
        <v>1046</v>
      </c>
      <c r="B29" s="125" t="s">
        <v>1180</v>
      </c>
      <c r="C29" s="125" t="s">
        <v>8</v>
      </c>
      <c r="D29" s="103" t="s">
        <v>1156</v>
      </c>
      <c r="E29" s="104">
        <v>1</v>
      </c>
      <c r="F29" s="103" t="s">
        <v>1157</v>
      </c>
      <c r="G29" s="103" t="s">
        <v>1158</v>
      </c>
      <c r="H29" s="103" t="s">
        <v>1159</v>
      </c>
      <c r="I29" s="103"/>
      <c r="J29" s="103">
        <v>5</v>
      </c>
      <c r="K29" s="103" t="s">
        <v>1914</v>
      </c>
      <c r="L29" s="130" t="s">
        <v>1050</v>
      </c>
      <c r="M29" s="103">
        <f t="shared" si="0"/>
        <v>5</v>
      </c>
    </row>
    <row r="30" spans="1:13" x14ac:dyDescent="0.3">
      <c r="A30" s="125" t="s">
        <v>1046</v>
      </c>
      <c r="B30" s="125" t="s">
        <v>1180</v>
      </c>
      <c r="C30" s="125" t="s">
        <v>8</v>
      </c>
      <c r="D30" s="103" t="s">
        <v>1164</v>
      </c>
      <c r="E30" s="104">
        <v>1</v>
      </c>
      <c r="F30" s="103" t="s">
        <v>1165</v>
      </c>
      <c r="G30" s="103" t="s">
        <v>1166</v>
      </c>
      <c r="H30" s="103" t="s">
        <v>1167</v>
      </c>
      <c r="I30" s="103"/>
      <c r="J30" s="103">
        <v>15</v>
      </c>
      <c r="K30" s="103" t="s">
        <v>1914</v>
      </c>
      <c r="L30" s="130" t="s">
        <v>1050</v>
      </c>
      <c r="M30" s="103">
        <f t="shared" si="0"/>
        <v>15</v>
      </c>
    </row>
    <row r="31" spans="1:13" x14ac:dyDescent="0.3">
      <c r="A31" s="125" t="s">
        <v>1046</v>
      </c>
      <c r="B31" s="125" t="s">
        <v>1180</v>
      </c>
      <c r="C31" s="125" t="s">
        <v>8</v>
      </c>
      <c r="D31" s="103" t="s">
        <v>1168</v>
      </c>
      <c r="E31" s="104">
        <v>1</v>
      </c>
      <c r="F31" s="103" t="s">
        <v>1169</v>
      </c>
      <c r="G31" s="103" t="s">
        <v>1170</v>
      </c>
      <c r="H31" s="103" t="s">
        <v>1171</v>
      </c>
      <c r="I31" s="103"/>
      <c r="J31" s="103">
        <v>15</v>
      </c>
      <c r="K31" s="103" t="s">
        <v>1914</v>
      </c>
      <c r="L31" s="130" t="s">
        <v>1050</v>
      </c>
      <c r="M31" s="103">
        <f t="shared" si="0"/>
        <v>15</v>
      </c>
    </row>
    <row r="32" spans="1:13" x14ac:dyDescent="0.3">
      <c r="A32" s="125" t="s">
        <v>1046</v>
      </c>
      <c r="B32" s="125" t="s">
        <v>1180</v>
      </c>
      <c r="D32" s="103" t="s">
        <v>2437</v>
      </c>
      <c r="E32" s="104">
        <v>1</v>
      </c>
      <c r="F32" s="103" t="s">
        <v>2438</v>
      </c>
      <c r="G32" s="103" t="s">
        <v>2439</v>
      </c>
      <c r="H32" s="103" t="s">
        <v>2440</v>
      </c>
      <c r="I32" s="103"/>
      <c r="J32" s="103">
        <v>15</v>
      </c>
      <c r="K32" s="125" t="s">
        <v>1914</v>
      </c>
      <c r="L32" s="102" t="s">
        <v>1050</v>
      </c>
      <c r="M32" s="103">
        <f t="shared" si="0"/>
        <v>15</v>
      </c>
    </row>
    <row r="33" spans="1:13" x14ac:dyDescent="0.3">
      <c r="A33" s="125" t="s">
        <v>1046</v>
      </c>
      <c r="B33" s="125" t="s">
        <v>1180</v>
      </c>
      <c r="D33" s="103" t="s">
        <v>2441</v>
      </c>
      <c r="E33" s="104">
        <v>1</v>
      </c>
      <c r="F33" s="103" t="s">
        <v>2442</v>
      </c>
      <c r="G33" s="103" t="s">
        <v>2443</v>
      </c>
      <c r="H33" s="103" t="s">
        <v>2444</v>
      </c>
      <c r="I33" s="103"/>
      <c r="J33" s="103">
        <v>10</v>
      </c>
      <c r="K33" s="125" t="s">
        <v>1914</v>
      </c>
      <c r="L33" s="102" t="s">
        <v>1050</v>
      </c>
      <c r="M33" s="103">
        <f t="shared" si="0"/>
        <v>10</v>
      </c>
    </row>
    <row r="34" spans="1:13" x14ac:dyDescent="0.3">
      <c r="A34" s="125" t="s">
        <v>1047</v>
      </c>
      <c r="B34" s="125" t="s">
        <v>1075</v>
      </c>
      <c r="C34" s="125" t="s">
        <v>8</v>
      </c>
      <c r="D34" s="103" t="s">
        <v>1076</v>
      </c>
      <c r="E34" s="104">
        <v>1</v>
      </c>
      <c r="F34" s="103" t="s">
        <v>1077</v>
      </c>
      <c r="G34" s="103" t="s">
        <v>1078</v>
      </c>
      <c r="H34" s="103" t="s">
        <v>1079</v>
      </c>
      <c r="I34" s="103"/>
      <c r="J34" s="103">
        <v>15</v>
      </c>
      <c r="K34" s="103" t="s">
        <v>1914</v>
      </c>
      <c r="L34" s="130" t="s">
        <v>1050</v>
      </c>
      <c r="M34" s="103">
        <f t="shared" si="0"/>
        <v>15</v>
      </c>
    </row>
    <row r="35" spans="1:13" x14ac:dyDescent="0.3">
      <c r="A35" s="125" t="s">
        <v>1047</v>
      </c>
      <c r="B35" s="125" t="s">
        <v>1075</v>
      </c>
      <c r="C35" s="125" t="s">
        <v>8</v>
      </c>
      <c r="D35" s="103" t="s">
        <v>1152</v>
      </c>
      <c r="E35" s="104">
        <v>1</v>
      </c>
      <c r="F35" s="103" t="s">
        <v>1153</v>
      </c>
      <c r="G35" s="103" t="s">
        <v>1154</v>
      </c>
      <c r="H35" s="103" t="s">
        <v>1155</v>
      </c>
      <c r="I35" s="103"/>
      <c r="J35" s="103">
        <v>9</v>
      </c>
      <c r="K35" s="103" t="s">
        <v>1914</v>
      </c>
      <c r="L35" s="130" t="s">
        <v>1050</v>
      </c>
      <c r="M35" s="103">
        <f t="shared" si="0"/>
        <v>9</v>
      </c>
    </row>
    <row r="36" spans="1:13" x14ac:dyDescent="0.3">
      <c r="A36" s="125" t="s">
        <v>1047</v>
      </c>
      <c r="B36" s="125" t="s">
        <v>1075</v>
      </c>
      <c r="C36" s="125" t="s">
        <v>8</v>
      </c>
      <c r="D36" s="103" t="s">
        <v>1160</v>
      </c>
      <c r="E36" s="104">
        <v>1</v>
      </c>
      <c r="F36" s="103" t="s">
        <v>1161</v>
      </c>
      <c r="G36" s="103" t="s">
        <v>1162</v>
      </c>
      <c r="H36" s="103" t="s">
        <v>1163</v>
      </c>
      <c r="I36" s="103"/>
      <c r="J36" s="103">
        <v>30</v>
      </c>
      <c r="K36" s="103" t="s">
        <v>1914</v>
      </c>
      <c r="L36" s="130" t="s">
        <v>1050</v>
      </c>
      <c r="M36" s="103">
        <f t="shared" si="0"/>
        <v>30</v>
      </c>
    </row>
    <row r="37" spans="1:13" x14ac:dyDescent="0.3">
      <c r="A37" s="125" t="s">
        <v>1047</v>
      </c>
      <c r="B37" s="125" t="s">
        <v>1075</v>
      </c>
      <c r="C37" s="125" t="s">
        <v>8</v>
      </c>
      <c r="D37" s="103" t="s">
        <v>1156</v>
      </c>
      <c r="E37" s="104">
        <v>1</v>
      </c>
      <c r="F37" s="103" t="s">
        <v>1157</v>
      </c>
      <c r="G37" s="103" t="s">
        <v>1158</v>
      </c>
      <c r="H37" s="103" t="s">
        <v>1159</v>
      </c>
      <c r="I37" s="103"/>
      <c r="J37" s="103">
        <v>5</v>
      </c>
      <c r="K37" s="103" t="s">
        <v>1914</v>
      </c>
      <c r="L37" s="130" t="s">
        <v>1050</v>
      </c>
      <c r="M37" s="103">
        <f t="shared" si="0"/>
        <v>5</v>
      </c>
    </row>
    <row r="38" spans="1:13" x14ac:dyDescent="0.3">
      <c r="A38" s="125" t="s">
        <v>1047</v>
      </c>
      <c r="B38" s="125" t="s">
        <v>1075</v>
      </c>
      <c r="C38" s="125" t="s">
        <v>8</v>
      </c>
      <c r="D38" s="103" t="s">
        <v>1164</v>
      </c>
      <c r="E38" s="104">
        <v>1</v>
      </c>
      <c r="F38" s="103" t="s">
        <v>1165</v>
      </c>
      <c r="G38" s="103" t="s">
        <v>1166</v>
      </c>
      <c r="H38" s="103" t="s">
        <v>1167</v>
      </c>
      <c r="I38" s="103"/>
      <c r="J38" s="103">
        <v>15</v>
      </c>
      <c r="K38" s="103" t="s">
        <v>1914</v>
      </c>
      <c r="L38" s="130" t="s">
        <v>1050</v>
      </c>
      <c r="M38" s="103">
        <f t="shared" si="0"/>
        <v>15</v>
      </c>
    </row>
    <row r="39" spans="1:13" x14ac:dyDescent="0.3">
      <c r="A39" s="125" t="s">
        <v>1047</v>
      </c>
      <c r="B39" s="125" t="s">
        <v>1069</v>
      </c>
      <c r="C39" s="125" t="s">
        <v>8</v>
      </c>
      <c r="D39" s="103" t="s">
        <v>355</v>
      </c>
      <c r="E39" s="104">
        <v>1</v>
      </c>
      <c r="F39" s="103" t="s">
        <v>356</v>
      </c>
      <c r="G39" s="103" t="s">
        <v>357</v>
      </c>
      <c r="H39" s="103" t="s">
        <v>358</v>
      </c>
      <c r="I39" s="103">
        <v>1</v>
      </c>
      <c r="J39" s="103">
        <v>39.950000000000003</v>
      </c>
      <c r="K39" s="103" t="s">
        <v>1914</v>
      </c>
      <c r="L39" s="103" t="s">
        <v>1044</v>
      </c>
      <c r="M39" s="103">
        <f t="shared" si="0"/>
        <v>39.950000000000003</v>
      </c>
    </row>
    <row r="40" spans="1:13" x14ac:dyDescent="0.3">
      <c r="A40" s="125" t="s">
        <v>1047</v>
      </c>
      <c r="B40" s="125" t="s">
        <v>1048</v>
      </c>
      <c r="C40" s="125" t="s">
        <v>8</v>
      </c>
      <c r="D40" s="103" t="s">
        <v>324</v>
      </c>
      <c r="E40" s="104">
        <v>1</v>
      </c>
      <c r="F40" s="103" t="s">
        <v>325</v>
      </c>
      <c r="G40" s="103" t="s">
        <v>326</v>
      </c>
      <c r="H40" s="103" t="s">
        <v>327</v>
      </c>
      <c r="I40" s="103">
        <v>1</v>
      </c>
      <c r="J40" s="103">
        <v>39.950000000000003</v>
      </c>
      <c r="K40" s="103" t="s">
        <v>1914</v>
      </c>
      <c r="L40" s="103" t="s">
        <v>1055</v>
      </c>
      <c r="M40" s="103">
        <f t="shared" si="0"/>
        <v>39.950000000000003</v>
      </c>
    </row>
    <row r="41" spans="1:13" x14ac:dyDescent="0.3">
      <c r="A41" s="125" t="s">
        <v>1047</v>
      </c>
      <c r="B41" s="125" t="s">
        <v>1048</v>
      </c>
      <c r="C41" s="125" t="s">
        <v>8</v>
      </c>
      <c r="D41" s="103" t="s">
        <v>328</v>
      </c>
      <c r="E41" s="104">
        <v>1</v>
      </c>
      <c r="F41" s="103" t="s">
        <v>329</v>
      </c>
      <c r="G41" s="103" t="s">
        <v>330</v>
      </c>
      <c r="H41" s="103" t="s">
        <v>331</v>
      </c>
      <c r="I41" s="103">
        <v>1</v>
      </c>
      <c r="J41" s="103">
        <v>14.95</v>
      </c>
      <c r="K41" s="103" t="s">
        <v>1914</v>
      </c>
      <c r="L41" s="103" t="s">
        <v>1055</v>
      </c>
      <c r="M41" s="103">
        <f t="shared" si="0"/>
        <v>14.95</v>
      </c>
    </row>
    <row r="42" spans="1:13" x14ac:dyDescent="0.3">
      <c r="A42" s="125" t="s">
        <v>1047</v>
      </c>
      <c r="B42" s="125" t="s">
        <v>1049</v>
      </c>
      <c r="C42" s="125" t="s">
        <v>8</v>
      </c>
      <c r="D42" s="103" t="s">
        <v>351</v>
      </c>
      <c r="E42" s="104">
        <v>1</v>
      </c>
      <c r="F42" s="103" t="s">
        <v>352</v>
      </c>
      <c r="G42" s="103" t="s">
        <v>353</v>
      </c>
      <c r="H42" s="103" t="s">
        <v>354</v>
      </c>
      <c r="I42" s="103"/>
      <c r="J42" s="103">
        <v>24.95</v>
      </c>
      <c r="K42" s="103" t="s">
        <v>1914</v>
      </c>
      <c r="L42" s="103" t="s">
        <v>1051</v>
      </c>
      <c r="M42" s="103">
        <f t="shared" si="0"/>
        <v>24.95</v>
      </c>
    </row>
    <row r="43" spans="1:13" x14ac:dyDescent="0.3">
      <c r="A43" s="125">
        <f>COUNTA(A2:A42)</f>
        <v>41</v>
      </c>
      <c r="E43" s="111">
        <f>SUM(E2:E42)</f>
        <v>37</v>
      </c>
      <c r="J43" s="102">
        <f>AVERAGE(J2:J42)</f>
        <v>28.330487804878064</v>
      </c>
      <c r="M43" s="105">
        <f>SUM(M2:M42)</f>
        <v>868.90000000000032</v>
      </c>
    </row>
  </sheetData>
  <conditionalFormatting sqref="A1:M1048576">
    <cfRule type="expression" dxfId="201" priority="4">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9858EABE-B873-43C2-96DE-0A08CDF41636}">
            <xm:f>$K1=FilterSpecs!$F$13</xm:f>
            <x14:dxf>
              <font>
                <b/>
                <i val="0"/>
                <color theme="0"/>
              </font>
              <fill>
                <patternFill>
                  <bgColor theme="9" tint="-0.499984740745262"/>
                </patternFill>
              </fill>
            </x14:dxf>
          </x14:cfRule>
          <x14:cfRule type="expression" priority="2" id="{B383DAB3-F3B9-4498-B0B0-F811DAD5B8A6}">
            <xm:f>$K1=FilterSpecs!$F$12</xm:f>
            <x14:dxf>
              <font>
                <b/>
                <i val="0"/>
                <color theme="0"/>
              </font>
              <fill>
                <patternFill>
                  <bgColor rgb="FFFF4F4F"/>
                </patternFill>
              </fill>
            </x14:dxf>
          </x14:cfRule>
          <x14:cfRule type="expression" priority="3" id="{F09AD249-FD37-461F-B837-2BAC10F25E5D}">
            <xm:f>$K1=FilterSpecs!$F$9</xm:f>
            <x14:dxf>
              <font>
                <b/>
                <i val="0"/>
                <color theme="0"/>
              </font>
              <fill>
                <patternFill>
                  <bgColor rgb="FFFF0000"/>
                </patternFill>
              </fill>
            </x14:dxf>
          </x14:cfRule>
          <x14:cfRule type="expression" priority="5" id="{1144114D-169E-41B4-858A-9CBF80A93329}">
            <xm:f>$K1=FilterSpecs!$F$8</xm:f>
            <x14:dxf>
              <font>
                <b/>
                <i val="0"/>
                <color theme="0"/>
              </font>
              <fill>
                <patternFill>
                  <bgColor rgb="FFFFC000"/>
                </patternFill>
              </fill>
            </x14:dxf>
          </x14:cfRule>
          <x14:cfRule type="expression" priority="6" id="{FF234A5C-5DBE-499D-B7F9-C54D82DD9E74}">
            <xm:f>$K1=FilterSpecs!$F$10</xm:f>
            <x14:dxf>
              <font>
                <b/>
                <i val="0"/>
                <color theme="0"/>
              </font>
              <fill>
                <patternFill>
                  <bgColor rgb="FF002060"/>
                </patternFill>
              </fill>
            </x14:dxf>
          </x14:cfRule>
          <x14:cfRule type="expression" priority="7" id="{9D5853E2-6D13-4E4F-9AA4-F84E505D096C}">
            <xm:f>$K1=FilterSpecs!$F$7</xm:f>
            <x14:dxf>
              <font>
                <b/>
                <i val="0"/>
                <color theme="0"/>
              </font>
              <fill>
                <patternFill>
                  <bgColor rgb="FF00B0F0"/>
                </patternFill>
              </fill>
            </x14:dxf>
          </x14:cfRule>
          <xm:sqref>A1:M1048576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552ADE9-48D7-45DF-83C9-AF1CDCD749CE}">
          <x14:formula1>
            <xm:f>FilterSpecs!$C$6:$C$13</xm:f>
          </x14:formula1>
          <xm:sqref>A27:A42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7DE10-5F3B-4B95-AA81-1EF5AB512CE3}">
  <sheetPr codeName="Sheet17"/>
  <dimension ref="A1:XFD219"/>
  <sheetViews>
    <sheetView topLeftCell="A40" zoomScaleNormal="100" workbookViewId="0">
      <selection activeCell="B6" sqref="B6"/>
    </sheetView>
  </sheetViews>
  <sheetFormatPr defaultRowHeight="14.4" x14ac:dyDescent="0.3"/>
  <cols>
    <col min="1" max="1" width="44.109375" style="102" customWidth="1"/>
    <col min="2" max="2" width="40.33203125" style="102" customWidth="1"/>
    <col min="3" max="3" width="10.21875" style="102" bestFit="1" customWidth="1"/>
    <col min="4" max="4" width="10.77734375" style="131" customWidth="1"/>
    <col min="5" max="5" width="8" style="105" customWidth="1"/>
    <col min="6" max="6" width="2.33203125" style="105" hidden="1" customWidth="1"/>
    <col min="7" max="7" width="0.77734375" style="105" hidden="1" customWidth="1"/>
    <col min="8" max="8" width="59.88671875" style="102" customWidth="1"/>
    <col min="9" max="9" width="1" style="105" hidden="1" customWidth="1"/>
    <col min="10" max="10" width="12.88671875" style="102" bestFit="1" customWidth="1"/>
    <col min="11" max="11" width="5.109375" style="102" customWidth="1"/>
    <col min="12" max="12" width="74.5546875" style="105" customWidth="1"/>
    <col min="13" max="16384" width="8.88671875" style="105"/>
  </cols>
  <sheetData>
    <row r="1" spans="1:16384" s="77" customFormat="1" ht="15.6" thickTop="1" thickBot="1" x14ac:dyDescent="0.35">
      <c r="A1" s="88" t="s">
        <v>893</v>
      </c>
      <c r="B1" s="88" t="s">
        <v>163</v>
      </c>
      <c r="C1" s="88" t="s">
        <v>7</v>
      </c>
      <c r="D1" s="84" t="s">
        <v>25</v>
      </c>
      <c r="E1" s="87" t="s">
        <v>26</v>
      </c>
      <c r="F1" s="77" t="s">
        <v>27</v>
      </c>
      <c r="G1" s="77" t="s">
        <v>28</v>
      </c>
      <c r="H1" s="88" t="s">
        <v>29</v>
      </c>
      <c r="I1" s="77" t="s">
        <v>30</v>
      </c>
      <c r="J1" s="88" t="s">
        <v>31</v>
      </c>
      <c r="K1" s="88" t="s">
        <v>1918</v>
      </c>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c r="AAA1" s="5"/>
      <c r="AAB1" s="5"/>
      <c r="AAC1" s="5"/>
      <c r="AAD1" s="5"/>
      <c r="AAE1" s="5"/>
      <c r="AAF1" s="5"/>
      <c r="AAG1" s="5"/>
      <c r="AAH1" s="5"/>
      <c r="AAI1" s="5"/>
      <c r="AAJ1" s="5"/>
      <c r="AAK1" s="5"/>
      <c r="AAL1" s="5"/>
      <c r="AAM1" s="5"/>
      <c r="AAN1" s="5"/>
      <c r="AAO1" s="5"/>
      <c r="AAP1" s="5"/>
      <c r="AAQ1" s="5"/>
      <c r="AAR1" s="5"/>
      <c r="AAS1" s="5"/>
      <c r="AAT1" s="5"/>
      <c r="AAU1" s="5"/>
      <c r="AAV1" s="5"/>
      <c r="AAW1" s="5"/>
      <c r="AAX1" s="5"/>
      <c r="AAY1" s="5"/>
      <c r="AAZ1" s="5"/>
      <c r="ABA1" s="5"/>
      <c r="ABB1" s="5"/>
      <c r="ABC1" s="5"/>
      <c r="ABD1" s="5"/>
      <c r="ABE1" s="5"/>
      <c r="ABF1" s="5"/>
      <c r="ABG1" s="5"/>
      <c r="ABH1" s="5"/>
      <c r="ABI1" s="5"/>
      <c r="ABJ1" s="5"/>
      <c r="ABK1" s="5"/>
      <c r="ABL1" s="5"/>
      <c r="ABM1" s="5"/>
      <c r="ABN1" s="5"/>
      <c r="ABO1" s="5"/>
      <c r="ABP1" s="5"/>
      <c r="ABQ1" s="5"/>
      <c r="ABR1" s="5"/>
      <c r="ABS1" s="5"/>
      <c r="ABT1" s="5"/>
      <c r="ABU1" s="5"/>
      <c r="ABV1" s="5"/>
      <c r="ABW1" s="5"/>
      <c r="ABX1" s="5"/>
      <c r="ABY1" s="5"/>
      <c r="ABZ1" s="5"/>
      <c r="ACA1" s="5"/>
      <c r="ACB1" s="5"/>
      <c r="ACC1" s="5"/>
      <c r="ACD1" s="5"/>
      <c r="ACE1" s="5"/>
      <c r="ACF1" s="5"/>
      <c r="ACG1" s="5"/>
      <c r="ACH1" s="5"/>
      <c r="ACI1" s="5"/>
      <c r="ACJ1" s="5"/>
      <c r="ACK1" s="5"/>
      <c r="ACL1" s="5"/>
      <c r="ACM1" s="5"/>
      <c r="ACN1" s="5"/>
      <c r="ACO1" s="5"/>
      <c r="ACP1" s="5"/>
      <c r="ACQ1" s="5"/>
      <c r="ACR1" s="5"/>
      <c r="ACS1" s="5"/>
      <c r="ACT1" s="5"/>
      <c r="ACU1" s="5"/>
      <c r="ACV1" s="5"/>
      <c r="ACW1" s="5"/>
      <c r="ACX1" s="5"/>
      <c r="ACY1" s="5"/>
      <c r="ACZ1" s="5"/>
      <c r="ADA1" s="5"/>
      <c r="ADB1" s="5"/>
      <c r="ADC1" s="5"/>
      <c r="ADD1" s="5"/>
      <c r="ADE1" s="5"/>
      <c r="ADF1" s="5"/>
      <c r="ADG1" s="5"/>
      <c r="ADH1" s="5"/>
      <c r="ADI1" s="5"/>
      <c r="ADJ1" s="5"/>
      <c r="ADK1" s="5"/>
      <c r="ADL1" s="5"/>
      <c r="ADM1" s="5"/>
      <c r="ADN1" s="5"/>
      <c r="ADO1" s="5"/>
      <c r="ADP1" s="5"/>
      <c r="ADQ1" s="5"/>
      <c r="ADR1" s="5"/>
      <c r="ADS1" s="5"/>
      <c r="ADT1" s="5"/>
      <c r="ADU1" s="5"/>
      <c r="ADV1" s="5"/>
      <c r="ADW1" s="5"/>
      <c r="ADX1" s="5"/>
      <c r="ADY1" s="5"/>
      <c r="ADZ1" s="5"/>
      <c r="AEA1" s="5"/>
      <c r="AEB1" s="5"/>
      <c r="AEC1" s="5"/>
      <c r="AED1" s="5"/>
      <c r="AEE1" s="5"/>
      <c r="AEF1" s="5"/>
      <c r="AEG1" s="5"/>
      <c r="AEH1" s="5"/>
      <c r="AEI1" s="5"/>
      <c r="AEJ1" s="5"/>
      <c r="AEK1" s="5"/>
      <c r="AEL1" s="5"/>
      <c r="AEM1" s="5"/>
      <c r="AEN1" s="5"/>
      <c r="AEO1" s="5"/>
      <c r="AEP1" s="5"/>
      <c r="AEQ1" s="5"/>
      <c r="AER1" s="5"/>
      <c r="AES1" s="5"/>
      <c r="AET1" s="5"/>
      <c r="AEU1" s="5"/>
      <c r="AEV1" s="5"/>
      <c r="AEW1" s="5"/>
      <c r="AEX1" s="5"/>
      <c r="AEY1" s="5"/>
      <c r="AEZ1" s="5"/>
      <c r="AFA1" s="5"/>
      <c r="AFB1" s="5"/>
      <c r="AFC1" s="5"/>
      <c r="AFD1" s="5"/>
      <c r="AFE1" s="5"/>
      <c r="AFF1" s="5"/>
      <c r="AFG1" s="5"/>
      <c r="AFH1" s="5"/>
      <c r="AFI1" s="5"/>
      <c r="AFJ1" s="5"/>
      <c r="AFK1" s="5"/>
      <c r="AFL1" s="5"/>
      <c r="AFM1" s="5"/>
      <c r="AFN1" s="5"/>
      <c r="AFO1" s="5"/>
      <c r="AFP1" s="5"/>
      <c r="AFQ1" s="5"/>
      <c r="AFR1" s="5"/>
      <c r="AFS1" s="5"/>
      <c r="AFT1" s="5"/>
      <c r="AFU1" s="5"/>
      <c r="AFV1" s="5"/>
      <c r="AFW1" s="5"/>
      <c r="AFX1" s="5"/>
      <c r="AFY1" s="5"/>
      <c r="AFZ1" s="5"/>
      <c r="AGA1" s="5"/>
      <c r="AGB1" s="5"/>
      <c r="AGC1" s="5"/>
      <c r="AGD1" s="5"/>
      <c r="AGE1" s="5"/>
      <c r="AGF1" s="5"/>
      <c r="AGG1" s="5"/>
      <c r="AGH1" s="5"/>
      <c r="AGI1" s="5"/>
      <c r="AGJ1" s="5"/>
      <c r="AGK1" s="5"/>
      <c r="AGL1" s="5"/>
      <c r="AGM1" s="5"/>
      <c r="AGN1" s="5"/>
      <c r="AGO1" s="5"/>
      <c r="AGP1" s="5"/>
      <c r="AGQ1" s="5"/>
      <c r="AGR1" s="5"/>
      <c r="AGS1" s="5"/>
      <c r="AGT1" s="5"/>
      <c r="AGU1" s="5"/>
      <c r="AGV1" s="5"/>
      <c r="AGW1" s="5"/>
      <c r="AGX1" s="5"/>
      <c r="AGY1" s="5"/>
      <c r="AGZ1" s="5"/>
      <c r="AHA1" s="5"/>
      <c r="AHB1" s="5"/>
      <c r="AHC1" s="5"/>
      <c r="AHD1" s="5"/>
      <c r="AHE1" s="5"/>
      <c r="AHF1" s="5"/>
      <c r="AHG1" s="5"/>
      <c r="AHH1" s="5"/>
      <c r="AHI1" s="5"/>
      <c r="AHJ1" s="5"/>
      <c r="AHK1" s="5"/>
      <c r="AHL1" s="5"/>
      <c r="AHM1" s="5"/>
      <c r="AHN1" s="5"/>
      <c r="AHO1" s="5"/>
      <c r="AHP1" s="5"/>
      <c r="AHQ1" s="5"/>
      <c r="AHR1" s="5"/>
      <c r="AHS1" s="5"/>
      <c r="AHT1" s="5"/>
      <c r="AHU1" s="5"/>
      <c r="AHV1" s="5"/>
      <c r="AHW1" s="5"/>
      <c r="AHX1" s="5"/>
      <c r="AHY1" s="5"/>
      <c r="AHZ1" s="5"/>
      <c r="AIA1" s="5"/>
      <c r="AIB1" s="5"/>
      <c r="AIC1" s="5"/>
      <c r="AID1" s="5"/>
      <c r="AIE1" s="5"/>
      <c r="AIF1" s="5"/>
      <c r="AIG1" s="5"/>
      <c r="AIH1" s="5"/>
      <c r="AII1" s="5"/>
      <c r="AIJ1" s="5"/>
      <c r="AIK1" s="5"/>
      <c r="AIL1" s="5"/>
      <c r="AIM1" s="5"/>
      <c r="AIN1" s="5"/>
      <c r="AIO1" s="5"/>
      <c r="AIP1" s="5"/>
      <c r="AIQ1" s="5"/>
      <c r="AIR1" s="5"/>
      <c r="AIS1" s="5"/>
      <c r="AIT1" s="5"/>
      <c r="AIU1" s="5"/>
      <c r="AIV1" s="5"/>
      <c r="AIW1" s="5"/>
      <c r="AIX1" s="5"/>
      <c r="AIY1" s="5"/>
      <c r="AIZ1" s="5"/>
      <c r="AJA1" s="5"/>
      <c r="AJB1" s="5"/>
      <c r="AJC1" s="5"/>
      <c r="AJD1" s="5"/>
      <c r="AJE1" s="5"/>
      <c r="AJF1" s="5"/>
      <c r="AJG1" s="5"/>
      <c r="AJH1" s="5"/>
      <c r="AJI1" s="5"/>
      <c r="AJJ1" s="5"/>
      <c r="AJK1" s="5"/>
      <c r="AJL1" s="5"/>
      <c r="AJM1" s="5"/>
      <c r="AJN1" s="5"/>
      <c r="AJO1" s="5"/>
      <c r="AJP1" s="5"/>
      <c r="AJQ1" s="5"/>
      <c r="AJR1" s="5"/>
      <c r="AJS1" s="5"/>
      <c r="AJT1" s="5"/>
      <c r="AJU1" s="5"/>
      <c r="AJV1" s="5"/>
      <c r="AJW1" s="5"/>
      <c r="AJX1" s="5"/>
      <c r="AJY1" s="5"/>
      <c r="AJZ1" s="5"/>
      <c r="AKA1" s="5"/>
      <c r="AKB1" s="5"/>
      <c r="AKC1" s="5"/>
      <c r="AKD1" s="5"/>
      <c r="AKE1" s="5"/>
      <c r="AKF1" s="5"/>
      <c r="AKG1" s="5"/>
      <c r="AKH1" s="5"/>
      <c r="AKI1" s="5"/>
      <c r="AKJ1" s="5"/>
      <c r="AKK1" s="5"/>
      <c r="AKL1" s="5"/>
      <c r="AKM1" s="5"/>
      <c r="AKN1" s="5"/>
      <c r="AKO1" s="5"/>
      <c r="AKP1" s="5"/>
      <c r="AKQ1" s="5"/>
      <c r="AKR1" s="5"/>
      <c r="AKS1" s="5"/>
      <c r="AKT1" s="5"/>
      <c r="AKU1" s="5"/>
      <c r="AKV1" s="5"/>
      <c r="AKW1" s="5"/>
      <c r="AKX1" s="5"/>
      <c r="AKY1" s="5"/>
      <c r="AKZ1" s="5"/>
      <c r="ALA1" s="5"/>
      <c r="ALB1" s="5"/>
      <c r="ALC1" s="5"/>
      <c r="ALD1" s="5"/>
      <c r="ALE1" s="5"/>
      <c r="ALF1" s="5"/>
      <c r="ALG1" s="5"/>
      <c r="ALH1" s="5"/>
      <c r="ALI1" s="5"/>
      <c r="ALJ1" s="5"/>
      <c r="ALK1" s="5"/>
      <c r="ALL1" s="5"/>
      <c r="ALM1" s="5"/>
      <c r="ALN1" s="5"/>
      <c r="ALO1" s="5"/>
      <c r="ALP1" s="5"/>
      <c r="ALQ1" s="5"/>
      <c r="ALR1" s="5"/>
      <c r="ALS1" s="5"/>
      <c r="ALT1" s="5"/>
      <c r="ALU1" s="5"/>
      <c r="ALV1" s="5"/>
      <c r="ALW1" s="5"/>
      <c r="ALX1" s="5"/>
      <c r="ALY1" s="5"/>
      <c r="ALZ1" s="5"/>
      <c r="AMA1" s="5"/>
      <c r="AMB1" s="5"/>
      <c r="AMC1" s="5"/>
      <c r="AMD1" s="5"/>
      <c r="AME1" s="5"/>
      <c r="AMF1" s="5"/>
      <c r="AMG1" s="5"/>
      <c r="AMH1" s="5"/>
      <c r="AMI1" s="5"/>
      <c r="AMJ1" s="5"/>
      <c r="AMK1" s="5"/>
      <c r="AML1" s="5"/>
      <c r="AMM1" s="5"/>
      <c r="AMN1" s="5"/>
      <c r="AMO1" s="5"/>
      <c r="AMP1" s="5"/>
      <c r="AMQ1" s="5"/>
      <c r="AMR1" s="5"/>
      <c r="AMS1" s="5"/>
      <c r="AMT1" s="5"/>
      <c r="AMU1" s="5"/>
      <c r="AMV1" s="5"/>
      <c r="AMW1" s="5"/>
      <c r="AMX1" s="5"/>
      <c r="AMY1" s="5"/>
      <c r="AMZ1" s="5"/>
      <c r="ANA1" s="5"/>
      <c r="ANB1" s="5"/>
      <c r="ANC1" s="5"/>
      <c r="AND1" s="5"/>
      <c r="ANE1" s="5"/>
      <c r="ANF1" s="5"/>
      <c r="ANG1" s="5"/>
      <c r="ANH1" s="5"/>
      <c r="ANI1" s="5"/>
      <c r="ANJ1" s="5"/>
      <c r="ANK1" s="5"/>
      <c r="ANL1" s="5"/>
      <c r="ANM1" s="5"/>
      <c r="ANN1" s="5"/>
      <c r="ANO1" s="5"/>
      <c r="ANP1" s="5"/>
      <c r="ANQ1" s="5"/>
      <c r="ANR1" s="5"/>
      <c r="ANS1" s="5"/>
      <c r="ANT1" s="5"/>
      <c r="ANU1" s="5"/>
      <c r="ANV1" s="5"/>
      <c r="ANW1" s="5"/>
      <c r="ANX1" s="5"/>
      <c r="ANY1" s="5"/>
      <c r="ANZ1" s="5"/>
      <c r="AOA1" s="5"/>
      <c r="AOB1" s="5"/>
      <c r="AOC1" s="5"/>
      <c r="AOD1" s="5"/>
      <c r="AOE1" s="5"/>
      <c r="AOF1" s="5"/>
      <c r="AOG1" s="5"/>
      <c r="AOH1" s="5"/>
      <c r="AOI1" s="5"/>
      <c r="AOJ1" s="5"/>
      <c r="AOK1" s="5"/>
      <c r="AOL1" s="5"/>
      <c r="AOM1" s="5"/>
      <c r="AON1" s="5"/>
      <c r="AOO1" s="5"/>
      <c r="AOP1" s="5"/>
      <c r="AOQ1" s="5"/>
      <c r="AOR1" s="5"/>
      <c r="AOS1" s="5"/>
      <c r="AOT1" s="5"/>
      <c r="AOU1" s="5"/>
      <c r="AOV1" s="5"/>
      <c r="AOW1" s="5"/>
      <c r="AOX1" s="5"/>
      <c r="AOY1" s="5"/>
      <c r="AOZ1" s="5"/>
      <c r="APA1" s="5"/>
      <c r="APB1" s="5"/>
      <c r="APC1" s="5"/>
      <c r="APD1" s="5"/>
      <c r="APE1" s="5"/>
      <c r="APF1" s="5"/>
      <c r="APG1" s="5"/>
      <c r="APH1" s="5"/>
      <c r="API1" s="5"/>
      <c r="APJ1" s="5"/>
      <c r="APK1" s="5"/>
      <c r="APL1" s="5"/>
      <c r="APM1" s="5"/>
      <c r="APN1" s="5"/>
      <c r="APO1" s="5"/>
      <c r="APP1" s="5"/>
      <c r="APQ1" s="5"/>
      <c r="APR1" s="5"/>
      <c r="APS1" s="5"/>
      <c r="APT1" s="5"/>
      <c r="APU1" s="5"/>
      <c r="APV1" s="5"/>
      <c r="APW1" s="5"/>
      <c r="APX1" s="5"/>
      <c r="APY1" s="5"/>
      <c r="APZ1" s="5"/>
      <c r="AQA1" s="5"/>
      <c r="AQB1" s="5"/>
      <c r="AQC1" s="5"/>
      <c r="AQD1" s="5"/>
      <c r="AQE1" s="5"/>
      <c r="AQF1" s="5"/>
      <c r="AQG1" s="5"/>
      <c r="AQH1" s="5"/>
      <c r="AQI1" s="5"/>
      <c r="AQJ1" s="5"/>
      <c r="AQK1" s="5"/>
      <c r="AQL1" s="5"/>
      <c r="AQM1" s="5"/>
      <c r="AQN1" s="5"/>
      <c r="AQO1" s="5"/>
      <c r="AQP1" s="5"/>
      <c r="AQQ1" s="5"/>
      <c r="AQR1" s="5"/>
      <c r="AQS1" s="5"/>
      <c r="AQT1" s="5"/>
      <c r="AQU1" s="5"/>
      <c r="AQV1" s="5"/>
      <c r="AQW1" s="5"/>
      <c r="AQX1" s="5"/>
      <c r="AQY1" s="5"/>
      <c r="AQZ1" s="5"/>
      <c r="ARA1" s="5"/>
      <c r="ARB1" s="5"/>
      <c r="ARC1" s="5"/>
      <c r="ARD1" s="5"/>
      <c r="ARE1" s="5"/>
      <c r="ARF1" s="5"/>
      <c r="ARG1" s="5"/>
      <c r="ARH1" s="5"/>
      <c r="ARI1" s="5"/>
      <c r="ARJ1" s="5"/>
      <c r="ARK1" s="5"/>
      <c r="ARL1" s="5"/>
      <c r="ARM1" s="5"/>
      <c r="ARN1" s="5"/>
      <c r="ARO1" s="5"/>
      <c r="ARP1" s="5"/>
      <c r="ARQ1" s="5"/>
      <c r="ARR1" s="5"/>
      <c r="ARS1" s="5"/>
      <c r="ART1" s="5"/>
      <c r="ARU1" s="5"/>
      <c r="ARV1" s="5"/>
      <c r="ARW1" s="5"/>
      <c r="ARX1" s="5"/>
      <c r="ARY1" s="5"/>
      <c r="ARZ1" s="5"/>
      <c r="ASA1" s="5"/>
      <c r="ASB1" s="5"/>
      <c r="ASC1" s="5"/>
      <c r="ASD1" s="5"/>
      <c r="ASE1" s="5"/>
      <c r="ASF1" s="5"/>
      <c r="ASG1" s="5"/>
      <c r="ASH1" s="5"/>
      <c r="ASI1" s="5"/>
      <c r="ASJ1" s="5"/>
      <c r="ASK1" s="5"/>
      <c r="ASL1" s="5"/>
      <c r="ASM1" s="5"/>
      <c r="ASN1" s="5"/>
      <c r="ASO1" s="5"/>
      <c r="ASP1" s="5"/>
      <c r="ASQ1" s="5"/>
      <c r="ASR1" s="5"/>
      <c r="ASS1" s="5"/>
      <c r="AST1" s="5"/>
      <c r="ASU1" s="5"/>
      <c r="ASV1" s="5"/>
      <c r="ASW1" s="5"/>
      <c r="ASX1" s="5"/>
      <c r="ASY1" s="5"/>
      <c r="ASZ1" s="5"/>
      <c r="ATA1" s="5"/>
      <c r="ATB1" s="5"/>
      <c r="ATC1" s="5"/>
      <c r="ATD1" s="5"/>
      <c r="ATE1" s="5"/>
      <c r="ATF1" s="5"/>
      <c r="ATG1" s="5"/>
      <c r="ATH1" s="5"/>
      <c r="ATI1" s="5"/>
      <c r="ATJ1" s="5"/>
      <c r="ATK1" s="5"/>
      <c r="ATL1" s="5"/>
      <c r="ATM1" s="5"/>
      <c r="ATN1" s="5"/>
      <c r="ATO1" s="5"/>
      <c r="ATP1" s="5"/>
      <c r="ATQ1" s="5"/>
      <c r="ATR1" s="5"/>
      <c r="ATS1" s="5"/>
      <c r="ATT1" s="5"/>
      <c r="ATU1" s="5"/>
      <c r="ATV1" s="5"/>
      <c r="ATW1" s="5"/>
      <c r="ATX1" s="5"/>
      <c r="ATY1" s="5"/>
      <c r="ATZ1" s="5"/>
      <c r="AUA1" s="5"/>
      <c r="AUB1" s="5"/>
      <c r="AUC1" s="5"/>
      <c r="AUD1" s="5"/>
      <c r="AUE1" s="5"/>
      <c r="AUF1" s="5"/>
      <c r="AUG1" s="5"/>
      <c r="AUH1" s="5"/>
      <c r="AUI1" s="5"/>
      <c r="AUJ1" s="5"/>
      <c r="AUK1" s="5"/>
      <c r="AUL1" s="5"/>
      <c r="AUM1" s="5"/>
      <c r="AUN1" s="5"/>
      <c r="AUO1" s="5"/>
      <c r="AUP1" s="5"/>
      <c r="AUQ1" s="5"/>
      <c r="AUR1" s="5"/>
      <c r="AUS1" s="5"/>
      <c r="AUT1" s="5"/>
      <c r="AUU1" s="5"/>
      <c r="AUV1" s="5"/>
      <c r="AUW1" s="5"/>
      <c r="AUX1" s="5"/>
      <c r="AUY1" s="5"/>
      <c r="AUZ1" s="5"/>
      <c r="AVA1" s="5"/>
      <c r="AVB1" s="5"/>
      <c r="AVC1" s="5"/>
      <c r="AVD1" s="5"/>
      <c r="AVE1" s="5"/>
      <c r="AVF1" s="5"/>
      <c r="AVG1" s="5"/>
      <c r="AVH1" s="5"/>
      <c r="AVI1" s="5"/>
      <c r="AVJ1" s="5"/>
      <c r="AVK1" s="5"/>
      <c r="AVL1" s="5"/>
      <c r="AVM1" s="5"/>
      <c r="AVN1" s="5"/>
      <c r="AVO1" s="5"/>
      <c r="AVP1" s="5"/>
      <c r="AVQ1" s="5"/>
      <c r="AVR1" s="5"/>
      <c r="AVS1" s="5"/>
      <c r="AVT1" s="5"/>
      <c r="AVU1" s="5"/>
      <c r="AVV1" s="5"/>
      <c r="AVW1" s="5"/>
      <c r="AVX1" s="5"/>
      <c r="AVY1" s="5"/>
      <c r="AVZ1" s="5"/>
      <c r="AWA1" s="5"/>
      <c r="AWB1" s="5"/>
      <c r="AWC1" s="5"/>
      <c r="AWD1" s="5"/>
      <c r="AWE1" s="5"/>
      <c r="AWF1" s="5"/>
      <c r="AWG1" s="5"/>
      <c r="AWH1" s="5"/>
      <c r="AWI1" s="5"/>
      <c r="AWJ1" s="5"/>
      <c r="AWK1" s="5"/>
      <c r="AWL1" s="5"/>
      <c r="AWM1" s="5"/>
      <c r="AWN1" s="5"/>
      <c r="AWO1" s="5"/>
      <c r="AWP1" s="5"/>
      <c r="AWQ1" s="5"/>
      <c r="AWR1" s="5"/>
      <c r="AWS1" s="5"/>
      <c r="AWT1" s="5"/>
      <c r="AWU1" s="5"/>
      <c r="AWV1" s="5"/>
      <c r="AWW1" s="5"/>
      <c r="AWX1" s="5"/>
      <c r="AWY1" s="5"/>
      <c r="AWZ1" s="5"/>
      <c r="AXA1" s="5"/>
      <c r="AXB1" s="5"/>
      <c r="AXC1" s="5"/>
      <c r="AXD1" s="5"/>
      <c r="AXE1" s="5"/>
      <c r="AXF1" s="5"/>
      <c r="AXG1" s="5"/>
      <c r="AXH1" s="5"/>
      <c r="AXI1" s="5"/>
      <c r="AXJ1" s="5"/>
      <c r="AXK1" s="5"/>
      <c r="AXL1" s="5"/>
      <c r="AXM1" s="5"/>
      <c r="AXN1" s="5"/>
      <c r="AXO1" s="5"/>
      <c r="AXP1" s="5"/>
      <c r="AXQ1" s="5"/>
      <c r="AXR1" s="5"/>
      <c r="AXS1" s="5"/>
      <c r="AXT1" s="5"/>
      <c r="AXU1" s="5"/>
      <c r="AXV1" s="5"/>
      <c r="AXW1" s="5"/>
      <c r="AXX1" s="5"/>
      <c r="AXY1" s="5"/>
      <c r="AXZ1" s="5"/>
      <c r="AYA1" s="5"/>
      <c r="AYB1" s="5"/>
      <c r="AYC1" s="5"/>
      <c r="AYD1" s="5"/>
      <c r="AYE1" s="5"/>
      <c r="AYF1" s="5"/>
      <c r="AYG1" s="5"/>
      <c r="AYH1" s="5"/>
      <c r="AYI1" s="5"/>
      <c r="AYJ1" s="5"/>
      <c r="AYK1" s="5"/>
      <c r="AYL1" s="5"/>
      <c r="AYM1" s="5"/>
      <c r="AYN1" s="5"/>
      <c r="AYO1" s="5"/>
      <c r="AYP1" s="5"/>
      <c r="AYQ1" s="5"/>
      <c r="AYR1" s="5"/>
      <c r="AYS1" s="5"/>
      <c r="AYT1" s="5"/>
      <c r="AYU1" s="5"/>
      <c r="AYV1" s="5"/>
      <c r="AYW1" s="5"/>
      <c r="AYX1" s="5"/>
      <c r="AYY1" s="5"/>
      <c r="AYZ1" s="5"/>
      <c r="AZA1" s="5"/>
      <c r="AZB1" s="5"/>
      <c r="AZC1" s="5"/>
      <c r="AZD1" s="5"/>
      <c r="AZE1" s="5"/>
      <c r="AZF1" s="5"/>
      <c r="AZG1" s="5"/>
      <c r="AZH1" s="5"/>
      <c r="AZI1" s="5"/>
      <c r="AZJ1" s="5"/>
      <c r="AZK1" s="5"/>
      <c r="AZL1" s="5"/>
      <c r="AZM1" s="5"/>
      <c r="AZN1" s="5"/>
      <c r="AZO1" s="5"/>
      <c r="AZP1" s="5"/>
      <c r="AZQ1" s="5"/>
      <c r="AZR1" s="5"/>
      <c r="AZS1" s="5"/>
      <c r="AZT1" s="5"/>
      <c r="AZU1" s="5"/>
      <c r="AZV1" s="5"/>
      <c r="AZW1" s="5"/>
      <c r="AZX1" s="5"/>
      <c r="AZY1" s="5"/>
      <c r="AZZ1" s="5"/>
      <c r="BAA1" s="5"/>
      <c r="BAB1" s="5"/>
      <c r="BAC1" s="5"/>
      <c r="BAD1" s="5"/>
      <c r="BAE1" s="5"/>
      <c r="BAF1" s="5"/>
      <c r="BAG1" s="5"/>
      <c r="BAH1" s="5"/>
      <c r="BAI1" s="5"/>
      <c r="BAJ1" s="5"/>
      <c r="BAK1" s="5"/>
      <c r="BAL1" s="5"/>
      <c r="BAM1" s="5"/>
      <c r="BAN1" s="5"/>
      <c r="BAO1" s="5"/>
      <c r="BAP1" s="5"/>
      <c r="BAQ1" s="5"/>
      <c r="BAR1" s="5"/>
      <c r="BAS1" s="5"/>
      <c r="BAT1" s="5"/>
      <c r="BAU1" s="5"/>
      <c r="BAV1" s="5"/>
      <c r="BAW1" s="5"/>
      <c r="BAX1" s="5"/>
      <c r="BAY1" s="5"/>
      <c r="BAZ1" s="5"/>
      <c r="BBA1" s="5"/>
      <c r="BBB1" s="5"/>
      <c r="BBC1" s="5"/>
      <c r="BBD1" s="5"/>
      <c r="BBE1" s="5"/>
      <c r="BBF1" s="5"/>
      <c r="BBG1" s="5"/>
      <c r="BBH1" s="5"/>
      <c r="BBI1" s="5"/>
      <c r="BBJ1" s="5"/>
      <c r="BBK1" s="5"/>
      <c r="BBL1" s="5"/>
      <c r="BBM1" s="5"/>
      <c r="BBN1" s="5"/>
      <c r="BBO1" s="5"/>
      <c r="BBP1" s="5"/>
      <c r="BBQ1" s="5"/>
      <c r="BBR1" s="5"/>
      <c r="BBS1" s="5"/>
      <c r="BBT1" s="5"/>
      <c r="BBU1" s="5"/>
      <c r="BBV1" s="5"/>
      <c r="BBW1" s="5"/>
      <c r="BBX1" s="5"/>
      <c r="BBY1" s="5"/>
      <c r="BBZ1" s="5"/>
      <c r="BCA1" s="5"/>
      <c r="BCB1" s="5"/>
      <c r="BCC1" s="5"/>
      <c r="BCD1" s="5"/>
      <c r="BCE1" s="5"/>
      <c r="BCF1" s="5"/>
      <c r="BCG1" s="5"/>
      <c r="BCH1" s="5"/>
      <c r="BCI1" s="5"/>
      <c r="BCJ1" s="5"/>
      <c r="BCK1" s="5"/>
      <c r="BCL1" s="5"/>
      <c r="BCM1" s="5"/>
      <c r="BCN1" s="5"/>
      <c r="BCO1" s="5"/>
      <c r="BCP1" s="5"/>
      <c r="BCQ1" s="5"/>
      <c r="BCR1" s="5"/>
      <c r="BCS1" s="5"/>
      <c r="BCT1" s="5"/>
      <c r="BCU1" s="5"/>
      <c r="BCV1" s="5"/>
      <c r="BCW1" s="5"/>
      <c r="BCX1" s="5"/>
      <c r="BCY1" s="5"/>
      <c r="BCZ1" s="5"/>
      <c r="BDA1" s="5"/>
      <c r="BDB1" s="5"/>
      <c r="BDC1" s="5"/>
      <c r="BDD1" s="5"/>
      <c r="BDE1" s="5"/>
      <c r="BDF1" s="5"/>
      <c r="BDG1" s="5"/>
      <c r="BDH1" s="5"/>
      <c r="BDI1" s="5"/>
      <c r="BDJ1" s="5"/>
      <c r="BDK1" s="5"/>
      <c r="BDL1" s="5"/>
      <c r="BDM1" s="5"/>
      <c r="BDN1" s="5"/>
      <c r="BDO1" s="5"/>
      <c r="BDP1" s="5"/>
      <c r="BDQ1" s="5"/>
      <c r="BDR1" s="5"/>
      <c r="BDS1" s="5"/>
      <c r="BDT1" s="5"/>
      <c r="BDU1" s="5"/>
      <c r="BDV1" s="5"/>
      <c r="BDW1" s="5"/>
      <c r="BDX1" s="5"/>
      <c r="BDY1" s="5"/>
      <c r="BDZ1" s="5"/>
      <c r="BEA1" s="5"/>
      <c r="BEB1" s="5"/>
      <c r="BEC1" s="5"/>
      <c r="BED1" s="5"/>
      <c r="BEE1" s="5"/>
      <c r="BEF1" s="5"/>
      <c r="BEG1" s="5"/>
      <c r="BEH1" s="5"/>
      <c r="BEI1" s="5"/>
      <c r="BEJ1" s="5"/>
      <c r="BEK1" s="5"/>
      <c r="BEL1" s="5"/>
      <c r="BEM1" s="5"/>
      <c r="BEN1" s="5"/>
      <c r="BEO1" s="5"/>
      <c r="BEP1" s="5"/>
      <c r="BEQ1" s="5"/>
      <c r="BER1" s="5"/>
      <c r="BES1" s="5"/>
      <c r="BET1" s="5"/>
      <c r="BEU1" s="5"/>
      <c r="BEV1" s="5"/>
      <c r="BEW1" s="5"/>
      <c r="BEX1" s="5"/>
      <c r="BEY1" s="5"/>
      <c r="BEZ1" s="5"/>
      <c r="BFA1" s="5"/>
      <c r="BFB1" s="5"/>
      <c r="BFC1" s="5"/>
      <c r="BFD1" s="5"/>
      <c r="BFE1" s="5"/>
      <c r="BFF1" s="5"/>
      <c r="BFG1" s="5"/>
      <c r="BFH1" s="5"/>
      <c r="BFI1" s="5"/>
      <c r="BFJ1" s="5"/>
      <c r="BFK1" s="5"/>
      <c r="BFL1" s="5"/>
      <c r="BFM1" s="5"/>
      <c r="BFN1" s="5"/>
      <c r="BFO1" s="5"/>
      <c r="BFP1" s="5"/>
      <c r="BFQ1" s="5"/>
      <c r="BFR1" s="5"/>
      <c r="BFS1" s="5"/>
      <c r="BFT1" s="5"/>
      <c r="BFU1" s="5"/>
      <c r="BFV1" s="5"/>
      <c r="BFW1" s="5"/>
      <c r="BFX1" s="5"/>
      <c r="BFY1" s="5"/>
      <c r="BFZ1" s="5"/>
      <c r="BGA1" s="5"/>
      <c r="BGB1" s="5"/>
      <c r="BGC1" s="5"/>
      <c r="BGD1" s="5"/>
      <c r="BGE1" s="5"/>
      <c r="BGF1" s="5"/>
      <c r="BGG1" s="5"/>
      <c r="BGH1" s="5"/>
      <c r="BGI1" s="5"/>
      <c r="BGJ1" s="5"/>
      <c r="BGK1" s="5"/>
      <c r="BGL1" s="5"/>
      <c r="BGM1" s="5"/>
      <c r="BGN1" s="5"/>
      <c r="BGO1" s="5"/>
      <c r="BGP1" s="5"/>
      <c r="BGQ1" s="5"/>
      <c r="BGR1" s="5"/>
      <c r="BGS1" s="5"/>
      <c r="BGT1" s="5"/>
      <c r="BGU1" s="5"/>
      <c r="BGV1" s="5"/>
      <c r="BGW1" s="5"/>
      <c r="BGX1" s="5"/>
      <c r="BGY1" s="5"/>
      <c r="BGZ1" s="5"/>
      <c r="BHA1" s="5"/>
      <c r="BHB1" s="5"/>
      <c r="BHC1" s="5"/>
      <c r="BHD1" s="5"/>
      <c r="BHE1" s="5"/>
      <c r="BHF1" s="5"/>
      <c r="BHG1" s="5"/>
      <c r="BHH1" s="5"/>
      <c r="BHI1" s="5"/>
      <c r="BHJ1" s="5"/>
      <c r="BHK1" s="5"/>
      <c r="BHL1" s="5"/>
      <c r="BHM1" s="5"/>
      <c r="BHN1" s="5"/>
      <c r="BHO1" s="5"/>
      <c r="BHP1" s="5"/>
      <c r="BHQ1" s="5"/>
      <c r="BHR1" s="5"/>
      <c r="BHS1" s="5"/>
      <c r="BHT1" s="5"/>
      <c r="BHU1" s="5"/>
      <c r="BHV1" s="5"/>
      <c r="BHW1" s="5"/>
      <c r="BHX1" s="5"/>
      <c r="BHY1" s="5"/>
      <c r="BHZ1" s="5"/>
      <c r="BIA1" s="5"/>
      <c r="BIB1" s="5"/>
      <c r="BIC1" s="5"/>
      <c r="BID1" s="5"/>
      <c r="BIE1" s="5"/>
      <c r="BIF1" s="5"/>
      <c r="BIG1" s="5"/>
      <c r="BIH1" s="5"/>
      <c r="BII1" s="5"/>
      <c r="BIJ1" s="5"/>
      <c r="BIK1" s="5"/>
      <c r="BIL1" s="5"/>
      <c r="BIM1" s="5"/>
      <c r="BIN1" s="5"/>
      <c r="BIO1" s="5"/>
      <c r="BIP1" s="5"/>
      <c r="BIQ1" s="5"/>
      <c r="BIR1" s="5"/>
      <c r="BIS1" s="5"/>
      <c r="BIT1" s="5"/>
      <c r="BIU1" s="5"/>
      <c r="BIV1" s="5"/>
      <c r="BIW1" s="5"/>
      <c r="BIX1" s="5"/>
      <c r="BIY1" s="5"/>
      <c r="BIZ1" s="5"/>
      <c r="BJA1" s="5"/>
      <c r="BJB1" s="5"/>
      <c r="BJC1" s="5"/>
      <c r="BJD1" s="5"/>
      <c r="BJE1" s="5"/>
      <c r="BJF1" s="5"/>
      <c r="BJG1" s="5"/>
      <c r="BJH1" s="5"/>
      <c r="BJI1" s="5"/>
      <c r="BJJ1" s="5"/>
      <c r="BJK1" s="5"/>
      <c r="BJL1" s="5"/>
      <c r="BJM1" s="5"/>
      <c r="BJN1" s="5"/>
      <c r="BJO1" s="5"/>
      <c r="BJP1" s="5"/>
      <c r="BJQ1" s="5"/>
      <c r="BJR1" s="5"/>
      <c r="BJS1" s="5"/>
      <c r="BJT1" s="5"/>
      <c r="BJU1" s="5"/>
      <c r="BJV1" s="5"/>
      <c r="BJW1" s="5"/>
      <c r="BJX1" s="5"/>
      <c r="BJY1" s="5"/>
      <c r="BJZ1" s="5"/>
      <c r="BKA1" s="5"/>
      <c r="BKB1" s="5"/>
      <c r="BKC1" s="5"/>
      <c r="BKD1" s="5"/>
      <c r="BKE1" s="5"/>
      <c r="BKF1" s="5"/>
      <c r="BKG1" s="5"/>
      <c r="BKH1" s="5"/>
      <c r="BKI1" s="5"/>
      <c r="BKJ1" s="5"/>
      <c r="BKK1" s="5"/>
      <c r="BKL1" s="5"/>
      <c r="BKM1" s="5"/>
      <c r="BKN1" s="5"/>
      <c r="BKO1" s="5"/>
      <c r="BKP1" s="5"/>
      <c r="BKQ1" s="5"/>
      <c r="BKR1" s="5"/>
      <c r="BKS1" s="5"/>
      <c r="BKT1" s="5"/>
      <c r="BKU1" s="5"/>
      <c r="BKV1" s="5"/>
      <c r="BKW1" s="5"/>
      <c r="BKX1" s="5"/>
      <c r="BKY1" s="5"/>
      <c r="BKZ1" s="5"/>
      <c r="BLA1" s="5"/>
      <c r="BLB1" s="5"/>
      <c r="BLC1" s="5"/>
      <c r="BLD1" s="5"/>
      <c r="BLE1" s="5"/>
      <c r="BLF1" s="5"/>
      <c r="BLG1" s="5"/>
      <c r="BLH1" s="5"/>
      <c r="BLI1" s="5"/>
      <c r="BLJ1" s="5"/>
      <c r="BLK1" s="5"/>
      <c r="BLL1" s="5"/>
      <c r="BLM1" s="5"/>
      <c r="BLN1" s="5"/>
      <c r="BLO1" s="5"/>
      <c r="BLP1" s="5"/>
      <c r="BLQ1" s="5"/>
      <c r="BLR1" s="5"/>
      <c r="BLS1" s="5"/>
      <c r="BLT1" s="5"/>
      <c r="BLU1" s="5"/>
      <c r="BLV1" s="5"/>
      <c r="BLW1" s="5"/>
      <c r="BLX1" s="5"/>
      <c r="BLY1" s="5"/>
      <c r="BLZ1" s="5"/>
      <c r="BMA1" s="5"/>
      <c r="BMB1" s="5"/>
      <c r="BMC1" s="5"/>
      <c r="BMD1" s="5"/>
      <c r="BME1" s="5"/>
      <c r="BMF1" s="5"/>
      <c r="BMG1" s="5"/>
      <c r="BMH1" s="5"/>
      <c r="BMI1" s="5"/>
      <c r="BMJ1" s="5"/>
      <c r="BMK1" s="5"/>
      <c r="BML1" s="5"/>
      <c r="BMM1" s="5"/>
      <c r="BMN1" s="5"/>
      <c r="BMO1" s="5"/>
      <c r="BMP1" s="5"/>
      <c r="BMQ1" s="5"/>
      <c r="BMR1" s="5"/>
      <c r="BMS1" s="5"/>
      <c r="BMT1" s="5"/>
      <c r="BMU1" s="5"/>
      <c r="BMV1" s="5"/>
      <c r="BMW1" s="5"/>
      <c r="BMX1" s="5"/>
      <c r="BMY1" s="5"/>
      <c r="BMZ1" s="5"/>
      <c r="BNA1" s="5"/>
      <c r="BNB1" s="5"/>
      <c r="BNC1" s="5"/>
      <c r="BND1" s="5"/>
      <c r="BNE1" s="5"/>
      <c r="BNF1" s="5"/>
      <c r="BNG1" s="5"/>
      <c r="BNH1" s="5"/>
      <c r="BNI1" s="5"/>
      <c r="BNJ1" s="5"/>
      <c r="BNK1" s="5"/>
      <c r="BNL1" s="5"/>
      <c r="BNM1" s="5"/>
      <c r="BNN1" s="5"/>
      <c r="BNO1" s="5"/>
      <c r="BNP1" s="5"/>
      <c r="BNQ1" s="5"/>
      <c r="BNR1" s="5"/>
      <c r="BNS1" s="5"/>
      <c r="BNT1" s="5"/>
      <c r="BNU1" s="5"/>
      <c r="BNV1" s="5"/>
      <c r="BNW1" s="5"/>
      <c r="BNX1" s="5"/>
      <c r="BNY1" s="5"/>
      <c r="BNZ1" s="5"/>
      <c r="BOA1" s="5"/>
      <c r="BOB1" s="5"/>
      <c r="BOC1" s="5"/>
      <c r="BOD1" s="5"/>
      <c r="BOE1" s="5"/>
      <c r="BOF1" s="5"/>
      <c r="BOG1" s="5"/>
      <c r="BOH1" s="5"/>
      <c r="BOI1" s="5"/>
      <c r="BOJ1" s="5"/>
      <c r="BOK1" s="5"/>
      <c r="BOL1" s="5"/>
      <c r="BOM1" s="5"/>
      <c r="BON1" s="5"/>
      <c r="BOO1" s="5"/>
      <c r="BOP1" s="5"/>
      <c r="BOQ1" s="5"/>
      <c r="BOR1" s="5"/>
      <c r="BOS1" s="5"/>
      <c r="BOT1" s="5"/>
      <c r="BOU1" s="5"/>
      <c r="BOV1" s="5"/>
      <c r="BOW1" s="5"/>
      <c r="BOX1" s="5"/>
      <c r="BOY1" s="5"/>
      <c r="BOZ1" s="5"/>
      <c r="BPA1" s="5"/>
      <c r="BPB1" s="5"/>
      <c r="BPC1" s="5"/>
      <c r="BPD1" s="5"/>
      <c r="BPE1" s="5"/>
      <c r="BPF1" s="5"/>
      <c r="BPG1" s="5"/>
      <c r="BPH1" s="5"/>
      <c r="BPI1" s="5"/>
      <c r="BPJ1" s="5"/>
      <c r="BPK1" s="5"/>
      <c r="BPL1" s="5"/>
      <c r="BPM1" s="5"/>
      <c r="BPN1" s="5"/>
      <c r="BPO1" s="5"/>
      <c r="BPP1" s="5"/>
      <c r="BPQ1" s="5"/>
      <c r="BPR1" s="5"/>
      <c r="BPS1" s="5"/>
      <c r="BPT1" s="5"/>
      <c r="BPU1" s="5"/>
      <c r="BPV1" s="5"/>
      <c r="BPW1" s="5"/>
      <c r="BPX1" s="5"/>
      <c r="BPY1" s="5"/>
      <c r="BPZ1" s="5"/>
      <c r="BQA1" s="5"/>
      <c r="BQB1" s="5"/>
      <c r="BQC1" s="5"/>
      <c r="BQD1" s="5"/>
      <c r="BQE1" s="5"/>
      <c r="BQF1" s="5"/>
      <c r="BQG1" s="5"/>
      <c r="BQH1" s="5"/>
      <c r="BQI1" s="5"/>
      <c r="BQJ1" s="5"/>
      <c r="BQK1" s="5"/>
      <c r="BQL1" s="5"/>
      <c r="BQM1" s="5"/>
      <c r="BQN1" s="5"/>
      <c r="BQO1" s="5"/>
      <c r="BQP1" s="5"/>
      <c r="BQQ1" s="5"/>
      <c r="BQR1" s="5"/>
      <c r="BQS1" s="5"/>
      <c r="BQT1" s="5"/>
      <c r="BQU1" s="5"/>
      <c r="BQV1" s="5"/>
      <c r="BQW1" s="5"/>
      <c r="BQX1" s="5"/>
      <c r="BQY1" s="5"/>
      <c r="BQZ1" s="5"/>
      <c r="BRA1" s="5"/>
      <c r="BRB1" s="5"/>
      <c r="BRC1" s="5"/>
      <c r="BRD1" s="5"/>
      <c r="BRE1" s="5"/>
      <c r="BRF1" s="5"/>
      <c r="BRG1" s="5"/>
      <c r="BRH1" s="5"/>
      <c r="BRI1" s="5"/>
      <c r="BRJ1" s="5"/>
      <c r="BRK1" s="5"/>
      <c r="BRL1" s="5"/>
      <c r="BRM1" s="5"/>
      <c r="BRN1" s="5"/>
      <c r="BRO1" s="5"/>
      <c r="BRP1" s="5"/>
      <c r="BRQ1" s="5"/>
      <c r="BRR1" s="5"/>
      <c r="BRS1" s="5"/>
      <c r="BRT1" s="5"/>
      <c r="BRU1" s="5"/>
      <c r="BRV1" s="5"/>
      <c r="BRW1" s="5"/>
      <c r="BRX1" s="5"/>
      <c r="BRY1" s="5"/>
      <c r="BRZ1" s="5"/>
      <c r="BSA1" s="5"/>
      <c r="BSB1" s="5"/>
      <c r="BSC1" s="5"/>
      <c r="BSD1" s="5"/>
      <c r="BSE1" s="5"/>
      <c r="BSF1" s="5"/>
      <c r="BSG1" s="5"/>
      <c r="BSH1" s="5"/>
      <c r="BSI1" s="5"/>
      <c r="BSJ1" s="5"/>
      <c r="BSK1" s="5"/>
      <c r="BSL1" s="5"/>
      <c r="BSM1" s="5"/>
      <c r="BSN1" s="5"/>
      <c r="BSO1" s="5"/>
      <c r="BSP1" s="5"/>
      <c r="BSQ1" s="5"/>
      <c r="BSR1" s="5"/>
      <c r="BSS1" s="5"/>
      <c r="BST1" s="5"/>
      <c r="BSU1" s="5"/>
      <c r="BSV1" s="5"/>
      <c r="BSW1" s="5"/>
      <c r="BSX1" s="5"/>
      <c r="BSY1" s="5"/>
      <c r="BSZ1" s="5"/>
      <c r="BTA1" s="5"/>
      <c r="BTB1" s="5"/>
      <c r="BTC1" s="5"/>
      <c r="BTD1" s="5"/>
      <c r="BTE1" s="5"/>
      <c r="BTF1" s="5"/>
      <c r="BTG1" s="5"/>
      <c r="BTH1" s="5"/>
      <c r="BTI1" s="5"/>
      <c r="BTJ1" s="5"/>
      <c r="BTK1" s="5"/>
      <c r="BTL1" s="5"/>
      <c r="BTM1" s="5"/>
      <c r="BTN1" s="5"/>
      <c r="BTO1" s="5"/>
      <c r="BTP1" s="5"/>
      <c r="BTQ1" s="5"/>
      <c r="BTR1" s="5"/>
      <c r="BTS1" s="5"/>
      <c r="BTT1" s="5"/>
      <c r="BTU1" s="5"/>
      <c r="BTV1" s="5"/>
      <c r="BTW1" s="5"/>
      <c r="BTX1" s="5"/>
      <c r="BTY1" s="5"/>
      <c r="BTZ1" s="5"/>
      <c r="BUA1" s="5"/>
      <c r="BUB1" s="5"/>
      <c r="BUC1" s="5"/>
      <c r="BUD1" s="5"/>
      <c r="BUE1" s="5"/>
      <c r="BUF1" s="5"/>
      <c r="BUG1" s="5"/>
      <c r="BUH1" s="5"/>
      <c r="BUI1" s="5"/>
      <c r="BUJ1" s="5"/>
      <c r="BUK1" s="5"/>
      <c r="BUL1" s="5"/>
      <c r="BUM1" s="5"/>
      <c r="BUN1" s="5"/>
      <c r="BUO1" s="5"/>
      <c r="BUP1" s="5"/>
      <c r="BUQ1" s="5"/>
      <c r="BUR1" s="5"/>
      <c r="BUS1" s="5"/>
      <c r="BUT1" s="5"/>
      <c r="BUU1" s="5"/>
      <c r="BUV1" s="5"/>
      <c r="BUW1" s="5"/>
      <c r="BUX1" s="5"/>
      <c r="BUY1" s="5"/>
      <c r="BUZ1" s="5"/>
      <c r="BVA1" s="5"/>
      <c r="BVB1" s="5"/>
      <c r="BVC1" s="5"/>
      <c r="BVD1" s="5"/>
      <c r="BVE1" s="5"/>
      <c r="BVF1" s="5"/>
      <c r="BVG1" s="5"/>
      <c r="BVH1" s="5"/>
      <c r="BVI1" s="5"/>
      <c r="BVJ1" s="5"/>
      <c r="BVK1" s="5"/>
      <c r="BVL1" s="5"/>
      <c r="BVM1" s="5"/>
      <c r="BVN1" s="5"/>
      <c r="BVO1" s="5"/>
      <c r="BVP1" s="5"/>
      <c r="BVQ1" s="5"/>
      <c r="BVR1" s="5"/>
      <c r="BVS1" s="5"/>
      <c r="BVT1" s="5"/>
      <c r="BVU1" s="5"/>
      <c r="BVV1" s="5"/>
      <c r="BVW1" s="5"/>
      <c r="BVX1" s="5"/>
      <c r="BVY1" s="5"/>
      <c r="BVZ1" s="5"/>
      <c r="BWA1" s="5"/>
      <c r="BWB1" s="5"/>
      <c r="BWC1" s="5"/>
      <c r="BWD1" s="5"/>
      <c r="BWE1" s="5"/>
      <c r="BWF1" s="5"/>
      <c r="BWG1" s="5"/>
      <c r="BWH1" s="5"/>
      <c r="BWI1" s="5"/>
      <c r="BWJ1" s="5"/>
      <c r="BWK1" s="5"/>
      <c r="BWL1" s="5"/>
      <c r="BWM1" s="5"/>
      <c r="BWN1" s="5"/>
      <c r="BWO1" s="5"/>
      <c r="BWP1" s="5"/>
      <c r="BWQ1" s="5"/>
      <c r="BWR1" s="5"/>
      <c r="BWS1" s="5"/>
      <c r="BWT1" s="5"/>
      <c r="BWU1" s="5"/>
      <c r="BWV1" s="5"/>
      <c r="BWW1" s="5"/>
      <c r="BWX1" s="5"/>
      <c r="BWY1" s="5"/>
      <c r="BWZ1" s="5"/>
      <c r="BXA1" s="5"/>
      <c r="BXB1" s="5"/>
      <c r="BXC1" s="5"/>
      <c r="BXD1" s="5"/>
      <c r="BXE1" s="5"/>
      <c r="BXF1" s="5"/>
      <c r="BXG1" s="5"/>
      <c r="BXH1" s="5"/>
      <c r="BXI1" s="5"/>
      <c r="BXJ1" s="5"/>
      <c r="BXK1" s="5"/>
      <c r="BXL1" s="5"/>
      <c r="BXM1" s="5"/>
      <c r="BXN1" s="5"/>
      <c r="BXO1" s="5"/>
      <c r="BXP1" s="5"/>
      <c r="BXQ1" s="5"/>
      <c r="BXR1" s="5"/>
      <c r="BXS1" s="5"/>
      <c r="BXT1" s="5"/>
      <c r="BXU1" s="5"/>
      <c r="BXV1" s="5"/>
      <c r="BXW1" s="5"/>
      <c r="BXX1" s="5"/>
      <c r="BXY1" s="5"/>
      <c r="BXZ1" s="5"/>
      <c r="BYA1" s="5"/>
      <c r="BYB1" s="5"/>
      <c r="BYC1" s="5"/>
      <c r="BYD1" s="5"/>
      <c r="BYE1" s="5"/>
      <c r="BYF1" s="5"/>
      <c r="BYG1" s="5"/>
      <c r="BYH1" s="5"/>
      <c r="BYI1" s="5"/>
      <c r="BYJ1" s="5"/>
      <c r="BYK1" s="5"/>
      <c r="BYL1" s="5"/>
      <c r="BYM1" s="5"/>
      <c r="BYN1" s="5"/>
      <c r="BYO1" s="5"/>
      <c r="BYP1" s="5"/>
      <c r="BYQ1" s="5"/>
      <c r="BYR1" s="5"/>
      <c r="BYS1" s="5"/>
      <c r="BYT1" s="5"/>
      <c r="BYU1" s="5"/>
      <c r="BYV1" s="5"/>
      <c r="BYW1" s="5"/>
      <c r="BYX1" s="5"/>
      <c r="BYY1" s="5"/>
      <c r="BYZ1" s="5"/>
      <c r="BZA1" s="5"/>
      <c r="BZB1" s="5"/>
      <c r="BZC1" s="5"/>
      <c r="BZD1" s="5"/>
      <c r="BZE1" s="5"/>
      <c r="BZF1" s="5"/>
      <c r="BZG1" s="5"/>
      <c r="BZH1" s="5"/>
      <c r="BZI1" s="5"/>
      <c r="BZJ1" s="5"/>
      <c r="BZK1" s="5"/>
      <c r="BZL1" s="5"/>
      <c r="BZM1" s="5"/>
      <c r="BZN1" s="5"/>
      <c r="BZO1" s="5"/>
      <c r="BZP1" s="5"/>
      <c r="BZQ1" s="5"/>
      <c r="BZR1" s="5"/>
      <c r="BZS1" s="5"/>
      <c r="BZT1" s="5"/>
      <c r="BZU1" s="5"/>
      <c r="BZV1" s="5"/>
      <c r="BZW1" s="5"/>
      <c r="BZX1" s="5"/>
      <c r="BZY1" s="5"/>
      <c r="BZZ1" s="5"/>
      <c r="CAA1" s="5"/>
      <c r="CAB1" s="5"/>
      <c r="CAC1" s="5"/>
      <c r="CAD1" s="5"/>
      <c r="CAE1" s="5"/>
      <c r="CAF1" s="5"/>
      <c r="CAG1" s="5"/>
      <c r="CAH1" s="5"/>
      <c r="CAI1" s="5"/>
      <c r="CAJ1" s="5"/>
      <c r="CAK1" s="5"/>
      <c r="CAL1" s="5"/>
      <c r="CAM1" s="5"/>
      <c r="CAN1" s="5"/>
      <c r="CAO1" s="5"/>
      <c r="CAP1" s="5"/>
      <c r="CAQ1" s="5"/>
      <c r="CAR1" s="5"/>
      <c r="CAS1" s="5"/>
      <c r="CAT1" s="5"/>
      <c r="CAU1" s="5"/>
      <c r="CAV1" s="5"/>
      <c r="CAW1" s="5"/>
      <c r="CAX1" s="5"/>
      <c r="CAY1" s="5"/>
      <c r="CAZ1" s="5"/>
      <c r="CBA1" s="5"/>
      <c r="CBB1" s="5"/>
      <c r="CBC1" s="5"/>
      <c r="CBD1" s="5"/>
      <c r="CBE1" s="5"/>
      <c r="CBF1" s="5"/>
      <c r="CBG1" s="5"/>
      <c r="CBH1" s="5"/>
      <c r="CBI1" s="5"/>
      <c r="CBJ1" s="5"/>
      <c r="CBK1" s="5"/>
      <c r="CBL1" s="5"/>
      <c r="CBM1" s="5"/>
      <c r="CBN1" s="5"/>
      <c r="CBO1" s="5"/>
      <c r="CBP1" s="5"/>
      <c r="CBQ1" s="5"/>
      <c r="CBR1" s="5"/>
      <c r="CBS1" s="5"/>
      <c r="CBT1" s="5"/>
      <c r="CBU1" s="5"/>
      <c r="CBV1" s="5"/>
      <c r="CBW1" s="5"/>
      <c r="CBX1" s="5"/>
      <c r="CBY1" s="5"/>
      <c r="CBZ1" s="5"/>
      <c r="CCA1" s="5"/>
      <c r="CCB1" s="5"/>
      <c r="CCC1" s="5"/>
      <c r="CCD1" s="5"/>
      <c r="CCE1" s="5"/>
      <c r="CCF1" s="5"/>
      <c r="CCG1" s="5"/>
      <c r="CCH1" s="5"/>
      <c r="CCI1" s="5"/>
      <c r="CCJ1" s="5"/>
      <c r="CCK1" s="5"/>
      <c r="CCL1" s="5"/>
      <c r="CCM1" s="5"/>
      <c r="CCN1" s="5"/>
      <c r="CCO1" s="5"/>
      <c r="CCP1" s="5"/>
      <c r="CCQ1" s="5"/>
      <c r="CCR1" s="5"/>
      <c r="CCS1" s="5"/>
      <c r="CCT1" s="5"/>
      <c r="CCU1" s="5"/>
      <c r="CCV1" s="5"/>
      <c r="CCW1" s="5"/>
      <c r="CCX1" s="5"/>
      <c r="CCY1" s="5"/>
      <c r="CCZ1" s="5"/>
      <c r="CDA1" s="5"/>
      <c r="CDB1" s="5"/>
      <c r="CDC1" s="5"/>
      <c r="CDD1" s="5"/>
      <c r="CDE1" s="5"/>
      <c r="CDF1" s="5"/>
      <c r="CDG1" s="5"/>
      <c r="CDH1" s="5"/>
      <c r="CDI1" s="5"/>
      <c r="CDJ1" s="5"/>
      <c r="CDK1" s="5"/>
      <c r="CDL1" s="5"/>
      <c r="CDM1" s="5"/>
      <c r="CDN1" s="5"/>
      <c r="CDO1" s="5"/>
      <c r="CDP1" s="5"/>
      <c r="CDQ1" s="5"/>
      <c r="CDR1" s="5"/>
      <c r="CDS1" s="5"/>
      <c r="CDT1" s="5"/>
      <c r="CDU1" s="5"/>
      <c r="CDV1" s="5"/>
      <c r="CDW1" s="5"/>
      <c r="CDX1" s="5"/>
      <c r="CDY1" s="5"/>
      <c r="CDZ1" s="5"/>
      <c r="CEA1" s="5"/>
      <c r="CEB1" s="5"/>
      <c r="CEC1" s="5"/>
      <c r="CED1" s="5"/>
      <c r="CEE1" s="5"/>
      <c r="CEF1" s="5"/>
      <c r="CEG1" s="5"/>
      <c r="CEH1" s="5"/>
      <c r="CEI1" s="5"/>
      <c r="CEJ1" s="5"/>
      <c r="CEK1" s="5"/>
      <c r="CEL1" s="5"/>
      <c r="CEM1" s="5"/>
      <c r="CEN1" s="5"/>
      <c r="CEO1" s="5"/>
      <c r="CEP1" s="5"/>
      <c r="CEQ1" s="5"/>
      <c r="CER1" s="5"/>
      <c r="CES1" s="5"/>
      <c r="CET1" s="5"/>
      <c r="CEU1" s="5"/>
      <c r="CEV1" s="5"/>
      <c r="CEW1" s="5"/>
      <c r="CEX1" s="5"/>
      <c r="CEY1" s="5"/>
      <c r="CEZ1" s="5"/>
      <c r="CFA1" s="5"/>
      <c r="CFB1" s="5"/>
      <c r="CFC1" s="5"/>
      <c r="CFD1" s="5"/>
      <c r="CFE1" s="5"/>
      <c r="CFF1" s="5"/>
      <c r="CFG1" s="5"/>
      <c r="CFH1" s="5"/>
      <c r="CFI1" s="5"/>
      <c r="CFJ1" s="5"/>
      <c r="CFK1" s="5"/>
      <c r="CFL1" s="5"/>
      <c r="CFM1" s="5"/>
      <c r="CFN1" s="5"/>
      <c r="CFO1" s="5"/>
      <c r="CFP1" s="5"/>
      <c r="CFQ1" s="5"/>
      <c r="CFR1" s="5"/>
      <c r="CFS1" s="5"/>
      <c r="CFT1" s="5"/>
      <c r="CFU1" s="5"/>
      <c r="CFV1" s="5"/>
      <c r="CFW1" s="5"/>
      <c r="CFX1" s="5"/>
      <c r="CFY1" s="5"/>
      <c r="CFZ1" s="5"/>
      <c r="CGA1" s="5"/>
      <c r="CGB1" s="5"/>
      <c r="CGC1" s="5"/>
      <c r="CGD1" s="5"/>
      <c r="CGE1" s="5"/>
      <c r="CGF1" s="5"/>
      <c r="CGG1" s="5"/>
      <c r="CGH1" s="5"/>
      <c r="CGI1" s="5"/>
      <c r="CGJ1" s="5"/>
      <c r="CGK1" s="5"/>
      <c r="CGL1" s="5"/>
      <c r="CGM1" s="5"/>
      <c r="CGN1" s="5"/>
      <c r="CGO1" s="5"/>
      <c r="CGP1" s="5"/>
      <c r="CGQ1" s="5"/>
      <c r="CGR1" s="5"/>
      <c r="CGS1" s="5"/>
      <c r="CGT1" s="5"/>
      <c r="CGU1" s="5"/>
      <c r="CGV1" s="5"/>
      <c r="CGW1" s="5"/>
      <c r="CGX1" s="5"/>
      <c r="CGY1" s="5"/>
      <c r="CGZ1" s="5"/>
      <c r="CHA1" s="5"/>
      <c r="CHB1" s="5"/>
      <c r="CHC1" s="5"/>
      <c r="CHD1" s="5"/>
      <c r="CHE1" s="5"/>
      <c r="CHF1" s="5"/>
      <c r="CHG1" s="5"/>
      <c r="CHH1" s="5"/>
      <c r="CHI1" s="5"/>
      <c r="CHJ1" s="5"/>
      <c r="CHK1" s="5"/>
      <c r="CHL1" s="5"/>
      <c r="CHM1" s="5"/>
      <c r="CHN1" s="5"/>
      <c r="CHO1" s="5"/>
      <c r="CHP1" s="5"/>
      <c r="CHQ1" s="5"/>
      <c r="CHR1" s="5"/>
      <c r="CHS1" s="5"/>
      <c r="CHT1" s="5"/>
      <c r="CHU1" s="5"/>
      <c r="CHV1" s="5"/>
      <c r="CHW1" s="5"/>
      <c r="CHX1" s="5"/>
      <c r="CHY1" s="5"/>
      <c r="CHZ1" s="5"/>
      <c r="CIA1" s="5"/>
      <c r="CIB1" s="5"/>
      <c r="CIC1" s="5"/>
      <c r="CID1" s="5"/>
      <c r="CIE1" s="5"/>
      <c r="CIF1" s="5"/>
      <c r="CIG1" s="5"/>
      <c r="CIH1" s="5"/>
      <c r="CII1" s="5"/>
      <c r="CIJ1" s="5"/>
      <c r="CIK1" s="5"/>
      <c r="CIL1" s="5"/>
      <c r="CIM1" s="5"/>
      <c r="CIN1" s="5"/>
      <c r="CIO1" s="5"/>
      <c r="CIP1" s="5"/>
      <c r="CIQ1" s="5"/>
      <c r="CIR1" s="5"/>
      <c r="CIS1" s="5"/>
      <c r="CIT1" s="5"/>
      <c r="CIU1" s="5"/>
      <c r="CIV1" s="5"/>
      <c r="CIW1" s="5"/>
      <c r="CIX1" s="5"/>
      <c r="CIY1" s="5"/>
      <c r="CIZ1" s="5"/>
      <c r="CJA1" s="5"/>
      <c r="CJB1" s="5"/>
      <c r="CJC1" s="5"/>
      <c r="CJD1" s="5"/>
      <c r="CJE1" s="5"/>
      <c r="CJF1" s="5"/>
      <c r="CJG1" s="5"/>
      <c r="CJH1" s="5"/>
      <c r="CJI1" s="5"/>
      <c r="CJJ1" s="5"/>
      <c r="CJK1" s="5"/>
      <c r="CJL1" s="5"/>
      <c r="CJM1" s="5"/>
      <c r="CJN1" s="5"/>
      <c r="CJO1" s="5"/>
      <c r="CJP1" s="5"/>
      <c r="CJQ1" s="5"/>
      <c r="CJR1" s="5"/>
      <c r="CJS1" s="5"/>
      <c r="CJT1" s="5"/>
      <c r="CJU1" s="5"/>
      <c r="CJV1" s="5"/>
      <c r="CJW1" s="5"/>
      <c r="CJX1" s="5"/>
      <c r="CJY1" s="5"/>
      <c r="CJZ1" s="5"/>
      <c r="CKA1" s="5"/>
      <c r="CKB1" s="5"/>
      <c r="CKC1" s="5"/>
      <c r="CKD1" s="5"/>
      <c r="CKE1" s="5"/>
      <c r="CKF1" s="5"/>
      <c r="CKG1" s="5"/>
      <c r="CKH1" s="5"/>
      <c r="CKI1" s="5"/>
      <c r="CKJ1" s="5"/>
      <c r="CKK1" s="5"/>
      <c r="CKL1" s="5"/>
      <c r="CKM1" s="5"/>
      <c r="CKN1" s="5"/>
      <c r="CKO1" s="5"/>
      <c r="CKP1" s="5"/>
      <c r="CKQ1" s="5"/>
      <c r="CKR1" s="5"/>
      <c r="CKS1" s="5"/>
      <c r="CKT1" s="5"/>
      <c r="CKU1" s="5"/>
      <c r="CKV1" s="5"/>
      <c r="CKW1" s="5"/>
      <c r="CKX1" s="5"/>
      <c r="CKY1" s="5"/>
      <c r="CKZ1" s="5"/>
      <c r="CLA1" s="5"/>
      <c r="CLB1" s="5"/>
      <c r="CLC1" s="5"/>
      <c r="CLD1" s="5"/>
      <c r="CLE1" s="5"/>
      <c r="CLF1" s="5"/>
      <c r="CLG1" s="5"/>
      <c r="CLH1" s="5"/>
      <c r="CLI1" s="5"/>
      <c r="CLJ1" s="5"/>
      <c r="CLK1" s="5"/>
      <c r="CLL1" s="5"/>
      <c r="CLM1" s="5"/>
      <c r="CLN1" s="5"/>
      <c r="CLO1" s="5"/>
      <c r="CLP1" s="5"/>
      <c r="CLQ1" s="5"/>
      <c r="CLR1" s="5"/>
      <c r="CLS1" s="5"/>
      <c r="CLT1" s="5"/>
      <c r="CLU1" s="5"/>
      <c r="CLV1" s="5"/>
      <c r="CLW1" s="5"/>
      <c r="CLX1" s="5"/>
      <c r="CLY1" s="5"/>
      <c r="CLZ1" s="5"/>
      <c r="CMA1" s="5"/>
      <c r="CMB1" s="5"/>
      <c r="CMC1" s="5"/>
      <c r="CMD1" s="5"/>
      <c r="CME1" s="5"/>
      <c r="CMF1" s="5"/>
      <c r="CMG1" s="5"/>
      <c r="CMH1" s="5"/>
      <c r="CMI1" s="5"/>
      <c r="CMJ1" s="5"/>
      <c r="CMK1" s="5"/>
      <c r="CML1" s="5"/>
      <c r="CMM1" s="5"/>
      <c r="CMN1" s="5"/>
      <c r="CMO1" s="5"/>
      <c r="CMP1" s="5"/>
      <c r="CMQ1" s="5"/>
      <c r="CMR1" s="5"/>
      <c r="CMS1" s="5"/>
      <c r="CMT1" s="5"/>
      <c r="CMU1" s="5"/>
      <c r="CMV1" s="5"/>
      <c r="CMW1" s="5"/>
      <c r="CMX1" s="5"/>
      <c r="CMY1" s="5"/>
      <c r="CMZ1" s="5"/>
      <c r="CNA1" s="5"/>
      <c r="CNB1" s="5"/>
      <c r="CNC1" s="5"/>
      <c r="CND1" s="5"/>
      <c r="CNE1" s="5"/>
      <c r="CNF1" s="5"/>
      <c r="CNG1" s="5"/>
      <c r="CNH1" s="5"/>
      <c r="CNI1" s="5"/>
      <c r="CNJ1" s="5"/>
      <c r="CNK1" s="5"/>
      <c r="CNL1" s="5"/>
      <c r="CNM1" s="5"/>
      <c r="CNN1" s="5"/>
      <c r="CNO1" s="5"/>
      <c r="CNP1" s="5"/>
      <c r="CNQ1" s="5"/>
      <c r="CNR1" s="5"/>
      <c r="CNS1" s="5"/>
      <c r="CNT1" s="5"/>
      <c r="CNU1" s="5"/>
      <c r="CNV1" s="5"/>
      <c r="CNW1" s="5"/>
      <c r="CNX1" s="5"/>
      <c r="CNY1" s="5"/>
      <c r="CNZ1" s="5"/>
      <c r="COA1" s="5"/>
      <c r="COB1" s="5"/>
      <c r="COC1" s="5"/>
      <c r="COD1" s="5"/>
      <c r="COE1" s="5"/>
      <c r="COF1" s="5"/>
      <c r="COG1" s="5"/>
      <c r="COH1" s="5"/>
      <c r="COI1" s="5"/>
      <c r="COJ1" s="5"/>
      <c r="COK1" s="5"/>
      <c r="COL1" s="5"/>
      <c r="COM1" s="5"/>
      <c r="CON1" s="5"/>
      <c r="COO1" s="5"/>
      <c r="COP1" s="5"/>
      <c r="COQ1" s="5"/>
      <c r="COR1" s="5"/>
      <c r="COS1" s="5"/>
      <c r="COT1" s="5"/>
      <c r="COU1" s="5"/>
      <c r="COV1" s="5"/>
      <c r="COW1" s="5"/>
      <c r="COX1" s="5"/>
      <c r="COY1" s="5"/>
      <c r="COZ1" s="5"/>
      <c r="CPA1" s="5"/>
      <c r="CPB1" s="5"/>
      <c r="CPC1" s="5"/>
      <c r="CPD1" s="5"/>
      <c r="CPE1" s="5"/>
      <c r="CPF1" s="5"/>
      <c r="CPG1" s="5"/>
      <c r="CPH1" s="5"/>
      <c r="CPI1" s="5"/>
      <c r="CPJ1" s="5"/>
      <c r="CPK1" s="5"/>
      <c r="CPL1" s="5"/>
      <c r="CPM1" s="5"/>
      <c r="CPN1" s="5"/>
      <c r="CPO1" s="5"/>
      <c r="CPP1" s="5"/>
      <c r="CPQ1" s="5"/>
      <c r="CPR1" s="5"/>
      <c r="CPS1" s="5"/>
      <c r="CPT1" s="5"/>
      <c r="CPU1" s="5"/>
      <c r="CPV1" s="5"/>
      <c r="CPW1" s="5"/>
      <c r="CPX1" s="5"/>
      <c r="CPY1" s="5"/>
      <c r="CPZ1" s="5"/>
      <c r="CQA1" s="5"/>
      <c r="CQB1" s="5"/>
      <c r="CQC1" s="5"/>
      <c r="CQD1" s="5"/>
      <c r="CQE1" s="5"/>
      <c r="CQF1" s="5"/>
      <c r="CQG1" s="5"/>
      <c r="CQH1" s="5"/>
      <c r="CQI1" s="5"/>
      <c r="CQJ1" s="5"/>
      <c r="CQK1" s="5"/>
      <c r="CQL1" s="5"/>
      <c r="CQM1" s="5"/>
      <c r="CQN1" s="5"/>
      <c r="CQO1" s="5"/>
      <c r="CQP1" s="5"/>
      <c r="CQQ1" s="5"/>
      <c r="CQR1" s="5"/>
      <c r="CQS1" s="5"/>
      <c r="CQT1" s="5"/>
      <c r="CQU1" s="5"/>
      <c r="CQV1" s="5"/>
      <c r="CQW1" s="5"/>
      <c r="CQX1" s="5"/>
      <c r="CQY1" s="5"/>
      <c r="CQZ1" s="5"/>
      <c r="CRA1" s="5"/>
      <c r="CRB1" s="5"/>
      <c r="CRC1" s="5"/>
      <c r="CRD1" s="5"/>
      <c r="CRE1" s="5"/>
      <c r="CRF1" s="5"/>
      <c r="CRG1" s="5"/>
      <c r="CRH1" s="5"/>
      <c r="CRI1" s="5"/>
      <c r="CRJ1" s="5"/>
      <c r="CRK1" s="5"/>
      <c r="CRL1" s="5"/>
      <c r="CRM1" s="5"/>
      <c r="CRN1" s="5"/>
      <c r="CRO1" s="5"/>
      <c r="CRP1" s="5"/>
      <c r="CRQ1" s="5"/>
      <c r="CRR1" s="5"/>
      <c r="CRS1" s="5"/>
      <c r="CRT1" s="5"/>
      <c r="CRU1" s="5"/>
      <c r="CRV1" s="5"/>
      <c r="CRW1" s="5"/>
      <c r="CRX1" s="5"/>
      <c r="CRY1" s="5"/>
      <c r="CRZ1" s="5"/>
      <c r="CSA1" s="5"/>
      <c r="CSB1" s="5"/>
      <c r="CSC1" s="5"/>
      <c r="CSD1" s="5"/>
      <c r="CSE1" s="5"/>
      <c r="CSF1" s="5"/>
      <c r="CSG1" s="5"/>
      <c r="CSH1" s="5"/>
      <c r="CSI1" s="5"/>
      <c r="CSJ1" s="5"/>
      <c r="CSK1" s="5"/>
      <c r="CSL1" s="5"/>
      <c r="CSM1" s="5"/>
      <c r="CSN1" s="5"/>
      <c r="CSO1" s="5"/>
      <c r="CSP1" s="5"/>
      <c r="CSQ1" s="5"/>
      <c r="CSR1" s="5"/>
      <c r="CSS1" s="5"/>
      <c r="CST1" s="5"/>
      <c r="CSU1" s="5"/>
      <c r="CSV1" s="5"/>
      <c r="CSW1" s="5"/>
      <c r="CSX1" s="5"/>
      <c r="CSY1" s="5"/>
      <c r="CSZ1" s="5"/>
      <c r="CTA1" s="5"/>
      <c r="CTB1" s="5"/>
      <c r="CTC1" s="5"/>
      <c r="CTD1" s="5"/>
      <c r="CTE1" s="5"/>
      <c r="CTF1" s="5"/>
      <c r="CTG1" s="5"/>
      <c r="CTH1" s="5"/>
      <c r="CTI1" s="5"/>
      <c r="CTJ1" s="5"/>
      <c r="CTK1" s="5"/>
      <c r="CTL1" s="5"/>
      <c r="CTM1" s="5"/>
      <c r="CTN1" s="5"/>
      <c r="CTO1" s="5"/>
      <c r="CTP1" s="5"/>
      <c r="CTQ1" s="5"/>
      <c r="CTR1" s="5"/>
      <c r="CTS1" s="5"/>
      <c r="CTT1" s="5"/>
      <c r="CTU1" s="5"/>
      <c r="CTV1" s="5"/>
      <c r="CTW1" s="5"/>
      <c r="CTX1" s="5"/>
      <c r="CTY1" s="5"/>
      <c r="CTZ1" s="5"/>
      <c r="CUA1" s="5"/>
      <c r="CUB1" s="5"/>
      <c r="CUC1" s="5"/>
      <c r="CUD1" s="5"/>
      <c r="CUE1" s="5"/>
      <c r="CUF1" s="5"/>
      <c r="CUG1" s="5"/>
      <c r="CUH1" s="5"/>
      <c r="CUI1" s="5"/>
      <c r="CUJ1" s="5"/>
      <c r="CUK1" s="5"/>
      <c r="CUL1" s="5"/>
      <c r="CUM1" s="5"/>
      <c r="CUN1" s="5"/>
      <c r="CUO1" s="5"/>
      <c r="CUP1" s="5"/>
      <c r="CUQ1" s="5"/>
      <c r="CUR1" s="5"/>
      <c r="CUS1" s="5"/>
      <c r="CUT1" s="5"/>
      <c r="CUU1" s="5"/>
      <c r="CUV1" s="5"/>
      <c r="CUW1" s="5"/>
      <c r="CUX1" s="5"/>
      <c r="CUY1" s="5"/>
      <c r="CUZ1" s="5"/>
      <c r="CVA1" s="5"/>
      <c r="CVB1" s="5"/>
      <c r="CVC1" s="5"/>
      <c r="CVD1" s="5"/>
      <c r="CVE1" s="5"/>
      <c r="CVF1" s="5"/>
      <c r="CVG1" s="5"/>
      <c r="CVH1" s="5"/>
      <c r="CVI1" s="5"/>
      <c r="CVJ1" s="5"/>
      <c r="CVK1" s="5"/>
      <c r="CVL1" s="5"/>
      <c r="CVM1" s="5"/>
      <c r="CVN1" s="5"/>
      <c r="CVO1" s="5"/>
      <c r="CVP1" s="5"/>
      <c r="CVQ1" s="5"/>
      <c r="CVR1" s="5"/>
      <c r="CVS1" s="5"/>
      <c r="CVT1" s="5"/>
      <c r="CVU1" s="5"/>
      <c r="CVV1" s="5"/>
      <c r="CVW1" s="5"/>
      <c r="CVX1" s="5"/>
      <c r="CVY1" s="5"/>
      <c r="CVZ1" s="5"/>
      <c r="CWA1" s="5"/>
      <c r="CWB1" s="5"/>
      <c r="CWC1" s="5"/>
      <c r="CWD1" s="5"/>
      <c r="CWE1" s="5"/>
      <c r="CWF1" s="5"/>
      <c r="CWG1" s="5"/>
      <c r="CWH1" s="5"/>
      <c r="CWI1" s="5"/>
      <c r="CWJ1" s="5"/>
      <c r="CWK1" s="5"/>
      <c r="CWL1" s="5"/>
      <c r="CWM1" s="5"/>
      <c r="CWN1" s="5"/>
      <c r="CWO1" s="5"/>
      <c r="CWP1" s="5"/>
      <c r="CWQ1" s="5"/>
      <c r="CWR1" s="5"/>
      <c r="CWS1" s="5"/>
      <c r="CWT1" s="5"/>
      <c r="CWU1" s="5"/>
      <c r="CWV1" s="5"/>
      <c r="CWW1" s="5"/>
      <c r="CWX1" s="5"/>
      <c r="CWY1" s="5"/>
      <c r="CWZ1" s="5"/>
      <c r="CXA1" s="5"/>
      <c r="CXB1" s="5"/>
      <c r="CXC1" s="5"/>
      <c r="CXD1" s="5"/>
      <c r="CXE1" s="5"/>
      <c r="CXF1" s="5"/>
      <c r="CXG1" s="5"/>
      <c r="CXH1" s="5"/>
      <c r="CXI1" s="5"/>
      <c r="CXJ1" s="5"/>
      <c r="CXK1" s="5"/>
      <c r="CXL1" s="5"/>
      <c r="CXM1" s="5"/>
      <c r="CXN1" s="5"/>
      <c r="CXO1" s="5"/>
      <c r="CXP1" s="5"/>
      <c r="CXQ1" s="5"/>
      <c r="CXR1" s="5"/>
      <c r="CXS1" s="5"/>
      <c r="CXT1" s="5"/>
      <c r="CXU1" s="5"/>
      <c r="CXV1" s="5"/>
      <c r="CXW1" s="5"/>
      <c r="CXX1" s="5"/>
      <c r="CXY1" s="5"/>
      <c r="CXZ1" s="5"/>
      <c r="CYA1" s="5"/>
      <c r="CYB1" s="5"/>
      <c r="CYC1" s="5"/>
      <c r="CYD1" s="5"/>
      <c r="CYE1" s="5"/>
      <c r="CYF1" s="5"/>
      <c r="CYG1" s="5"/>
      <c r="CYH1" s="5"/>
      <c r="CYI1" s="5"/>
      <c r="CYJ1" s="5"/>
      <c r="CYK1" s="5"/>
      <c r="CYL1" s="5"/>
      <c r="CYM1" s="5"/>
      <c r="CYN1" s="5"/>
      <c r="CYO1" s="5"/>
      <c r="CYP1" s="5"/>
      <c r="CYQ1" s="5"/>
      <c r="CYR1" s="5"/>
      <c r="CYS1" s="5"/>
      <c r="CYT1" s="5"/>
      <c r="CYU1" s="5"/>
      <c r="CYV1" s="5"/>
      <c r="CYW1" s="5"/>
      <c r="CYX1" s="5"/>
      <c r="CYY1" s="5"/>
      <c r="CYZ1" s="5"/>
      <c r="CZA1" s="5"/>
      <c r="CZB1" s="5"/>
      <c r="CZC1" s="5"/>
      <c r="CZD1" s="5"/>
      <c r="CZE1" s="5"/>
      <c r="CZF1" s="5"/>
      <c r="CZG1" s="5"/>
      <c r="CZH1" s="5"/>
      <c r="CZI1" s="5"/>
      <c r="CZJ1" s="5"/>
      <c r="CZK1" s="5"/>
      <c r="CZL1" s="5"/>
      <c r="CZM1" s="5"/>
      <c r="CZN1" s="5"/>
      <c r="CZO1" s="5"/>
      <c r="CZP1" s="5"/>
      <c r="CZQ1" s="5"/>
      <c r="CZR1" s="5"/>
      <c r="CZS1" s="5"/>
      <c r="CZT1" s="5"/>
      <c r="CZU1" s="5"/>
      <c r="CZV1" s="5"/>
      <c r="CZW1" s="5"/>
      <c r="CZX1" s="5"/>
      <c r="CZY1" s="5"/>
      <c r="CZZ1" s="5"/>
      <c r="DAA1" s="5"/>
      <c r="DAB1" s="5"/>
      <c r="DAC1" s="5"/>
      <c r="DAD1" s="5"/>
      <c r="DAE1" s="5"/>
      <c r="DAF1" s="5"/>
      <c r="DAG1" s="5"/>
      <c r="DAH1" s="5"/>
      <c r="DAI1" s="5"/>
      <c r="DAJ1" s="5"/>
      <c r="DAK1" s="5"/>
      <c r="DAL1" s="5"/>
      <c r="DAM1" s="5"/>
      <c r="DAN1" s="5"/>
      <c r="DAO1" s="5"/>
      <c r="DAP1" s="5"/>
      <c r="DAQ1" s="5"/>
      <c r="DAR1" s="5"/>
      <c r="DAS1" s="5"/>
      <c r="DAT1" s="5"/>
      <c r="DAU1" s="5"/>
      <c r="DAV1" s="5"/>
      <c r="DAW1" s="5"/>
      <c r="DAX1" s="5"/>
      <c r="DAY1" s="5"/>
      <c r="DAZ1" s="5"/>
      <c r="DBA1" s="5"/>
      <c r="DBB1" s="5"/>
      <c r="DBC1" s="5"/>
      <c r="DBD1" s="5"/>
      <c r="DBE1" s="5"/>
      <c r="DBF1" s="5"/>
      <c r="DBG1" s="5"/>
      <c r="DBH1" s="5"/>
      <c r="DBI1" s="5"/>
      <c r="DBJ1" s="5"/>
      <c r="DBK1" s="5"/>
      <c r="DBL1" s="5"/>
      <c r="DBM1" s="5"/>
      <c r="DBN1" s="5"/>
      <c r="DBO1" s="5"/>
      <c r="DBP1" s="5"/>
      <c r="DBQ1" s="5"/>
      <c r="DBR1" s="5"/>
      <c r="DBS1" s="5"/>
      <c r="DBT1" s="5"/>
      <c r="DBU1" s="5"/>
      <c r="DBV1" s="5"/>
      <c r="DBW1" s="5"/>
      <c r="DBX1" s="5"/>
      <c r="DBY1" s="5"/>
      <c r="DBZ1" s="5"/>
      <c r="DCA1" s="5"/>
      <c r="DCB1" s="5"/>
      <c r="DCC1" s="5"/>
      <c r="DCD1" s="5"/>
      <c r="DCE1" s="5"/>
      <c r="DCF1" s="5"/>
      <c r="DCG1" s="5"/>
      <c r="DCH1" s="5"/>
      <c r="DCI1" s="5"/>
      <c r="DCJ1" s="5"/>
      <c r="DCK1" s="5"/>
      <c r="DCL1" s="5"/>
      <c r="DCM1" s="5"/>
      <c r="DCN1" s="5"/>
      <c r="DCO1" s="5"/>
      <c r="DCP1" s="5"/>
      <c r="DCQ1" s="5"/>
      <c r="DCR1" s="5"/>
      <c r="DCS1" s="5"/>
      <c r="DCT1" s="5"/>
      <c r="DCU1" s="5"/>
      <c r="DCV1" s="5"/>
      <c r="DCW1" s="5"/>
      <c r="DCX1" s="5"/>
      <c r="DCY1" s="5"/>
      <c r="DCZ1" s="5"/>
      <c r="DDA1" s="5"/>
      <c r="DDB1" s="5"/>
      <c r="DDC1" s="5"/>
      <c r="DDD1" s="5"/>
      <c r="DDE1" s="5"/>
      <c r="DDF1" s="5"/>
      <c r="DDG1" s="5"/>
      <c r="DDH1" s="5"/>
      <c r="DDI1" s="5"/>
      <c r="DDJ1" s="5"/>
      <c r="DDK1" s="5"/>
      <c r="DDL1" s="5"/>
      <c r="DDM1" s="5"/>
      <c r="DDN1" s="5"/>
      <c r="DDO1" s="5"/>
      <c r="DDP1" s="5"/>
      <c r="DDQ1" s="5"/>
      <c r="DDR1" s="5"/>
      <c r="DDS1" s="5"/>
      <c r="DDT1" s="5"/>
      <c r="DDU1" s="5"/>
      <c r="DDV1" s="5"/>
      <c r="DDW1" s="5"/>
      <c r="DDX1" s="5"/>
      <c r="DDY1" s="5"/>
      <c r="DDZ1" s="5"/>
      <c r="DEA1" s="5"/>
      <c r="DEB1" s="5"/>
      <c r="DEC1" s="5"/>
      <c r="DED1" s="5"/>
      <c r="DEE1" s="5"/>
      <c r="DEF1" s="5"/>
      <c r="DEG1" s="5"/>
      <c r="DEH1" s="5"/>
      <c r="DEI1" s="5"/>
      <c r="DEJ1" s="5"/>
      <c r="DEK1" s="5"/>
      <c r="DEL1" s="5"/>
      <c r="DEM1" s="5"/>
      <c r="DEN1" s="5"/>
      <c r="DEO1" s="5"/>
      <c r="DEP1" s="5"/>
      <c r="DEQ1" s="5"/>
      <c r="DER1" s="5"/>
      <c r="DES1" s="5"/>
      <c r="DET1" s="5"/>
      <c r="DEU1" s="5"/>
      <c r="DEV1" s="5"/>
      <c r="DEW1" s="5"/>
      <c r="DEX1" s="5"/>
      <c r="DEY1" s="5"/>
      <c r="DEZ1" s="5"/>
      <c r="DFA1" s="5"/>
      <c r="DFB1" s="5"/>
      <c r="DFC1" s="5"/>
      <c r="DFD1" s="5"/>
      <c r="DFE1" s="5"/>
      <c r="DFF1" s="5"/>
      <c r="DFG1" s="5"/>
      <c r="DFH1" s="5"/>
      <c r="DFI1" s="5"/>
      <c r="DFJ1" s="5"/>
      <c r="DFK1" s="5"/>
      <c r="DFL1" s="5"/>
      <c r="DFM1" s="5"/>
      <c r="DFN1" s="5"/>
      <c r="DFO1" s="5"/>
      <c r="DFP1" s="5"/>
      <c r="DFQ1" s="5"/>
      <c r="DFR1" s="5"/>
      <c r="DFS1" s="5"/>
      <c r="DFT1" s="5"/>
      <c r="DFU1" s="5"/>
      <c r="DFV1" s="5"/>
      <c r="DFW1" s="5"/>
      <c r="DFX1" s="5"/>
      <c r="DFY1" s="5"/>
      <c r="DFZ1" s="5"/>
      <c r="DGA1" s="5"/>
      <c r="DGB1" s="5"/>
      <c r="DGC1" s="5"/>
      <c r="DGD1" s="5"/>
      <c r="DGE1" s="5"/>
      <c r="DGF1" s="5"/>
      <c r="DGG1" s="5"/>
      <c r="DGH1" s="5"/>
      <c r="DGI1" s="5"/>
      <c r="DGJ1" s="5"/>
      <c r="DGK1" s="5"/>
      <c r="DGL1" s="5"/>
      <c r="DGM1" s="5"/>
      <c r="DGN1" s="5"/>
      <c r="DGO1" s="5"/>
      <c r="DGP1" s="5"/>
      <c r="DGQ1" s="5"/>
      <c r="DGR1" s="5"/>
      <c r="DGS1" s="5"/>
      <c r="DGT1" s="5"/>
      <c r="DGU1" s="5"/>
      <c r="DGV1" s="5"/>
      <c r="DGW1" s="5"/>
      <c r="DGX1" s="5"/>
      <c r="DGY1" s="5"/>
      <c r="DGZ1" s="5"/>
      <c r="DHA1" s="5"/>
      <c r="DHB1" s="5"/>
      <c r="DHC1" s="5"/>
      <c r="DHD1" s="5"/>
      <c r="DHE1" s="5"/>
      <c r="DHF1" s="5"/>
      <c r="DHG1" s="5"/>
      <c r="DHH1" s="5"/>
      <c r="DHI1" s="5"/>
      <c r="DHJ1" s="5"/>
      <c r="DHK1" s="5"/>
      <c r="DHL1" s="5"/>
      <c r="DHM1" s="5"/>
      <c r="DHN1" s="5"/>
      <c r="DHO1" s="5"/>
      <c r="DHP1" s="5"/>
      <c r="DHQ1" s="5"/>
      <c r="DHR1" s="5"/>
      <c r="DHS1" s="5"/>
      <c r="DHT1" s="5"/>
      <c r="DHU1" s="5"/>
      <c r="DHV1" s="5"/>
      <c r="DHW1" s="5"/>
      <c r="DHX1" s="5"/>
      <c r="DHY1" s="5"/>
      <c r="DHZ1" s="5"/>
      <c r="DIA1" s="5"/>
      <c r="DIB1" s="5"/>
      <c r="DIC1" s="5"/>
      <c r="DID1" s="5"/>
      <c r="DIE1" s="5"/>
      <c r="DIF1" s="5"/>
      <c r="DIG1" s="5"/>
      <c r="DIH1" s="5"/>
      <c r="DII1" s="5"/>
      <c r="DIJ1" s="5"/>
      <c r="DIK1" s="5"/>
      <c r="DIL1" s="5"/>
      <c r="DIM1" s="5"/>
      <c r="DIN1" s="5"/>
      <c r="DIO1" s="5"/>
      <c r="DIP1" s="5"/>
      <c r="DIQ1" s="5"/>
      <c r="DIR1" s="5"/>
      <c r="DIS1" s="5"/>
      <c r="DIT1" s="5"/>
      <c r="DIU1" s="5"/>
      <c r="DIV1" s="5"/>
      <c r="DIW1" s="5"/>
      <c r="DIX1" s="5"/>
      <c r="DIY1" s="5"/>
      <c r="DIZ1" s="5"/>
      <c r="DJA1" s="5"/>
      <c r="DJB1" s="5"/>
      <c r="DJC1" s="5"/>
      <c r="DJD1" s="5"/>
      <c r="DJE1" s="5"/>
      <c r="DJF1" s="5"/>
      <c r="DJG1" s="5"/>
      <c r="DJH1" s="5"/>
      <c r="DJI1" s="5"/>
      <c r="DJJ1" s="5"/>
      <c r="DJK1" s="5"/>
      <c r="DJL1" s="5"/>
      <c r="DJM1" s="5"/>
      <c r="DJN1" s="5"/>
      <c r="DJO1" s="5"/>
      <c r="DJP1" s="5"/>
      <c r="DJQ1" s="5"/>
      <c r="DJR1" s="5"/>
      <c r="DJS1" s="5"/>
      <c r="DJT1" s="5"/>
      <c r="DJU1" s="5"/>
      <c r="DJV1" s="5"/>
      <c r="DJW1" s="5"/>
      <c r="DJX1" s="5"/>
      <c r="DJY1" s="5"/>
      <c r="DJZ1" s="5"/>
      <c r="DKA1" s="5"/>
      <c r="DKB1" s="5"/>
      <c r="DKC1" s="5"/>
      <c r="DKD1" s="5"/>
      <c r="DKE1" s="5"/>
      <c r="DKF1" s="5"/>
      <c r="DKG1" s="5"/>
      <c r="DKH1" s="5"/>
      <c r="DKI1" s="5"/>
      <c r="DKJ1" s="5"/>
      <c r="DKK1" s="5"/>
      <c r="DKL1" s="5"/>
      <c r="DKM1" s="5"/>
      <c r="DKN1" s="5"/>
      <c r="DKO1" s="5"/>
      <c r="DKP1" s="5"/>
      <c r="DKQ1" s="5"/>
      <c r="DKR1" s="5"/>
      <c r="DKS1" s="5"/>
      <c r="DKT1" s="5"/>
      <c r="DKU1" s="5"/>
      <c r="DKV1" s="5"/>
      <c r="DKW1" s="5"/>
      <c r="DKX1" s="5"/>
      <c r="DKY1" s="5"/>
      <c r="DKZ1" s="5"/>
      <c r="DLA1" s="5"/>
      <c r="DLB1" s="5"/>
      <c r="DLC1" s="5"/>
      <c r="DLD1" s="5"/>
      <c r="DLE1" s="5"/>
      <c r="DLF1" s="5"/>
      <c r="DLG1" s="5"/>
      <c r="DLH1" s="5"/>
      <c r="DLI1" s="5"/>
      <c r="DLJ1" s="5"/>
      <c r="DLK1" s="5"/>
      <c r="DLL1" s="5"/>
      <c r="DLM1" s="5"/>
      <c r="DLN1" s="5"/>
      <c r="DLO1" s="5"/>
      <c r="DLP1" s="5"/>
      <c r="DLQ1" s="5"/>
      <c r="DLR1" s="5"/>
      <c r="DLS1" s="5"/>
      <c r="DLT1" s="5"/>
      <c r="DLU1" s="5"/>
      <c r="DLV1" s="5"/>
      <c r="DLW1" s="5"/>
      <c r="DLX1" s="5"/>
      <c r="DLY1" s="5"/>
      <c r="DLZ1" s="5"/>
      <c r="DMA1" s="5"/>
      <c r="DMB1" s="5"/>
      <c r="DMC1" s="5"/>
      <c r="DMD1" s="5"/>
      <c r="DME1" s="5"/>
      <c r="DMF1" s="5"/>
      <c r="DMG1" s="5"/>
      <c r="DMH1" s="5"/>
      <c r="DMI1" s="5"/>
      <c r="DMJ1" s="5"/>
      <c r="DMK1" s="5"/>
      <c r="DML1" s="5"/>
      <c r="DMM1" s="5"/>
      <c r="DMN1" s="5"/>
      <c r="DMO1" s="5"/>
      <c r="DMP1" s="5"/>
      <c r="DMQ1" s="5"/>
      <c r="DMR1" s="5"/>
      <c r="DMS1" s="5"/>
      <c r="DMT1" s="5"/>
      <c r="DMU1" s="5"/>
      <c r="DMV1" s="5"/>
      <c r="DMW1" s="5"/>
      <c r="DMX1" s="5"/>
      <c r="DMY1" s="5"/>
      <c r="DMZ1" s="5"/>
      <c r="DNA1" s="5"/>
      <c r="DNB1" s="5"/>
      <c r="DNC1" s="5"/>
      <c r="DND1" s="5"/>
      <c r="DNE1" s="5"/>
      <c r="DNF1" s="5"/>
      <c r="DNG1" s="5"/>
      <c r="DNH1" s="5"/>
      <c r="DNI1" s="5"/>
      <c r="DNJ1" s="5"/>
      <c r="DNK1" s="5"/>
      <c r="DNL1" s="5"/>
      <c r="DNM1" s="5"/>
      <c r="DNN1" s="5"/>
      <c r="DNO1" s="5"/>
      <c r="DNP1" s="5"/>
      <c r="DNQ1" s="5"/>
      <c r="DNR1" s="5"/>
      <c r="DNS1" s="5"/>
      <c r="DNT1" s="5"/>
      <c r="DNU1" s="5"/>
      <c r="DNV1" s="5"/>
      <c r="DNW1" s="5"/>
      <c r="DNX1" s="5"/>
      <c r="DNY1" s="5"/>
      <c r="DNZ1" s="5"/>
      <c r="DOA1" s="5"/>
      <c r="DOB1" s="5"/>
      <c r="DOC1" s="5"/>
      <c r="DOD1" s="5"/>
      <c r="DOE1" s="5"/>
      <c r="DOF1" s="5"/>
      <c r="DOG1" s="5"/>
      <c r="DOH1" s="5"/>
      <c r="DOI1" s="5"/>
      <c r="DOJ1" s="5"/>
      <c r="DOK1" s="5"/>
      <c r="DOL1" s="5"/>
      <c r="DOM1" s="5"/>
      <c r="DON1" s="5"/>
      <c r="DOO1" s="5"/>
      <c r="DOP1" s="5"/>
      <c r="DOQ1" s="5"/>
      <c r="DOR1" s="5"/>
      <c r="DOS1" s="5"/>
      <c r="DOT1" s="5"/>
      <c r="DOU1" s="5"/>
      <c r="DOV1" s="5"/>
      <c r="DOW1" s="5"/>
      <c r="DOX1" s="5"/>
      <c r="DOY1" s="5"/>
      <c r="DOZ1" s="5"/>
      <c r="DPA1" s="5"/>
      <c r="DPB1" s="5"/>
      <c r="DPC1" s="5"/>
      <c r="DPD1" s="5"/>
      <c r="DPE1" s="5"/>
      <c r="DPF1" s="5"/>
      <c r="DPG1" s="5"/>
      <c r="DPH1" s="5"/>
      <c r="DPI1" s="5"/>
      <c r="DPJ1" s="5"/>
      <c r="DPK1" s="5"/>
      <c r="DPL1" s="5"/>
      <c r="DPM1" s="5"/>
      <c r="DPN1" s="5"/>
      <c r="DPO1" s="5"/>
      <c r="DPP1" s="5"/>
      <c r="DPQ1" s="5"/>
      <c r="DPR1" s="5"/>
      <c r="DPS1" s="5"/>
      <c r="DPT1" s="5"/>
      <c r="DPU1" s="5"/>
      <c r="DPV1" s="5"/>
      <c r="DPW1" s="5"/>
      <c r="DPX1" s="5"/>
      <c r="DPY1" s="5"/>
      <c r="DPZ1" s="5"/>
      <c r="DQA1" s="5"/>
      <c r="DQB1" s="5"/>
      <c r="DQC1" s="5"/>
      <c r="DQD1" s="5"/>
      <c r="DQE1" s="5"/>
      <c r="DQF1" s="5"/>
      <c r="DQG1" s="5"/>
      <c r="DQH1" s="5"/>
      <c r="DQI1" s="5"/>
      <c r="DQJ1" s="5"/>
      <c r="DQK1" s="5"/>
      <c r="DQL1" s="5"/>
      <c r="DQM1" s="5"/>
      <c r="DQN1" s="5"/>
      <c r="DQO1" s="5"/>
      <c r="DQP1" s="5"/>
      <c r="DQQ1" s="5"/>
      <c r="DQR1" s="5"/>
      <c r="DQS1" s="5"/>
      <c r="DQT1" s="5"/>
      <c r="DQU1" s="5"/>
      <c r="DQV1" s="5"/>
      <c r="DQW1" s="5"/>
      <c r="DQX1" s="5"/>
      <c r="DQY1" s="5"/>
      <c r="DQZ1" s="5"/>
      <c r="DRA1" s="5"/>
      <c r="DRB1" s="5"/>
      <c r="DRC1" s="5"/>
      <c r="DRD1" s="5"/>
      <c r="DRE1" s="5"/>
      <c r="DRF1" s="5"/>
      <c r="DRG1" s="5"/>
      <c r="DRH1" s="5"/>
      <c r="DRI1" s="5"/>
      <c r="DRJ1" s="5"/>
      <c r="DRK1" s="5"/>
      <c r="DRL1" s="5"/>
      <c r="DRM1" s="5"/>
      <c r="DRN1" s="5"/>
      <c r="DRO1" s="5"/>
      <c r="DRP1" s="5"/>
      <c r="DRQ1" s="5"/>
      <c r="DRR1" s="5"/>
      <c r="DRS1" s="5"/>
      <c r="DRT1" s="5"/>
      <c r="DRU1" s="5"/>
      <c r="DRV1" s="5"/>
      <c r="DRW1" s="5"/>
      <c r="DRX1" s="5"/>
      <c r="DRY1" s="5"/>
      <c r="DRZ1" s="5"/>
      <c r="DSA1" s="5"/>
      <c r="DSB1" s="5"/>
      <c r="DSC1" s="5"/>
      <c r="DSD1" s="5"/>
      <c r="DSE1" s="5"/>
      <c r="DSF1" s="5"/>
      <c r="DSG1" s="5"/>
      <c r="DSH1" s="5"/>
      <c r="DSI1" s="5"/>
      <c r="DSJ1" s="5"/>
      <c r="DSK1" s="5"/>
      <c r="DSL1" s="5"/>
      <c r="DSM1" s="5"/>
      <c r="DSN1" s="5"/>
      <c r="DSO1" s="5"/>
      <c r="DSP1" s="5"/>
      <c r="DSQ1" s="5"/>
      <c r="DSR1" s="5"/>
      <c r="DSS1" s="5"/>
      <c r="DST1" s="5"/>
      <c r="DSU1" s="5"/>
      <c r="DSV1" s="5"/>
      <c r="DSW1" s="5"/>
      <c r="DSX1" s="5"/>
      <c r="DSY1" s="5"/>
      <c r="DSZ1" s="5"/>
      <c r="DTA1" s="5"/>
      <c r="DTB1" s="5"/>
      <c r="DTC1" s="5"/>
      <c r="DTD1" s="5"/>
      <c r="DTE1" s="5"/>
      <c r="DTF1" s="5"/>
      <c r="DTG1" s="5"/>
      <c r="DTH1" s="5"/>
      <c r="DTI1" s="5"/>
      <c r="DTJ1" s="5"/>
      <c r="DTK1" s="5"/>
      <c r="DTL1" s="5"/>
      <c r="DTM1" s="5"/>
      <c r="DTN1" s="5"/>
      <c r="DTO1" s="5"/>
      <c r="DTP1" s="5"/>
      <c r="DTQ1" s="5"/>
      <c r="DTR1" s="5"/>
      <c r="DTS1" s="5"/>
      <c r="DTT1" s="5"/>
      <c r="DTU1" s="5"/>
      <c r="DTV1" s="5"/>
      <c r="DTW1" s="5"/>
      <c r="DTX1" s="5"/>
      <c r="DTY1" s="5"/>
      <c r="DTZ1" s="5"/>
      <c r="DUA1" s="5"/>
      <c r="DUB1" s="5"/>
      <c r="DUC1" s="5"/>
      <c r="DUD1" s="5"/>
      <c r="DUE1" s="5"/>
      <c r="DUF1" s="5"/>
      <c r="DUG1" s="5"/>
      <c r="DUH1" s="5"/>
      <c r="DUI1" s="5"/>
      <c r="DUJ1" s="5"/>
      <c r="DUK1" s="5"/>
      <c r="DUL1" s="5"/>
      <c r="DUM1" s="5"/>
      <c r="DUN1" s="5"/>
      <c r="DUO1" s="5"/>
      <c r="DUP1" s="5"/>
      <c r="DUQ1" s="5"/>
      <c r="DUR1" s="5"/>
      <c r="DUS1" s="5"/>
      <c r="DUT1" s="5"/>
      <c r="DUU1" s="5"/>
      <c r="DUV1" s="5"/>
      <c r="DUW1" s="5"/>
      <c r="DUX1" s="5"/>
      <c r="DUY1" s="5"/>
      <c r="DUZ1" s="5"/>
      <c r="DVA1" s="5"/>
      <c r="DVB1" s="5"/>
      <c r="DVC1" s="5"/>
      <c r="DVD1" s="5"/>
      <c r="DVE1" s="5"/>
      <c r="DVF1" s="5"/>
      <c r="DVG1" s="5"/>
      <c r="DVH1" s="5"/>
      <c r="DVI1" s="5"/>
      <c r="DVJ1" s="5"/>
      <c r="DVK1" s="5"/>
      <c r="DVL1" s="5"/>
      <c r="DVM1" s="5"/>
      <c r="DVN1" s="5"/>
      <c r="DVO1" s="5"/>
      <c r="DVP1" s="5"/>
      <c r="DVQ1" s="5"/>
      <c r="DVR1" s="5"/>
      <c r="DVS1" s="5"/>
      <c r="DVT1" s="5"/>
      <c r="DVU1" s="5"/>
      <c r="DVV1" s="5"/>
      <c r="DVW1" s="5"/>
      <c r="DVX1" s="5"/>
      <c r="DVY1" s="5"/>
      <c r="DVZ1" s="5"/>
      <c r="DWA1" s="5"/>
      <c r="DWB1" s="5"/>
      <c r="DWC1" s="5"/>
      <c r="DWD1" s="5"/>
      <c r="DWE1" s="5"/>
      <c r="DWF1" s="5"/>
      <c r="DWG1" s="5"/>
      <c r="DWH1" s="5"/>
      <c r="DWI1" s="5"/>
      <c r="DWJ1" s="5"/>
      <c r="DWK1" s="5"/>
      <c r="DWL1" s="5"/>
      <c r="DWM1" s="5"/>
      <c r="DWN1" s="5"/>
      <c r="DWO1" s="5"/>
      <c r="DWP1" s="5"/>
      <c r="DWQ1" s="5"/>
      <c r="DWR1" s="5"/>
      <c r="DWS1" s="5"/>
      <c r="DWT1" s="5"/>
      <c r="DWU1" s="5"/>
      <c r="DWV1" s="5"/>
      <c r="DWW1" s="5"/>
      <c r="DWX1" s="5"/>
      <c r="DWY1" s="5"/>
      <c r="DWZ1" s="5"/>
      <c r="DXA1" s="5"/>
      <c r="DXB1" s="5"/>
      <c r="DXC1" s="5"/>
      <c r="DXD1" s="5"/>
      <c r="DXE1" s="5"/>
      <c r="DXF1" s="5"/>
      <c r="DXG1" s="5"/>
      <c r="DXH1" s="5"/>
      <c r="DXI1" s="5"/>
      <c r="DXJ1" s="5"/>
      <c r="DXK1" s="5"/>
      <c r="DXL1" s="5"/>
      <c r="DXM1" s="5"/>
      <c r="DXN1" s="5"/>
      <c r="DXO1" s="5"/>
      <c r="DXP1" s="5"/>
      <c r="DXQ1" s="5"/>
      <c r="DXR1" s="5"/>
      <c r="DXS1" s="5"/>
      <c r="DXT1" s="5"/>
      <c r="DXU1" s="5"/>
      <c r="DXV1" s="5"/>
      <c r="DXW1" s="5"/>
      <c r="DXX1" s="5"/>
      <c r="DXY1" s="5"/>
      <c r="DXZ1" s="5"/>
      <c r="DYA1" s="5"/>
      <c r="DYB1" s="5"/>
      <c r="DYC1" s="5"/>
      <c r="DYD1" s="5"/>
      <c r="DYE1" s="5"/>
      <c r="DYF1" s="5"/>
      <c r="DYG1" s="5"/>
      <c r="DYH1" s="5"/>
      <c r="DYI1" s="5"/>
      <c r="DYJ1" s="5"/>
      <c r="DYK1" s="5"/>
      <c r="DYL1" s="5"/>
      <c r="DYM1" s="5"/>
      <c r="DYN1" s="5"/>
      <c r="DYO1" s="5"/>
      <c r="DYP1" s="5"/>
      <c r="DYQ1" s="5"/>
      <c r="DYR1" s="5"/>
      <c r="DYS1" s="5"/>
      <c r="DYT1" s="5"/>
      <c r="DYU1" s="5"/>
      <c r="DYV1" s="5"/>
      <c r="DYW1" s="5"/>
      <c r="DYX1" s="5"/>
      <c r="DYY1" s="5"/>
      <c r="DYZ1" s="5"/>
      <c r="DZA1" s="5"/>
      <c r="DZB1" s="5"/>
      <c r="DZC1" s="5"/>
      <c r="DZD1" s="5"/>
      <c r="DZE1" s="5"/>
      <c r="DZF1" s="5"/>
      <c r="DZG1" s="5"/>
      <c r="DZH1" s="5"/>
      <c r="DZI1" s="5"/>
      <c r="DZJ1" s="5"/>
      <c r="DZK1" s="5"/>
      <c r="DZL1" s="5"/>
      <c r="DZM1" s="5"/>
      <c r="DZN1" s="5"/>
      <c r="DZO1" s="5"/>
      <c r="DZP1" s="5"/>
      <c r="DZQ1" s="5"/>
      <c r="DZR1" s="5"/>
      <c r="DZS1" s="5"/>
      <c r="DZT1" s="5"/>
      <c r="DZU1" s="5"/>
      <c r="DZV1" s="5"/>
      <c r="DZW1" s="5"/>
      <c r="DZX1" s="5"/>
      <c r="DZY1" s="5"/>
      <c r="DZZ1" s="5"/>
      <c r="EAA1" s="5"/>
      <c r="EAB1" s="5"/>
      <c r="EAC1" s="5"/>
      <c r="EAD1" s="5"/>
      <c r="EAE1" s="5"/>
      <c r="EAF1" s="5"/>
      <c r="EAG1" s="5"/>
      <c r="EAH1" s="5"/>
      <c r="EAI1" s="5"/>
      <c r="EAJ1" s="5"/>
      <c r="EAK1" s="5"/>
      <c r="EAL1" s="5"/>
      <c r="EAM1" s="5"/>
      <c r="EAN1" s="5"/>
      <c r="EAO1" s="5"/>
      <c r="EAP1" s="5"/>
      <c r="EAQ1" s="5"/>
      <c r="EAR1" s="5"/>
      <c r="EAS1" s="5"/>
      <c r="EAT1" s="5"/>
      <c r="EAU1" s="5"/>
      <c r="EAV1" s="5"/>
      <c r="EAW1" s="5"/>
      <c r="EAX1" s="5"/>
      <c r="EAY1" s="5"/>
      <c r="EAZ1" s="5"/>
      <c r="EBA1" s="5"/>
      <c r="EBB1" s="5"/>
      <c r="EBC1" s="5"/>
      <c r="EBD1" s="5"/>
      <c r="EBE1" s="5"/>
      <c r="EBF1" s="5"/>
      <c r="EBG1" s="5"/>
      <c r="EBH1" s="5"/>
      <c r="EBI1" s="5"/>
      <c r="EBJ1" s="5"/>
      <c r="EBK1" s="5"/>
      <c r="EBL1" s="5"/>
      <c r="EBM1" s="5"/>
      <c r="EBN1" s="5"/>
      <c r="EBO1" s="5"/>
      <c r="EBP1" s="5"/>
      <c r="EBQ1" s="5"/>
      <c r="EBR1" s="5"/>
      <c r="EBS1" s="5"/>
      <c r="EBT1" s="5"/>
      <c r="EBU1" s="5"/>
      <c r="EBV1" s="5"/>
      <c r="EBW1" s="5"/>
      <c r="EBX1" s="5"/>
      <c r="EBY1" s="5"/>
      <c r="EBZ1" s="5"/>
      <c r="ECA1" s="5"/>
      <c r="ECB1" s="5"/>
      <c r="ECC1" s="5"/>
      <c r="ECD1" s="5"/>
      <c r="ECE1" s="5"/>
      <c r="ECF1" s="5"/>
      <c r="ECG1" s="5"/>
      <c r="ECH1" s="5"/>
      <c r="ECI1" s="5"/>
      <c r="ECJ1" s="5"/>
      <c r="ECK1" s="5"/>
      <c r="ECL1" s="5"/>
      <c r="ECM1" s="5"/>
      <c r="ECN1" s="5"/>
      <c r="ECO1" s="5"/>
      <c r="ECP1" s="5"/>
      <c r="ECQ1" s="5"/>
      <c r="ECR1" s="5"/>
      <c r="ECS1" s="5"/>
      <c r="ECT1" s="5"/>
      <c r="ECU1" s="5"/>
      <c r="ECV1" s="5"/>
      <c r="ECW1" s="5"/>
      <c r="ECX1" s="5"/>
      <c r="ECY1" s="5"/>
      <c r="ECZ1" s="5"/>
      <c r="EDA1" s="5"/>
      <c r="EDB1" s="5"/>
      <c r="EDC1" s="5"/>
      <c r="EDD1" s="5"/>
      <c r="EDE1" s="5"/>
      <c r="EDF1" s="5"/>
      <c r="EDG1" s="5"/>
      <c r="EDH1" s="5"/>
      <c r="EDI1" s="5"/>
      <c r="EDJ1" s="5"/>
      <c r="EDK1" s="5"/>
      <c r="EDL1" s="5"/>
      <c r="EDM1" s="5"/>
      <c r="EDN1" s="5"/>
      <c r="EDO1" s="5"/>
      <c r="EDP1" s="5"/>
      <c r="EDQ1" s="5"/>
      <c r="EDR1" s="5"/>
      <c r="EDS1" s="5"/>
      <c r="EDT1" s="5"/>
      <c r="EDU1" s="5"/>
      <c r="EDV1" s="5"/>
      <c r="EDW1" s="5"/>
      <c r="EDX1" s="5"/>
      <c r="EDY1" s="5"/>
      <c r="EDZ1" s="5"/>
      <c r="EEA1" s="5"/>
      <c r="EEB1" s="5"/>
      <c r="EEC1" s="5"/>
      <c r="EED1" s="5"/>
      <c r="EEE1" s="5"/>
      <c r="EEF1" s="5"/>
      <c r="EEG1" s="5"/>
      <c r="EEH1" s="5"/>
      <c r="EEI1" s="5"/>
      <c r="EEJ1" s="5"/>
      <c r="EEK1" s="5"/>
      <c r="EEL1" s="5"/>
      <c r="EEM1" s="5"/>
      <c r="EEN1" s="5"/>
      <c r="EEO1" s="5"/>
      <c r="EEP1" s="5"/>
      <c r="EEQ1" s="5"/>
      <c r="EER1" s="5"/>
      <c r="EES1" s="5"/>
      <c r="EET1" s="5"/>
      <c r="EEU1" s="5"/>
      <c r="EEV1" s="5"/>
      <c r="EEW1" s="5"/>
      <c r="EEX1" s="5"/>
      <c r="EEY1" s="5"/>
      <c r="EEZ1" s="5"/>
      <c r="EFA1" s="5"/>
      <c r="EFB1" s="5"/>
      <c r="EFC1" s="5"/>
      <c r="EFD1" s="5"/>
      <c r="EFE1" s="5"/>
      <c r="EFF1" s="5"/>
      <c r="EFG1" s="5"/>
      <c r="EFH1" s="5"/>
      <c r="EFI1" s="5"/>
      <c r="EFJ1" s="5"/>
      <c r="EFK1" s="5"/>
      <c r="EFL1" s="5"/>
      <c r="EFM1" s="5"/>
      <c r="EFN1" s="5"/>
      <c r="EFO1" s="5"/>
      <c r="EFP1" s="5"/>
      <c r="EFQ1" s="5"/>
      <c r="EFR1" s="5"/>
      <c r="EFS1" s="5"/>
      <c r="EFT1" s="5"/>
      <c r="EFU1" s="5"/>
      <c r="EFV1" s="5"/>
      <c r="EFW1" s="5"/>
      <c r="EFX1" s="5"/>
      <c r="EFY1" s="5"/>
      <c r="EFZ1" s="5"/>
      <c r="EGA1" s="5"/>
      <c r="EGB1" s="5"/>
      <c r="EGC1" s="5"/>
      <c r="EGD1" s="5"/>
      <c r="EGE1" s="5"/>
      <c r="EGF1" s="5"/>
      <c r="EGG1" s="5"/>
      <c r="EGH1" s="5"/>
      <c r="EGI1" s="5"/>
      <c r="EGJ1" s="5"/>
      <c r="EGK1" s="5"/>
      <c r="EGL1" s="5"/>
      <c r="EGM1" s="5"/>
      <c r="EGN1" s="5"/>
      <c r="EGO1" s="5"/>
      <c r="EGP1" s="5"/>
      <c r="EGQ1" s="5"/>
      <c r="EGR1" s="5"/>
      <c r="EGS1" s="5"/>
      <c r="EGT1" s="5"/>
      <c r="EGU1" s="5"/>
      <c r="EGV1" s="5"/>
      <c r="EGW1" s="5"/>
      <c r="EGX1" s="5"/>
      <c r="EGY1" s="5"/>
      <c r="EGZ1" s="5"/>
      <c r="EHA1" s="5"/>
      <c r="EHB1" s="5"/>
      <c r="EHC1" s="5"/>
      <c r="EHD1" s="5"/>
      <c r="EHE1" s="5"/>
      <c r="EHF1" s="5"/>
      <c r="EHG1" s="5"/>
      <c r="EHH1" s="5"/>
      <c r="EHI1" s="5"/>
      <c r="EHJ1" s="5"/>
      <c r="EHK1" s="5"/>
      <c r="EHL1" s="5"/>
      <c r="EHM1" s="5"/>
      <c r="EHN1" s="5"/>
      <c r="EHO1" s="5"/>
      <c r="EHP1" s="5"/>
      <c r="EHQ1" s="5"/>
      <c r="EHR1" s="5"/>
      <c r="EHS1" s="5"/>
      <c r="EHT1" s="5"/>
      <c r="EHU1" s="5"/>
      <c r="EHV1" s="5"/>
      <c r="EHW1" s="5"/>
      <c r="EHX1" s="5"/>
      <c r="EHY1" s="5"/>
      <c r="EHZ1" s="5"/>
      <c r="EIA1" s="5"/>
      <c r="EIB1" s="5"/>
      <c r="EIC1" s="5"/>
      <c r="EID1" s="5"/>
      <c r="EIE1" s="5"/>
      <c r="EIF1" s="5"/>
      <c r="EIG1" s="5"/>
      <c r="EIH1" s="5"/>
      <c r="EII1" s="5"/>
      <c r="EIJ1" s="5"/>
      <c r="EIK1" s="5"/>
      <c r="EIL1" s="5"/>
      <c r="EIM1" s="5"/>
      <c r="EIN1" s="5"/>
      <c r="EIO1" s="5"/>
      <c r="EIP1" s="5"/>
      <c r="EIQ1" s="5"/>
      <c r="EIR1" s="5"/>
      <c r="EIS1" s="5"/>
      <c r="EIT1" s="5"/>
      <c r="EIU1" s="5"/>
      <c r="EIV1" s="5"/>
      <c r="EIW1" s="5"/>
      <c r="EIX1" s="5"/>
      <c r="EIY1" s="5"/>
      <c r="EIZ1" s="5"/>
      <c r="EJA1" s="5"/>
      <c r="EJB1" s="5"/>
      <c r="EJC1" s="5"/>
      <c r="EJD1" s="5"/>
      <c r="EJE1" s="5"/>
      <c r="EJF1" s="5"/>
      <c r="EJG1" s="5"/>
      <c r="EJH1" s="5"/>
      <c r="EJI1" s="5"/>
      <c r="EJJ1" s="5"/>
      <c r="EJK1" s="5"/>
      <c r="EJL1" s="5"/>
      <c r="EJM1" s="5"/>
      <c r="EJN1" s="5"/>
      <c r="EJO1" s="5"/>
      <c r="EJP1" s="5"/>
      <c r="EJQ1" s="5"/>
      <c r="EJR1" s="5"/>
      <c r="EJS1" s="5"/>
      <c r="EJT1" s="5"/>
      <c r="EJU1" s="5"/>
      <c r="EJV1" s="5"/>
      <c r="EJW1" s="5"/>
      <c r="EJX1" s="5"/>
      <c r="EJY1" s="5"/>
      <c r="EJZ1" s="5"/>
      <c r="EKA1" s="5"/>
      <c r="EKB1" s="5"/>
      <c r="EKC1" s="5"/>
      <c r="EKD1" s="5"/>
      <c r="EKE1" s="5"/>
      <c r="EKF1" s="5"/>
      <c r="EKG1" s="5"/>
      <c r="EKH1" s="5"/>
      <c r="EKI1" s="5"/>
      <c r="EKJ1" s="5"/>
      <c r="EKK1" s="5"/>
      <c r="EKL1" s="5"/>
      <c r="EKM1" s="5"/>
      <c r="EKN1" s="5"/>
      <c r="EKO1" s="5"/>
      <c r="EKP1" s="5"/>
      <c r="EKQ1" s="5"/>
      <c r="EKR1" s="5"/>
      <c r="EKS1" s="5"/>
      <c r="EKT1" s="5"/>
      <c r="EKU1" s="5"/>
      <c r="EKV1" s="5"/>
      <c r="EKW1" s="5"/>
      <c r="EKX1" s="5"/>
      <c r="EKY1" s="5"/>
      <c r="EKZ1" s="5"/>
      <c r="ELA1" s="5"/>
      <c r="ELB1" s="5"/>
      <c r="ELC1" s="5"/>
      <c r="ELD1" s="5"/>
      <c r="ELE1" s="5"/>
      <c r="ELF1" s="5"/>
      <c r="ELG1" s="5"/>
      <c r="ELH1" s="5"/>
      <c r="ELI1" s="5"/>
      <c r="ELJ1" s="5"/>
      <c r="ELK1" s="5"/>
      <c r="ELL1" s="5"/>
      <c r="ELM1" s="5"/>
      <c r="ELN1" s="5"/>
      <c r="ELO1" s="5"/>
      <c r="ELP1" s="5"/>
      <c r="ELQ1" s="5"/>
      <c r="ELR1" s="5"/>
      <c r="ELS1" s="5"/>
      <c r="ELT1" s="5"/>
      <c r="ELU1" s="5"/>
      <c r="ELV1" s="5"/>
      <c r="ELW1" s="5"/>
      <c r="ELX1" s="5"/>
      <c r="ELY1" s="5"/>
      <c r="ELZ1" s="5"/>
      <c r="EMA1" s="5"/>
      <c r="EMB1" s="5"/>
      <c r="EMC1" s="5"/>
      <c r="EMD1" s="5"/>
      <c r="EME1" s="5"/>
      <c r="EMF1" s="5"/>
      <c r="EMG1" s="5"/>
      <c r="EMH1" s="5"/>
      <c r="EMI1" s="5"/>
      <c r="EMJ1" s="5"/>
      <c r="EMK1" s="5"/>
      <c r="EML1" s="5"/>
      <c r="EMM1" s="5"/>
      <c r="EMN1" s="5"/>
      <c r="EMO1" s="5"/>
      <c r="EMP1" s="5"/>
      <c r="EMQ1" s="5"/>
      <c r="EMR1" s="5"/>
      <c r="EMS1" s="5"/>
      <c r="EMT1" s="5"/>
      <c r="EMU1" s="5"/>
      <c r="EMV1" s="5"/>
      <c r="EMW1" s="5"/>
      <c r="EMX1" s="5"/>
      <c r="EMY1" s="5"/>
      <c r="EMZ1" s="5"/>
      <c r="ENA1" s="5"/>
      <c r="ENB1" s="5"/>
      <c r="ENC1" s="5"/>
      <c r="END1" s="5"/>
      <c r="ENE1" s="5"/>
      <c r="ENF1" s="5"/>
      <c r="ENG1" s="5"/>
      <c r="ENH1" s="5"/>
      <c r="ENI1" s="5"/>
      <c r="ENJ1" s="5"/>
      <c r="ENK1" s="5"/>
      <c r="ENL1" s="5"/>
      <c r="ENM1" s="5"/>
      <c r="ENN1" s="5"/>
      <c r="ENO1" s="5"/>
      <c r="ENP1" s="5"/>
      <c r="ENQ1" s="5"/>
      <c r="ENR1" s="5"/>
      <c r="ENS1" s="5"/>
      <c r="ENT1" s="5"/>
      <c r="ENU1" s="5"/>
      <c r="ENV1" s="5"/>
      <c r="ENW1" s="5"/>
      <c r="ENX1" s="5"/>
      <c r="ENY1" s="5"/>
      <c r="ENZ1" s="5"/>
      <c r="EOA1" s="5"/>
      <c r="EOB1" s="5"/>
      <c r="EOC1" s="5"/>
      <c r="EOD1" s="5"/>
      <c r="EOE1" s="5"/>
      <c r="EOF1" s="5"/>
      <c r="EOG1" s="5"/>
      <c r="EOH1" s="5"/>
      <c r="EOI1" s="5"/>
      <c r="EOJ1" s="5"/>
      <c r="EOK1" s="5"/>
      <c r="EOL1" s="5"/>
      <c r="EOM1" s="5"/>
      <c r="EON1" s="5"/>
      <c r="EOO1" s="5"/>
      <c r="EOP1" s="5"/>
      <c r="EOQ1" s="5"/>
      <c r="EOR1" s="5"/>
      <c r="EOS1" s="5"/>
      <c r="EOT1" s="5"/>
      <c r="EOU1" s="5"/>
      <c r="EOV1" s="5"/>
      <c r="EOW1" s="5"/>
      <c r="EOX1" s="5"/>
      <c r="EOY1" s="5"/>
      <c r="EOZ1" s="5"/>
      <c r="EPA1" s="5"/>
      <c r="EPB1" s="5"/>
      <c r="EPC1" s="5"/>
      <c r="EPD1" s="5"/>
      <c r="EPE1" s="5"/>
      <c r="EPF1" s="5"/>
      <c r="EPG1" s="5"/>
      <c r="EPH1" s="5"/>
      <c r="EPI1" s="5"/>
      <c r="EPJ1" s="5"/>
      <c r="EPK1" s="5"/>
      <c r="EPL1" s="5"/>
      <c r="EPM1" s="5"/>
      <c r="EPN1" s="5"/>
      <c r="EPO1" s="5"/>
      <c r="EPP1" s="5"/>
      <c r="EPQ1" s="5"/>
      <c r="EPR1" s="5"/>
      <c r="EPS1" s="5"/>
      <c r="EPT1" s="5"/>
      <c r="EPU1" s="5"/>
      <c r="EPV1" s="5"/>
      <c r="EPW1" s="5"/>
      <c r="EPX1" s="5"/>
      <c r="EPY1" s="5"/>
      <c r="EPZ1" s="5"/>
      <c r="EQA1" s="5"/>
      <c r="EQB1" s="5"/>
      <c r="EQC1" s="5"/>
      <c r="EQD1" s="5"/>
      <c r="EQE1" s="5"/>
      <c r="EQF1" s="5"/>
      <c r="EQG1" s="5"/>
      <c r="EQH1" s="5"/>
      <c r="EQI1" s="5"/>
      <c r="EQJ1" s="5"/>
      <c r="EQK1" s="5"/>
      <c r="EQL1" s="5"/>
      <c r="EQM1" s="5"/>
      <c r="EQN1" s="5"/>
      <c r="EQO1" s="5"/>
      <c r="EQP1" s="5"/>
      <c r="EQQ1" s="5"/>
      <c r="EQR1" s="5"/>
      <c r="EQS1" s="5"/>
      <c r="EQT1" s="5"/>
      <c r="EQU1" s="5"/>
      <c r="EQV1" s="5"/>
      <c r="EQW1" s="5"/>
      <c r="EQX1" s="5"/>
      <c r="EQY1" s="5"/>
      <c r="EQZ1" s="5"/>
      <c r="ERA1" s="5"/>
      <c r="ERB1" s="5"/>
      <c r="ERC1" s="5"/>
      <c r="ERD1" s="5"/>
      <c r="ERE1" s="5"/>
      <c r="ERF1" s="5"/>
      <c r="ERG1" s="5"/>
      <c r="ERH1" s="5"/>
      <c r="ERI1" s="5"/>
      <c r="ERJ1" s="5"/>
      <c r="ERK1" s="5"/>
      <c r="ERL1" s="5"/>
      <c r="ERM1" s="5"/>
      <c r="ERN1" s="5"/>
      <c r="ERO1" s="5"/>
      <c r="ERP1" s="5"/>
      <c r="ERQ1" s="5"/>
      <c r="ERR1" s="5"/>
      <c r="ERS1" s="5"/>
      <c r="ERT1" s="5"/>
      <c r="ERU1" s="5"/>
      <c r="ERV1" s="5"/>
      <c r="ERW1" s="5"/>
      <c r="ERX1" s="5"/>
      <c r="ERY1" s="5"/>
      <c r="ERZ1" s="5"/>
      <c r="ESA1" s="5"/>
      <c r="ESB1" s="5"/>
      <c r="ESC1" s="5"/>
      <c r="ESD1" s="5"/>
      <c r="ESE1" s="5"/>
      <c r="ESF1" s="5"/>
      <c r="ESG1" s="5"/>
      <c r="ESH1" s="5"/>
      <c r="ESI1" s="5"/>
      <c r="ESJ1" s="5"/>
      <c r="ESK1" s="5"/>
      <c r="ESL1" s="5"/>
      <c r="ESM1" s="5"/>
      <c r="ESN1" s="5"/>
      <c r="ESO1" s="5"/>
      <c r="ESP1" s="5"/>
      <c r="ESQ1" s="5"/>
      <c r="ESR1" s="5"/>
      <c r="ESS1" s="5"/>
      <c r="EST1" s="5"/>
      <c r="ESU1" s="5"/>
      <c r="ESV1" s="5"/>
      <c r="ESW1" s="5"/>
      <c r="ESX1" s="5"/>
      <c r="ESY1" s="5"/>
      <c r="ESZ1" s="5"/>
      <c r="ETA1" s="5"/>
      <c r="ETB1" s="5"/>
      <c r="ETC1" s="5"/>
      <c r="ETD1" s="5"/>
      <c r="ETE1" s="5"/>
      <c r="ETF1" s="5"/>
      <c r="ETG1" s="5"/>
      <c r="ETH1" s="5"/>
      <c r="ETI1" s="5"/>
      <c r="ETJ1" s="5"/>
      <c r="ETK1" s="5"/>
      <c r="ETL1" s="5"/>
      <c r="ETM1" s="5"/>
      <c r="ETN1" s="5"/>
      <c r="ETO1" s="5"/>
      <c r="ETP1" s="5"/>
      <c r="ETQ1" s="5"/>
      <c r="ETR1" s="5"/>
      <c r="ETS1" s="5"/>
      <c r="ETT1" s="5"/>
      <c r="ETU1" s="5"/>
      <c r="ETV1" s="5"/>
      <c r="ETW1" s="5"/>
      <c r="ETX1" s="5"/>
      <c r="ETY1" s="5"/>
      <c r="ETZ1" s="5"/>
      <c r="EUA1" s="5"/>
      <c r="EUB1" s="5"/>
      <c r="EUC1" s="5"/>
      <c r="EUD1" s="5"/>
      <c r="EUE1" s="5"/>
      <c r="EUF1" s="5"/>
      <c r="EUG1" s="5"/>
      <c r="EUH1" s="5"/>
      <c r="EUI1" s="5"/>
      <c r="EUJ1" s="5"/>
      <c r="EUK1" s="5"/>
      <c r="EUL1" s="5"/>
      <c r="EUM1" s="5"/>
      <c r="EUN1" s="5"/>
      <c r="EUO1" s="5"/>
      <c r="EUP1" s="5"/>
      <c r="EUQ1" s="5"/>
      <c r="EUR1" s="5"/>
      <c r="EUS1" s="5"/>
      <c r="EUT1" s="5"/>
      <c r="EUU1" s="5"/>
      <c r="EUV1" s="5"/>
      <c r="EUW1" s="5"/>
      <c r="EUX1" s="5"/>
      <c r="EUY1" s="5"/>
      <c r="EUZ1" s="5"/>
      <c r="EVA1" s="5"/>
      <c r="EVB1" s="5"/>
      <c r="EVC1" s="5"/>
      <c r="EVD1" s="5"/>
      <c r="EVE1" s="5"/>
      <c r="EVF1" s="5"/>
      <c r="EVG1" s="5"/>
      <c r="EVH1" s="5"/>
      <c r="EVI1" s="5"/>
      <c r="EVJ1" s="5"/>
      <c r="EVK1" s="5"/>
      <c r="EVL1" s="5"/>
      <c r="EVM1" s="5"/>
      <c r="EVN1" s="5"/>
      <c r="EVO1" s="5"/>
      <c r="EVP1" s="5"/>
      <c r="EVQ1" s="5"/>
      <c r="EVR1" s="5"/>
      <c r="EVS1" s="5"/>
      <c r="EVT1" s="5"/>
      <c r="EVU1" s="5"/>
      <c r="EVV1" s="5"/>
      <c r="EVW1" s="5"/>
      <c r="EVX1" s="5"/>
      <c r="EVY1" s="5"/>
      <c r="EVZ1" s="5"/>
      <c r="EWA1" s="5"/>
      <c r="EWB1" s="5"/>
      <c r="EWC1" s="5"/>
      <c r="EWD1" s="5"/>
      <c r="EWE1" s="5"/>
      <c r="EWF1" s="5"/>
      <c r="EWG1" s="5"/>
      <c r="EWH1" s="5"/>
      <c r="EWI1" s="5"/>
      <c r="EWJ1" s="5"/>
      <c r="EWK1" s="5"/>
      <c r="EWL1" s="5"/>
      <c r="EWM1" s="5"/>
      <c r="EWN1" s="5"/>
      <c r="EWO1" s="5"/>
      <c r="EWP1" s="5"/>
      <c r="EWQ1" s="5"/>
      <c r="EWR1" s="5"/>
      <c r="EWS1" s="5"/>
      <c r="EWT1" s="5"/>
      <c r="EWU1" s="5"/>
      <c r="EWV1" s="5"/>
      <c r="EWW1" s="5"/>
      <c r="EWX1" s="5"/>
      <c r="EWY1" s="5"/>
      <c r="EWZ1" s="5"/>
      <c r="EXA1" s="5"/>
      <c r="EXB1" s="5"/>
      <c r="EXC1" s="5"/>
      <c r="EXD1" s="5"/>
      <c r="EXE1" s="5"/>
      <c r="EXF1" s="5"/>
      <c r="EXG1" s="5"/>
      <c r="EXH1" s="5"/>
      <c r="EXI1" s="5"/>
      <c r="EXJ1" s="5"/>
      <c r="EXK1" s="5"/>
      <c r="EXL1" s="5"/>
      <c r="EXM1" s="5"/>
      <c r="EXN1" s="5"/>
      <c r="EXO1" s="5"/>
      <c r="EXP1" s="5"/>
      <c r="EXQ1" s="5"/>
      <c r="EXR1" s="5"/>
      <c r="EXS1" s="5"/>
      <c r="EXT1" s="5"/>
      <c r="EXU1" s="5"/>
      <c r="EXV1" s="5"/>
      <c r="EXW1" s="5"/>
      <c r="EXX1" s="5"/>
      <c r="EXY1" s="5"/>
      <c r="EXZ1" s="5"/>
      <c r="EYA1" s="5"/>
      <c r="EYB1" s="5"/>
      <c r="EYC1" s="5"/>
      <c r="EYD1" s="5"/>
      <c r="EYE1" s="5"/>
      <c r="EYF1" s="5"/>
      <c r="EYG1" s="5"/>
      <c r="EYH1" s="5"/>
      <c r="EYI1" s="5"/>
      <c r="EYJ1" s="5"/>
      <c r="EYK1" s="5"/>
      <c r="EYL1" s="5"/>
      <c r="EYM1" s="5"/>
      <c r="EYN1" s="5"/>
      <c r="EYO1" s="5"/>
      <c r="EYP1" s="5"/>
      <c r="EYQ1" s="5"/>
      <c r="EYR1" s="5"/>
      <c r="EYS1" s="5"/>
      <c r="EYT1" s="5"/>
      <c r="EYU1" s="5"/>
      <c r="EYV1" s="5"/>
      <c r="EYW1" s="5"/>
      <c r="EYX1" s="5"/>
      <c r="EYY1" s="5"/>
      <c r="EYZ1" s="5"/>
      <c r="EZA1" s="5"/>
      <c r="EZB1" s="5"/>
      <c r="EZC1" s="5"/>
      <c r="EZD1" s="5"/>
      <c r="EZE1" s="5"/>
      <c r="EZF1" s="5"/>
      <c r="EZG1" s="5"/>
      <c r="EZH1" s="5"/>
      <c r="EZI1" s="5"/>
      <c r="EZJ1" s="5"/>
      <c r="EZK1" s="5"/>
      <c r="EZL1" s="5"/>
      <c r="EZM1" s="5"/>
      <c r="EZN1" s="5"/>
      <c r="EZO1" s="5"/>
      <c r="EZP1" s="5"/>
      <c r="EZQ1" s="5"/>
      <c r="EZR1" s="5"/>
      <c r="EZS1" s="5"/>
      <c r="EZT1" s="5"/>
      <c r="EZU1" s="5"/>
      <c r="EZV1" s="5"/>
      <c r="EZW1" s="5"/>
      <c r="EZX1" s="5"/>
      <c r="EZY1" s="5"/>
      <c r="EZZ1" s="5"/>
      <c r="FAA1" s="5"/>
      <c r="FAB1" s="5"/>
      <c r="FAC1" s="5"/>
      <c r="FAD1" s="5"/>
      <c r="FAE1" s="5"/>
      <c r="FAF1" s="5"/>
      <c r="FAG1" s="5"/>
      <c r="FAH1" s="5"/>
      <c r="FAI1" s="5"/>
      <c r="FAJ1" s="5"/>
      <c r="FAK1" s="5"/>
      <c r="FAL1" s="5"/>
      <c r="FAM1" s="5"/>
      <c r="FAN1" s="5"/>
      <c r="FAO1" s="5"/>
      <c r="FAP1" s="5"/>
      <c r="FAQ1" s="5"/>
      <c r="FAR1" s="5"/>
      <c r="FAS1" s="5"/>
      <c r="FAT1" s="5"/>
      <c r="FAU1" s="5"/>
      <c r="FAV1" s="5"/>
      <c r="FAW1" s="5"/>
      <c r="FAX1" s="5"/>
      <c r="FAY1" s="5"/>
      <c r="FAZ1" s="5"/>
      <c r="FBA1" s="5"/>
      <c r="FBB1" s="5"/>
      <c r="FBC1" s="5"/>
      <c r="FBD1" s="5"/>
      <c r="FBE1" s="5"/>
      <c r="FBF1" s="5"/>
      <c r="FBG1" s="5"/>
      <c r="FBH1" s="5"/>
      <c r="FBI1" s="5"/>
      <c r="FBJ1" s="5"/>
      <c r="FBK1" s="5"/>
      <c r="FBL1" s="5"/>
      <c r="FBM1" s="5"/>
      <c r="FBN1" s="5"/>
      <c r="FBO1" s="5"/>
      <c r="FBP1" s="5"/>
      <c r="FBQ1" s="5"/>
      <c r="FBR1" s="5"/>
      <c r="FBS1" s="5"/>
      <c r="FBT1" s="5"/>
      <c r="FBU1" s="5"/>
      <c r="FBV1" s="5"/>
      <c r="FBW1" s="5"/>
      <c r="FBX1" s="5"/>
      <c r="FBY1" s="5"/>
      <c r="FBZ1" s="5"/>
      <c r="FCA1" s="5"/>
      <c r="FCB1" s="5"/>
      <c r="FCC1" s="5"/>
      <c r="FCD1" s="5"/>
      <c r="FCE1" s="5"/>
      <c r="FCF1" s="5"/>
      <c r="FCG1" s="5"/>
      <c r="FCH1" s="5"/>
      <c r="FCI1" s="5"/>
      <c r="FCJ1" s="5"/>
      <c r="FCK1" s="5"/>
      <c r="FCL1" s="5"/>
      <c r="FCM1" s="5"/>
      <c r="FCN1" s="5"/>
      <c r="FCO1" s="5"/>
      <c r="FCP1" s="5"/>
      <c r="FCQ1" s="5"/>
      <c r="FCR1" s="5"/>
      <c r="FCS1" s="5"/>
      <c r="FCT1" s="5"/>
      <c r="FCU1" s="5"/>
      <c r="FCV1" s="5"/>
      <c r="FCW1" s="5"/>
      <c r="FCX1" s="5"/>
      <c r="FCY1" s="5"/>
      <c r="FCZ1" s="5"/>
      <c r="FDA1" s="5"/>
      <c r="FDB1" s="5"/>
      <c r="FDC1" s="5"/>
      <c r="FDD1" s="5"/>
      <c r="FDE1" s="5"/>
      <c r="FDF1" s="5"/>
      <c r="FDG1" s="5"/>
      <c r="FDH1" s="5"/>
      <c r="FDI1" s="5"/>
      <c r="FDJ1" s="5"/>
      <c r="FDK1" s="5"/>
      <c r="FDL1" s="5"/>
      <c r="FDM1" s="5"/>
      <c r="FDN1" s="5"/>
      <c r="FDO1" s="5"/>
      <c r="FDP1" s="5"/>
      <c r="FDQ1" s="5"/>
      <c r="FDR1" s="5"/>
      <c r="FDS1" s="5"/>
      <c r="FDT1" s="5"/>
      <c r="FDU1" s="5"/>
      <c r="FDV1" s="5"/>
      <c r="FDW1" s="5"/>
      <c r="FDX1" s="5"/>
      <c r="FDY1" s="5"/>
      <c r="FDZ1" s="5"/>
      <c r="FEA1" s="5"/>
      <c r="FEB1" s="5"/>
      <c r="FEC1" s="5"/>
      <c r="FED1" s="5"/>
      <c r="FEE1" s="5"/>
      <c r="FEF1" s="5"/>
      <c r="FEG1" s="5"/>
      <c r="FEH1" s="5"/>
      <c r="FEI1" s="5"/>
      <c r="FEJ1" s="5"/>
      <c r="FEK1" s="5"/>
      <c r="FEL1" s="5"/>
      <c r="FEM1" s="5"/>
      <c r="FEN1" s="5"/>
      <c r="FEO1" s="5"/>
      <c r="FEP1" s="5"/>
      <c r="FEQ1" s="5"/>
      <c r="FER1" s="5"/>
      <c r="FES1" s="5"/>
      <c r="FET1" s="5"/>
      <c r="FEU1" s="5"/>
      <c r="FEV1" s="5"/>
      <c r="FEW1" s="5"/>
      <c r="FEX1" s="5"/>
      <c r="FEY1" s="5"/>
      <c r="FEZ1" s="5"/>
      <c r="FFA1" s="5"/>
      <c r="FFB1" s="5"/>
      <c r="FFC1" s="5"/>
      <c r="FFD1" s="5"/>
      <c r="FFE1" s="5"/>
      <c r="FFF1" s="5"/>
      <c r="FFG1" s="5"/>
      <c r="FFH1" s="5"/>
      <c r="FFI1" s="5"/>
      <c r="FFJ1" s="5"/>
      <c r="FFK1" s="5"/>
      <c r="FFL1" s="5"/>
      <c r="FFM1" s="5"/>
      <c r="FFN1" s="5"/>
      <c r="FFO1" s="5"/>
      <c r="FFP1" s="5"/>
      <c r="FFQ1" s="5"/>
      <c r="FFR1" s="5"/>
      <c r="FFS1" s="5"/>
      <c r="FFT1" s="5"/>
      <c r="FFU1" s="5"/>
      <c r="FFV1" s="5"/>
      <c r="FFW1" s="5"/>
      <c r="FFX1" s="5"/>
      <c r="FFY1" s="5"/>
      <c r="FFZ1" s="5"/>
      <c r="FGA1" s="5"/>
      <c r="FGB1" s="5"/>
      <c r="FGC1" s="5"/>
      <c r="FGD1" s="5"/>
      <c r="FGE1" s="5"/>
      <c r="FGF1" s="5"/>
      <c r="FGG1" s="5"/>
      <c r="FGH1" s="5"/>
      <c r="FGI1" s="5"/>
      <c r="FGJ1" s="5"/>
      <c r="FGK1" s="5"/>
      <c r="FGL1" s="5"/>
      <c r="FGM1" s="5"/>
      <c r="FGN1" s="5"/>
      <c r="FGO1" s="5"/>
      <c r="FGP1" s="5"/>
      <c r="FGQ1" s="5"/>
      <c r="FGR1" s="5"/>
      <c r="FGS1" s="5"/>
      <c r="FGT1" s="5"/>
      <c r="FGU1" s="5"/>
      <c r="FGV1" s="5"/>
      <c r="FGW1" s="5"/>
      <c r="FGX1" s="5"/>
      <c r="FGY1" s="5"/>
      <c r="FGZ1" s="5"/>
      <c r="FHA1" s="5"/>
      <c r="FHB1" s="5"/>
      <c r="FHC1" s="5"/>
      <c r="FHD1" s="5"/>
      <c r="FHE1" s="5"/>
      <c r="FHF1" s="5"/>
      <c r="FHG1" s="5"/>
      <c r="FHH1" s="5"/>
      <c r="FHI1" s="5"/>
      <c r="FHJ1" s="5"/>
      <c r="FHK1" s="5"/>
      <c r="FHL1" s="5"/>
      <c r="FHM1" s="5"/>
      <c r="FHN1" s="5"/>
      <c r="FHO1" s="5"/>
      <c r="FHP1" s="5"/>
      <c r="FHQ1" s="5"/>
      <c r="FHR1" s="5"/>
      <c r="FHS1" s="5"/>
      <c r="FHT1" s="5"/>
      <c r="FHU1" s="5"/>
      <c r="FHV1" s="5"/>
      <c r="FHW1" s="5"/>
      <c r="FHX1" s="5"/>
      <c r="FHY1" s="5"/>
      <c r="FHZ1" s="5"/>
      <c r="FIA1" s="5"/>
      <c r="FIB1" s="5"/>
      <c r="FIC1" s="5"/>
      <c r="FID1" s="5"/>
      <c r="FIE1" s="5"/>
      <c r="FIF1" s="5"/>
      <c r="FIG1" s="5"/>
      <c r="FIH1" s="5"/>
      <c r="FII1" s="5"/>
      <c r="FIJ1" s="5"/>
      <c r="FIK1" s="5"/>
      <c r="FIL1" s="5"/>
      <c r="FIM1" s="5"/>
      <c r="FIN1" s="5"/>
      <c r="FIO1" s="5"/>
      <c r="FIP1" s="5"/>
      <c r="FIQ1" s="5"/>
      <c r="FIR1" s="5"/>
      <c r="FIS1" s="5"/>
      <c r="FIT1" s="5"/>
      <c r="FIU1" s="5"/>
      <c r="FIV1" s="5"/>
      <c r="FIW1" s="5"/>
      <c r="FIX1" s="5"/>
      <c r="FIY1" s="5"/>
      <c r="FIZ1" s="5"/>
      <c r="FJA1" s="5"/>
      <c r="FJB1" s="5"/>
      <c r="FJC1" s="5"/>
      <c r="FJD1" s="5"/>
      <c r="FJE1" s="5"/>
      <c r="FJF1" s="5"/>
      <c r="FJG1" s="5"/>
      <c r="FJH1" s="5"/>
      <c r="FJI1" s="5"/>
      <c r="FJJ1" s="5"/>
      <c r="FJK1" s="5"/>
      <c r="FJL1" s="5"/>
      <c r="FJM1" s="5"/>
      <c r="FJN1" s="5"/>
      <c r="FJO1" s="5"/>
      <c r="FJP1" s="5"/>
      <c r="FJQ1" s="5"/>
      <c r="FJR1" s="5"/>
      <c r="FJS1" s="5"/>
      <c r="FJT1" s="5"/>
      <c r="FJU1" s="5"/>
      <c r="FJV1" s="5"/>
      <c r="FJW1" s="5"/>
      <c r="FJX1" s="5"/>
      <c r="FJY1" s="5"/>
      <c r="FJZ1" s="5"/>
      <c r="FKA1" s="5"/>
      <c r="FKB1" s="5"/>
      <c r="FKC1" s="5"/>
      <c r="FKD1" s="5"/>
      <c r="FKE1" s="5"/>
      <c r="FKF1" s="5"/>
      <c r="FKG1" s="5"/>
      <c r="FKH1" s="5"/>
      <c r="FKI1" s="5"/>
      <c r="FKJ1" s="5"/>
      <c r="FKK1" s="5"/>
      <c r="FKL1" s="5"/>
      <c r="FKM1" s="5"/>
      <c r="FKN1" s="5"/>
      <c r="FKO1" s="5"/>
      <c r="FKP1" s="5"/>
      <c r="FKQ1" s="5"/>
      <c r="FKR1" s="5"/>
      <c r="FKS1" s="5"/>
      <c r="FKT1" s="5"/>
      <c r="FKU1" s="5"/>
      <c r="FKV1" s="5"/>
      <c r="FKW1" s="5"/>
      <c r="FKX1" s="5"/>
      <c r="FKY1" s="5"/>
      <c r="FKZ1" s="5"/>
      <c r="FLA1" s="5"/>
      <c r="FLB1" s="5"/>
      <c r="FLC1" s="5"/>
      <c r="FLD1" s="5"/>
      <c r="FLE1" s="5"/>
      <c r="FLF1" s="5"/>
      <c r="FLG1" s="5"/>
      <c r="FLH1" s="5"/>
      <c r="FLI1" s="5"/>
      <c r="FLJ1" s="5"/>
      <c r="FLK1" s="5"/>
      <c r="FLL1" s="5"/>
      <c r="FLM1" s="5"/>
      <c r="FLN1" s="5"/>
      <c r="FLO1" s="5"/>
      <c r="FLP1" s="5"/>
      <c r="FLQ1" s="5"/>
      <c r="FLR1" s="5"/>
      <c r="FLS1" s="5"/>
      <c r="FLT1" s="5"/>
      <c r="FLU1" s="5"/>
      <c r="FLV1" s="5"/>
      <c r="FLW1" s="5"/>
      <c r="FLX1" s="5"/>
      <c r="FLY1" s="5"/>
      <c r="FLZ1" s="5"/>
      <c r="FMA1" s="5"/>
      <c r="FMB1" s="5"/>
      <c r="FMC1" s="5"/>
      <c r="FMD1" s="5"/>
      <c r="FME1" s="5"/>
      <c r="FMF1" s="5"/>
      <c r="FMG1" s="5"/>
      <c r="FMH1" s="5"/>
      <c r="FMI1" s="5"/>
      <c r="FMJ1" s="5"/>
      <c r="FMK1" s="5"/>
      <c r="FML1" s="5"/>
      <c r="FMM1" s="5"/>
      <c r="FMN1" s="5"/>
      <c r="FMO1" s="5"/>
      <c r="FMP1" s="5"/>
      <c r="FMQ1" s="5"/>
      <c r="FMR1" s="5"/>
      <c r="FMS1" s="5"/>
      <c r="FMT1" s="5"/>
      <c r="FMU1" s="5"/>
      <c r="FMV1" s="5"/>
      <c r="FMW1" s="5"/>
      <c r="FMX1" s="5"/>
      <c r="FMY1" s="5"/>
      <c r="FMZ1" s="5"/>
      <c r="FNA1" s="5"/>
      <c r="FNB1" s="5"/>
      <c r="FNC1" s="5"/>
      <c r="FND1" s="5"/>
      <c r="FNE1" s="5"/>
      <c r="FNF1" s="5"/>
      <c r="FNG1" s="5"/>
      <c r="FNH1" s="5"/>
      <c r="FNI1" s="5"/>
      <c r="FNJ1" s="5"/>
      <c r="FNK1" s="5"/>
      <c r="FNL1" s="5"/>
      <c r="FNM1" s="5"/>
      <c r="FNN1" s="5"/>
      <c r="FNO1" s="5"/>
      <c r="FNP1" s="5"/>
      <c r="FNQ1" s="5"/>
      <c r="FNR1" s="5"/>
      <c r="FNS1" s="5"/>
      <c r="FNT1" s="5"/>
      <c r="FNU1" s="5"/>
      <c r="FNV1" s="5"/>
      <c r="FNW1" s="5"/>
      <c r="FNX1" s="5"/>
      <c r="FNY1" s="5"/>
      <c r="FNZ1" s="5"/>
      <c r="FOA1" s="5"/>
      <c r="FOB1" s="5"/>
      <c r="FOC1" s="5"/>
      <c r="FOD1" s="5"/>
      <c r="FOE1" s="5"/>
      <c r="FOF1" s="5"/>
      <c r="FOG1" s="5"/>
      <c r="FOH1" s="5"/>
      <c r="FOI1" s="5"/>
      <c r="FOJ1" s="5"/>
      <c r="FOK1" s="5"/>
      <c r="FOL1" s="5"/>
      <c r="FOM1" s="5"/>
      <c r="FON1" s="5"/>
      <c r="FOO1" s="5"/>
      <c r="FOP1" s="5"/>
      <c r="FOQ1" s="5"/>
      <c r="FOR1" s="5"/>
      <c r="FOS1" s="5"/>
      <c r="FOT1" s="5"/>
      <c r="FOU1" s="5"/>
      <c r="FOV1" s="5"/>
      <c r="FOW1" s="5"/>
      <c r="FOX1" s="5"/>
      <c r="FOY1" s="5"/>
      <c r="FOZ1" s="5"/>
      <c r="FPA1" s="5"/>
      <c r="FPB1" s="5"/>
      <c r="FPC1" s="5"/>
      <c r="FPD1" s="5"/>
      <c r="FPE1" s="5"/>
      <c r="FPF1" s="5"/>
      <c r="FPG1" s="5"/>
      <c r="FPH1" s="5"/>
      <c r="FPI1" s="5"/>
      <c r="FPJ1" s="5"/>
      <c r="FPK1" s="5"/>
      <c r="FPL1" s="5"/>
      <c r="FPM1" s="5"/>
      <c r="FPN1" s="5"/>
      <c r="FPO1" s="5"/>
      <c r="FPP1" s="5"/>
      <c r="FPQ1" s="5"/>
      <c r="FPR1" s="5"/>
      <c r="FPS1" s="5"/>
      <c r="FPT1" s="5"/>
      <c r="FPU1" s="5"/>
      <c r="FPV1" s="5"/>
      <c r="FPW1" s="5"/>
      <c r="FPX1" s="5"/>
      <c r="FPY1" s="5"/>
      <c r="FPZ1" s="5"/>
      <c r="FQA1" s="5"/>
      <c r="FQB1" s="5"/>
      <c r="FQC1" s="5"/>
      <c r="FQD1" s="5"/>
      <c r="FQE1" s="5"/>
      <c r="FQF1" s="5"/>
      <c r="FQG1" s="5"/>
      <c r="FQH1" s="5"/>
      <c r="FQI1" s="5"/>
      <c r="FQJ1" s="5"/>
      <c r="FQK1" s="5"/>
      <c r="FQL1" s="5"/>
      <c r="FQM1" s="5"/>
      <c r="FQN1" s="5"/>
      <c r="FQO1" s="5"/>
      <c r="FQP1" s="5"/>
      <c r="FQQ1" s="5"/>
      <c r="FQR1" s="5"/>
      <c r="FQS1" s="5"/>
      <c r="FQT1" s="5"/>
      <c r="FQU1" s="5"/>
      <c r="FQV1" s="5"/>
      <c r="FQW1" s="5"/>
      <c r="FQX1" s="5"/>
      <c r="FQY1" s="5"/>
      <c r="FQZ1" s="5"/>
      <c r="FRA1" s="5"/>
      <c r="FRB1" s="5"/>
      <c r="FRC1" s="5"/>
      <c r="FRD1" s="5"/>
      <c r="FRE1" s="5"/>
      <c r="FRF1" s="5"/>
      <c r="FRG1" s="5"/>
      <c r="FRH1" s="5"/>
      <c r="FRI1" s="5"/>
      <c r="FRJ1" s="5"/>
      <c r="FRK1" s="5"/>
      <c r="FRL1" s="5"/>
      <c r="FRM1" s="5"/>
      <c r="FRN1" s="5"/>
      <c r="FRO1" s="5"/>
      <c r="FRP1" s="5"/>
      <c r="FRQ1" s="5"/>
      <c r="FRR1" s="5"/>
      <c r="FRS1" s="5"/>
      <c r="FRT1" s="5"/>
      <c r="FRU1" s="5"/>
      <c r="FRV1" s="5"/>
      <c r="FRW1" s="5"/>
      <c r="FRX1" s="5"/>
      <c r="FRY1" s="5"/>
      <c r="FRZ1" s="5"/>
      <c r="FSA1" s="5"/>
      <c r="FSB1" s="5"/>
      <c r="FSC1" s="5"/>
      <c r="FSD1" s="5"/>
      <c r="FSE1" s="5"/>
      <c r="FSF1" s="5"/>
      <c r="FSG1" s="5"/>
      <c r="FSH1" s="5"/>
      <c r="FSI1" s="5"/>
      <c r="FSJ1" s="5"/>
      <c r="FSK1" s="5"/>
      <c r="FSL1" s="5"/>
      <c r="FSM1" s="5"/>
      <c r="FSN1" s="5"/>
      <c r="FSO1" s="5"/>
      <c r="FSP1" s="5"/>
      <c r="FSQ1" s="5"/>
      <c r="FSR1" s="5"/>
      <c r="FSS1" s="5"/>
      <c r="FST1" s="5"/>
      <c r="FSU1" s="5"/>
      <c r="FSV1" s="5"/>
      <c r="FSW1" s="5"/>
      <c r="FSX1" s="5"/>
      <c r="FSY1" s="5"/>
      <c r="FSZ1" s="5"/>
      <c r="FTA1" s="5"/>
      <c r="FTB1" s="5"/>
      <c r="FTC1" s="5"/>
      <c r="FTD1" s="5"/>
      <c r="FTE1" s="5"/>
      <c r="FTF1" s="5"/>
      <c r="FTG1" s="5"/>
      <c r="FTH1" s="5"/>
      <c r="FTI1" s="5"/>
      <c r="FTJ1" s="5"/>
      <c r="FTK1" s="5"/>
      <c r="FTL1" s="5"/>
      <c r="FTM1" s="5"/>
      <c r="FTN1" s="5"/>
      <c r="FTO1" s="5"/>
      <c r="FTP1" s="5"/>
      <c r="FTQ1" s="5"/>
      <c r="FTR1" s="5"/>
      <c r="FTS1" s="5"/>
      <c r="FTT1" s="5"/>
      <c r="FTU1" s="5"/>
      <c r="FTV1" s="5"/>
      <c r="FTW1" s="5"/>
      <c r="FTX1" s="5"/>
      <c r="FTY1" s="5"/>
      <c r="FTZ1" s="5"/>
      <c r="FUA1" s="5"/>
      <c r="FUB1" s="5"/>
      <c r="FUC1" s="5"/>
      <c r="FUD1" s="5"/>
      <c r="FUE1" s="5"/>
      <c r="FUF1" s="5"/>
      <c r="FUG1" s="5"/>
      <c r="FUH1" s="5"/>
      <c r="FUI1" s="5"/>
      <c r="FUJ1" s="5"/>
      <c r="FUK1" s="5"/>
      <c r="FUL1" s="5"/>
      <c r="FUM1" s="5"/>
      <c r="FUN1" s="5"/>
      <c r="FUO1" s="5"/>
      <c r="FUP1" s="5"/>
      <c r="FUQ1" s="5"/>
      <c r="FUR1" s="5"/>
      <c r="FUS1" s="5"/>
      <c r="FUT1" s="5"/>
      <c r="FUU1" s="5"/>
      <c r="FUV1" s="5"/>
      <c r="FUW1" s="5"/>
      <c r="FUX1" s="5"/>
      <c r="FUY1" s="5"/>
      <c r="FUZ1" s="5"/>
      <c r="FVA1" s="5"/>
      <c r="FVB1" s="5"/>
      <c r="FVC1" s="5"/>
      <c r="FVD1" s="5"/>
      <c r="FVE1" s="5"/>
      <c r="FVF1" s="5"/>
      <c r="FVG1" s="5"/>
      <c r="FVH1" s="5"/>
      <c r="FVI1" s="5"/>
      <c r="FVJ1" s="5"/>
      <c r="FVK1" s="5"/>
      <c r="FVL1" s="5"/>
      <c r="FVM1" s="5"/>
      <c r="FVN1" s="5"/>
      <c r="FVO1" s="5"/>
      <c r="FVP1" s="5"/>
      <c r="FVQ1" s="5"/>
      <c r="FVR1" s="5"/>
      <c r="FVS1" s="5"/>
      <c r="FVT1" s="5"/>
      <c r="FVU1" s="5"/>
      <c r="FVV1" s="5"/>
      <c r="FVW1" s="5"/>
      <c r="FVX1" s="5"/>
      <c r="FVY1" s="5"/>
      <c r="FVZ1" s="5"/>
      <c r="FWA1" s="5"/>
      <c r="FWB1" s="5"/>
      <c r="FWC1" s="5"/>
      <c r="FWD1" s="5"/>
      <c r="FWE1" s="5"/>
      <c r="FWF1" s="5"/>
      <c r="FWG1" s="5"/>
      <c r="FWH1" s="5"/>
      <c r="FWI1" s="5"/>
      <c r="FWJ1" s="5"/>
      <c r="FWK1" s="5"/>
      <c r="FWL1" s="5"/>
      <c r="FWM1" s="5"/>
      <c r="FWN1" s="5"/>
      <c r="FWO1" s="5"/>
      <c r="FWP1" s="5"/>
      <c r="FWQ1" s="5"/>
      <c r="FWR1" s="5"/>
      <c r="FWS1" s="5"/>
      <c r="FWT1" s="5"/>
      <c r="FWU1" s="5"/>
      <c r="FWV1" s="5"/>
      <c r="FWW1" s="5"/>
      <c r="FWX1" s="5"/>
      <c r="FWY1" s="5"/>
      <c r="FWZ1" s="5"/>
      <c r="FXA1" s="5"/>
      <c r="FXB1" s="5"/>
      <c r="FXC1" s="5"/>
      <c r="FXD1" s="5"/>
      <c r="FXE1" s="5"/>
      <c r="FXF1" s="5"/>
      <c r="FXG1" s="5"/>
      <c r="FXH1" s="5"/>
      <c r="FXI1" s="5"/>
      <c r="FXJ1" s="5"/>
      <c r="FXK1" s="5"/>
      <c r="FXL1" s="5"/>
      <c r="FXM1" s="5"/>
      <c r="FXN1" s="5"/>
      <c r="FXO1" s="5"/>
      <c r="FXP1" s="5"/>
      <c r="FXQ1" s="5"/>
      <c r="FXR1" s="5"/>
      <c r="FXS1" s="5"/>
      <c r="FXT1" s="5"/>
      <c r="FXU1" s="5"/>
      <c r="FXV1" s="5"/>
      <c r="FXW1" s="5"/>
      <c r="FXX1" s="5"/>
      <c r="FXY1" s="5"/>
      <c r="FXZ1" s="5"/>
      <c r="FYA1" s="5"/>
      <c r="FYB1" s="5"/>
      <c r="FYC1" s="5"/>
      <c r="FYD1" s="5"/>
      <c r="FYE1" s="5"/>
      <c r="FYF1" s="5"/>
      <c r="FYG1" s="5"/>
      <c r="FYH1" s="5"/>
      <c r="FYI1" s="5"/>
      <c r="FYJ1" s="5"/>
      <c r="FYK1" s="5"/>
      <c r="FYL1" s="5"/>
      <c r="FYM1" s="5"/>
      <c r="FYN1" s="5"/>
      <c r="FYO1" s="5"/>
      <c r="FYP1" s="5"/>
      <c r="FYQ1" s="5"/>
      <c r="FYR1" s="5"/>
      <c r="FYS1" s="5"/>
      <c r="FYT1" s="5"/>
      <c r="FYU1" s="5"/>
      <c r="FYV1" s="5"/>
      <c r="FYW1" s="5"/>
      <c r="FYX1" s="5"/>
      <c r="FYY1" s="5"/>
      <c r="FYZ1" s="5"/>
      <c r="FZA1" s="5"/>
      <c r="FZB1" s="5"/>
      <c r="FZC1" s="5"/>
      <c r="FZD1" s="5"/>
      <c r="FZE1" s="5"/>
      <c r="FZF1" s="5"/>
      <c r="FZG1" s="5"/>
      <c r="FZH1" s="5"/>
      <c r="FZI1" s="5"/>
      <c r="FZJ1" s="5"/>
      <c r="FZK1" s="5"/>
      <c r="FZL1" s="5"/>
      <c r="FZM1" s="5"/>
      <c r="FZN1" s="5"/>
      <c r="FZO1" s="5"/>
      <c r="FZP1" s="5"/>
      <c r="FZQ1" s="5"/>
      <c r="FZR1" s="5"/>
      <c r="FZS1" s="5"/>
      <c r="FZT1" s="5"/>
      <c r="FZU1" s="5"/>
      <c r="FZV1" s="5"/>
      <c r="FZW1" s="5"/>
      <c r="FZX1" s="5"/>
      <c r="FZY1" s="5"/>
      <c r="FZZ1" s="5"/>
      <c r="GAA1" s="5"/>
      <c r="GAB1" s="5"/>
      <c r="GAC1" s="5"/>
      <c r="GAD1" s="5"/>
      <c r="GAE1" s="5"/>
      <c r="GAF1" s="5"/>
      <c r="GAG1" s="5"/>
      <c r="GAH1" s="5"/>
      <c r="GAI1" s="5"/>
      <c r="GAJ1" s="5"/>
      <c r="GAK1" s="5"/>
      <c r="GAL1" s="5"/>
      <c r="GAM1" s="5"/>
      <c r="GAN1" s="5"/>
      <c r="GAO1" s="5"/>
      <c r="GAP1" s="5"/>
      <c r="GAQ1" s="5"/>
      <c r="GAR1" s="5"/>
      <c r="GAS1" s="5"/>
      <c r="GAT1" s="5"/>
      <c r="GAU1" s="5"/>
      <c r="GAV1" s="5"/>
      <c r="GAW1" s="5"/>
      <c r="GAX1" s="5"/>
      <c r="GAY1" s="5"/>
      <c r="GAZ1" s="5"/>
      <c r="GBA1" s="5"/>
      <c r="GBB1" s="5"/>
      <c r="GBC1" s="5"/>
      <c r="GBD1" s="5"/>
      <c r="GBE1" s="5"/>
      <c r="GBF1" s="5"/>
      <c r="GBG1" s="5"/>
      <c r="GBH1" s="5"/>
      <c r="GBI1" s="5"/>
      <c r="GBJ1" s="5"/>
      <c r="GBK1" s="5"/>
      <c r="GBL1" s="5"/>
      <c r="GBM1" s="5"/>
      <c r="GBN1" s="5"/>
      <c r="GBO1" s="5"/>
      <c r="GBP1" s="5"/>
      <c r="GBQ1" s="5"/>
      <c r="GBR1" s="5"/>
      <c r="GBS1" s="5"/>
      <c r="GBT1" s="5"/>
      <c r="GBU1" s="5"/>
      <c r="GBV1" s="5"/>
      <c r="GBW1" s="5"/>
      <c r="GBX1" s="5"/>
      <c r="GBY1" s="5"/>
      <c r="GBZ1" s="5"/>
      <c r="GCA1" s="5"/>
      <c r="GCB1" s="5"/>
      <c r="GCC1" s="5"/>
      <c r="GCD1" s="5"/>
      <c r="GCE1" s="5"/>
      <c r="GCF1" s="5"/>
      <c r="GCG1" s="5"/>
      <c r="GCH1" s="5"/>
      <c r="GCI1" s="5"/>
      <c r="GCJ1" s="5"/>
      <c r="GCK1" s="5"/>
      <c r="GCL1" s="5"/>
      <c r="GCM1" s="5"/>
      <c r="GCN1" s="5"/>
      <c r="GCO1" s="5"/>
      <c r="GCP1" s="5"/>
      <c r="GCQ1" s="5"/>
      <c r="GCR1" s="5"/>
      <c r="GCS1" s="5"/>
      <c r="GCT1" s="5"/>
      <c r="GCU1" s="5"/>
      <c r="GCV1" s="5"/>
      <c r="GCW1" s="5"/>
      <c r="GCX1" s="5"/>
      <c r="GCY1" s="5"/>
      <c r="GCZ1" s="5"/>
      <c r="GDA1" s="5"/>
      <c r="GDB1" s="5"/>
      <c r="GDC1" s="5"/>
      <c r="GDD1" s="5"/>
      <c r="GDE1" s="5"/>
      <c r="GDF1" s="5"/>
      <c r="GDG1" s="5"/>
      <c r="GDH1" s="5"/>
      <c r="GDI1" s="5"/>
      <c r="GDJ1" s="5"/>
      <c r="GDK1" s="5"/>
      <c r="GDL1" s="5"/>
      <c r="GDM1" s="5"/>
      <c r="GDN1" s="5"/>
      <c r="GDO1" s="5"/>
      <c r="GDP1" s="5"/>
      <c r="GDQ1" s="5"/>
      <c r="GDR1" s="5"/>
      <c r="GDS1" s="5"/>
      <c r="GDT1" s="5"/>
      <c r="GDU1" s="5"/>
      <c r="GDV1" s="5"/>
      <c r="GDW1" s="5"/>
      <c r="GDX1" s="5"/>
      <c r="GDY1" s="5"/>
      <c r="GDZ1" s="5"/>
      <c r="GEA1" s="5"/>
      <c r="GEB1" s="5"/>
      <c r="GEC1" s="5"/>
      <c r="GED1" s="5"/>
      <c r="GEE1" s="5"/>
      <c r="GEF1" s="5"/>
      <c r="GEG1" s="5"/>
      <c r="GEH1" s="5"/>
      <c r="GEI1" s="5"/>
      <c r="GEJ1" s="5"/>
      <c r="GEK1" s="5"/>
      <c r="GEL1" s="5"/>
      <c r="GEM1" s="5"/>
      <c r="GEN1" s="5"/>
      <c r="GEO1" s="5"/>
      <c r="GEP1" s="5"/>
      <c r="GEQ1" s="5"/>
      <c r="GER1" s="5"/>
      <c r="GES1" s="5"/>
      <c r="GET1" s="5"/>
      <c r="GEU1" s="5"/>
      <c r="GEV1" s="5"/>
      <c r="GEW1" s="5"/>
      <c r="GEX1" s="5"/>
      <c r="GEY1" s="5"/>
      <c r="GEZ1" s="5"/>
      <c r="GFA1" s="5"/>
      <c r="GFB1" s="5"/>
      <c r="GFC1" s="5"/>
      <c r="GFD1" s="5"/>
      <c r="GFE1" s="5"/>
      <c r="GFF1" s="5"/>
      <c r="GFG1" s="5"/>
      <c r="GFH1" s="5"/>
      <c r="GFI1" s="5"/>
      <c r="GFJ1" s="5"/>
      <c r="GFK1" s="5"/>
      <c r="GFL1" s="5"/>
      <c r="GFM1" s="5"/>
      <c r="GFN1" s="5"/>
      <c r="GFO1" s="5"/>
      <c r="GFP1" s="5"/>
      <c r="GFQ1" s="5"/>
      <c r="GFR1" s="5"/>
      <c r="GFS1" s="5"/>
      <c r="GFT1" s="5"/>
      <c r="GFU1" s="5"/>
      <c r="GFV1" s="5"/>
      <c r="GFW1" s="5"/>
      <c r="GFX1" s="5"/>
      <c r="GFY1" s="5"/>
      <c r="GFZ1" s="5"/>
      <c r="GGA1" s="5"/>
      <c r="GGB1" s="5"/>
      <c r="GGC1" s="5"/>
      <c r="GGD1" s="5"/>
      <c r="GGE1" s="5"/>
      <c r="GGF1" s="5"/>
      <c r="GGG1" s="5"/>
      <c r="GGH1" s="5"/>
      <c r="GGI1" s="5"/>
      <c r="GGJ1" s="5"/>
      <c r="GGK1" s="5"/>
      <c r="GGL1" s="5"/>
      <c r="GGM1" s="5"/>
      <c r="GGN1" s="5"/>
      <c r="GGO1" s="5"/>
      <c r="GGP1" s="5"/>
      <c r="GGQ1" s="5"/>
      <c r="GGR1" s="5"/>
      <c r="GGS1" s="5"/>
      <c r="GGT1" s="5"/>
      <c r="GGU1" s="5"/>
      <c r="GGV1" s="5"/>
      <c r="GGW1" s="5"/>
      <c r="GGX1" s="5"/>
      <c r="GGY1" s="5"/>
      <c r="GGZ1" s="5"/>
      <c r="GHA1" s="5"/>
      <c r="GHB1" s="5"/>
      <c r="GHC1" s="5"/>
      <c r="GHD1" s="5"/>
      <c r="GHE1" s="5"/>
      <c r="GHF1" s="5"/>
      <c r="GHG1" s="5"/>
      <c r="GHH1" s="5"/>
      <c r="GHI1" s="5"/>
      <c r="GHJ1" s="5"/>
      <c r="GHK1" s="5"/>
      <c r="GHL1" s="5"/>
      <c r="GHM1" s="5"/>
      <c r="GHN1" s="5"/>
      <c r="GHO1" s="5"/>
      <c r="GHP1" s="5"/>
      <c r="GHQ1" s="5"/>
      <c r="GHR1" s="5"/>
      <c r="GHS1" s="5"/>
      <c r="GHT1" s="5"/>
      <c r="GHU1" s="5"/>
      <c r="GHV1" s="5"/>
      <c r="GHW1" s="5"/>
      <c r="GHX1" s="5"/>
      <c r="GHY1" s="5"/>
      <c r="GHZ1" s="5"/>
      <c r="GIA1" s="5"/>
      <c r="GIB1" s="5"/>
      <c r="GIC1" s="5"/>
      <c r="GID1" s="5"/>
      <c r="GIE1" s="5"/>
      <c r="GIF1" s="5"/>
      <c r="GIG1" s="5"/>
      <c r="GIH1" s="5"/>
      <c r="GII1" s="5"/>
      <c r="GIJ1" s="5"/>
      <c r="GIK1" s="5"/>
      <c r="GIL1" s="5"/>
      <c r="GIM1" s="5"/>
      <c r="GIN1" s="5"/>
      <c r="GIO1" s="5"/>
      <c r="GIP1" s="5"/>
      <c r="GIQ1" s="5"/>
      <c r="GIR1" s="5"/>
      <c r="GIS1" s="5"/>
      <c r="GIT1" s="5"/>
      <c r="GIU1" s="5"/>
      <c r="GIV1" s="5"/>
      <c r="GIW1" s="5"/>
      <c r="GIX1" s="5"/>
      <c r="GIY1" s="5"/>
      <c r="GIZ1" s="5"/>
      <c r="GJA1" s="5"/>
      <c r="GJB1" s="5"/>
      <c r="GJC1" s="5"/>
      <c r="GJD1" s="5"/>
      <c r="GJE1" s="5"/>
      <c r="GJF1" s="5"/>
      <c r="GJG1" s="5"/>
      <c r="GJH1" s="5"/>
      <c r="GJI1" s="5"/>
      <c r="GJJ1" s="5"/>
      <c r="GJK1" s="5"/>
      <c r="GJL1" s="5"/>
      <c r="GJM1" s="5"/>
      <c r="GJN1" s="5"/>
      <c r="GJO1" s="5"/>
      <c r="GJP1" s="5"/>
      <c r="GJQ1" s="5"/>
      <c r="GJR1" s="5"/>
      <c r="GJS1" s="5"/>
      <c r="GJT1" s="5"/>
      <c r="GJU1" s="5"/>
      <c r="GJV1" s="5"/>
      <c r="GJW1" s="5"/>
      <c r="GJX1" s="5"/>
      <c r="GJY1" s="5"/>
      <c r="GJZ1" s="5"/>
      <c r="GKA1" s="5"/>
      <c r="GKB1" s="5"/>
      <c r="GKC1" s="5"/>
      <c r="GKD1" s="5"/>
      <c r="GKE1" s="5"/>
      <c r="GKF1" s="5"/>
      <c r="GKG1" s="5"/>
      <c r="GKH1" s="5"/>
      <c r="GKI1" s="5"/>
      <c r="GKJ1" s="5"/>
      <c r="GKK1" s="5"/>
      <c r="GKL1" s="5"/>
      <c r="GKM1" s="5"/>
      <c r="GKN1" s="5"/>
      <c r="GKO1" s="5"/>
      <c r="GKP1" s="5"/>
      <c r="GKQ1" s="5"/>
      <c r="GKR1" s="5"/>
      <c r="GKS1" s="5"/>
      <c r="GKT1" s="5"/>
      <c r="GKU1" s="5"/>
      <c r="GKV1" s="5"/>
      <c r="GKW1" s="5"/>
      <c r="GKX1" s="5"/>
      <c r="GKY1" s="5"/>
      <c r="GKZ1" s="5"/>
      <c r="GLA1" s="5"/>
      <c r="GLB1" s="5"/>
      <c r="GLC1" s="5"/>
      <c r="GLD1" s="5"/>
      <c r="GLE1" s="5"/>
      <c r="GLF1" s="5"/>
      <c r="GLG1" s="5"/>
      <c r="GLH1" s="5"/>
      <c r="GLI1" s="5"/>
      <c r="GLJ1" s="5"/>
      <c r="GLK1" s="5"/>
      <c r="GLL1" s="5"/>
      <c r="GLM1" s="5"/>
      <c r="GLN1" s="5"/>
      <c r="GLO1" s="5"/>
      <c r="GLP1" s="5"/>
      <c r="GLQ1" s="5"/>
      <c r="GLR1" s="5"/>
      <c r="GLS1" s="5"/>
      <c r="GLT1" s="5"/>
      <c r="GLU1" s="5"/>
      <c r="GLV1" s="5"/>
      <c r="GLW1" s="5"/>
      <c r="GLX1" s="5"/>
      <c r="GLY1" s="5"/>
      <c r="GLZ1" s="5"/>
      <c r="GMA1" s="5"/>
      <c r="GMB1" s="5"/>
      <c r="GMC1" s="5"/>
      <c r="GMD1" s="5"/>
      <c r="GME1" s="5"/>
      <c r="GMF1" s="5"/>
      <c r="GMG1" s="5"/>
      <c r="GMH1" s="5"/>
      <c r="GMI1" s="5"/>
      <c r="GMJ1" s="5"/>
      <c r="GMK1" s="5"/>
      <c r="GML1" s="5"/>
      <c r="GMM1" s="5"/>
      <c r="GMN1" s="5"/>
      <c r="GMO1" s="5"/>
      <c r="GMP1" s="5"/>
      <c r="GMQ1" s="5"/>
      <c r="GMR1" s="5"/>
      <c r="GMS1" s="5"/>
      <c r="GMT1" s="5"/>
      <c r="GMU1" s="5"/>
      <c r="GMV1" s="5"/>
      <c r="GMW1" s="5"/>
      <c r="GMX1" s="5"/>
      <c r="GMY1" s="5"/>
      <c r="GMZ1" s="5"/>
      <c r="GNA1" s="5"/>
      <c r="GNB1" s="5"/>
      <c r="GNC1" s="5"/>
      <c r="GND1" s="5"/>
      <c r="GNE1" s="5"/>
      <c r="GNF1" s="5"/>
      <c r="GNG1" s="5"/>
      <c r="GNH1" s="5"/>
      <c r="GNI1" s="5"/>
      <c r="GNJ1" s="5"/>
      <c r="GNK1" s="5"/>
      <c r="GNL1" s="5"/>
      <c r="GNM1" s="5"/>
      <c r="GNN1" s="5"/>
      <c r="GNO1" s="5"/>
      <c r="GNP1" s="5"/>
      <c r="GNQ1" s="5"/>
      <c r="GNR1" s="5"/>
      <c r="GNS1" s="5"/>
      <c r="GNT1" s="5"/>
      <c r="GNU1" s="5"/>
      <c r="GNV1" s="5"/>
      <c r="GNW1" s="5"/>
      <c r="GNX1" s="5"/>
      <c r="GNY1" s="5"/>
      <c r="GNZ1" s="5"/>
      <c r="GOA1" s="5"/>
      <c r="GOB1" s="5"/>
      <c r="GOC1" s="5"/>
      <c r="GOD1" s="5"/>
      <c r="GOE1" s="5"/>
      <c r="GOF1" s="5"/>
      <c r="GOG1" s="5"/>
      <c r="GOH1" s="5"/>
      <c r="GOI1" s="5"/>
      <c r="GOJ1" s="5"/>
      <c r="GOK1" s="5"/>
      <c r="GOL1" s="5"/>
      <c r="GOM1" s="5"/>
      <c r="GON1" s="5"/>
      <c r="GOO1" s="5"/>
      <c r="GOP1" s="5"/>
      <c r="GOQ1" s="5"/>
      <c r="GOR1" s="5"/>
      <c r="GOS1" s="5"/>
      <c r="GOT1" s="5"/>
      <c r="GOU1" s="5"/>
      <c r="GOV1" s="5"/>
      <c r="GOW1" s="5"/>
      <c r="GOX1" s="5"/>
      <c r="GOY1" s="5"/>
      <c r="GOZ1" s="5"/>
      <c r="GPA1" s="5"/>
      <c r="GPB1" s="5"/>
      <c r="GPC1" s="5"/>
      <c r="GPD1" s="5"/>
      <c r="GPE1" s="5"/>
      <c r="GPF1" s="5"/>
      <c r="GPG1" s="5"/>
      <c r="GPH1" s="5"/>
      <c r="GPI1" s="5"/>
      <c r="GPJ1" s="5"/>
      <c r="GPK1" s="5"/>
      <c r="GPL1" s="5"/>
      <c r="GPM1" s="5"/>
      <c r="GPN1" s="5"/>
      <c r="GPO1" s="5"/>
      <c r="GPP1" s="5"/>
      <c r="GPQ1" s="5"/>
      <c r="GPR1" s="5"/>
      <c r="GPS1" s="5"/>
      <c r="GPT1" s="5"/>
      <c r="GPU1" s="5"/>
      <c r="GPV1" s="5"/>
      <c r="GPW1" s="5"/>
      <c r="GPX1" s="5"/>
      <c r="GPY1" s="5"/>
      <c r="GPZ1" s="5"/>
      <c r="GQA1" s="5"/>
      <c r="GQB1" s="5"/>
      <c r="GQC1" s="5"/>
      <c r="GQD1" s="5"/>
      <c r="GQE1" s="5"/>
      <c r="GQF1" s="5"/>
      <c r="GQG1" s="5"/>
      <c r="GQH1" s="5"/>
      <c r="GQI1" s="5"/>
      <c r="GQJ1" s="5"/>
      <c r="GQK1" s="5"/>
      <c r="GQL1" s="5"/>
      <c r="GQM1" s="5"/>
      <c r="GQN1" s="5"/>
      <c r="GQO1" s="5"/>
      <c r="GQP1" s="5"/>
      <c r="GQQ1" s="5"/>
      <c r="GQR1" s="5"/>
      <c r="GQS1" s="5"/>
      <c r="GQT1" s="5"/>
      <c r="GQU1" s="5"/>
      <c r="GQV1" s="5"/>
      <c r="GQW1" s="5"/>
      <c r="GQX1" s="5"/>
      <c r="GQY1" s="5"/>
      <c r="GQZ1" s="5"/>
      <c r="GRA1" s="5"/>
      <c r="GRB1" s="5"/>
      <c r="GRC1" s="5"/>
      <c r="GRD1" s="5"/>
      <c r="GRE1" s="5"/>
      <c r="GRF1" s="5"/>
      <c r="GRG1" s="5"/>
      <c r="GRH1" s="5"/>
      <c r="GRI1" s="5"/>
      <c r="GRJ1" s="5"/>
      <c r="GRK1" s="5"/>
      <c r="GRL1" s="5"/>
      <c r="GRM1" s="5"/>
      <c r="GRN1" s="5"/>
      <c r="GRO1" s="5"/>
      <c r="GRP1" s="5"/>
      <c r="GRQ1" s="5"/>
      <c r="GRR1" s="5"/>
      <c r="GRS1" s="5"/>
      <c r="GRT1" s="5"/>
      <c r="GRU1" s="5"/>
      <c r="GRV1" s="5"/>
      <c r="GRW1" s="5"/>
      <c r="GRX1" s="5"/>
      <c r="GRY1" s="5"/>
      <c r="GRZ1" s="5"/>
      <c r="GSA1" s="5"/>
      <c r="GSB1" s="5"/>
      <c r="GSC1" s="5"/>
      <c r="GSD1" s="5"/>
      <c r="GSE1" s="5"/>
      <c r="GSF1" s="5"/>
      <c r="GSG1" s="5"/>
      <c r="GSH1" s="5"/>
      <c r="GSI1" s="5"/>
      <c r="GSJ1" s="5"/>
      <c r="GSK1" s="5"/>
      <c r="GSL1" s="5"/>
      <c r="GSM1" s="5"/>
      <c r="GSN1" s="5"/>
      <c r="GSO1" s="5"/>
      <c r="GSP1" s="5"/>
      <c r="GSQ1" s="5"/>
      <c r="GSR1" s="5"/>
      <c r="GSS1" s="5"/>
      <c r="GST1" s="5"/>
      <c r="GSU1" s="5"/>
      <c r="GSV1" s="5"/>
      <c r="GSW1" s="5"/>
      <c r="GSX1" s="5"/>
      <c r="GSY1" s="5"/>
      <c r="GSZ1" s="5"/>
      <c r="GTA1" s="5"/>
      <c r="GTB1" s="5"/>
      <c r="GTC1" s="5"/>
      <c r="GTD1" s="5"/>
      <c r="GTE1" s="5"/>
      <c r="GTF1" s="5"/>
      <c r="GTG1" s="5"/>
      <c r="GTH1" s="5"/>
      <c r="GTI1" s="5"/>
      <c r="GTJ1" s="5"/>
      <c r="GTK1" s="5"/>
      <c r="GTL1" s="5"/>
      <c r="GTM1" s="5"/>
      <c r="GTN1" s="5"/>
      <c r="GTO1" s="5"/>
      <c r="GTP1" s="5"/>
      <c r="GTQ1" s="5"/>
      <c r="GTR1" s="5"/>
      <c r="GTS1" s="5"/>
      <c r="GTT1" s="5"/>
      <c r="GTU1" s="5"/>
      <c r="GTV1" s="5"/>
      <c r="GTW1" s="5"/>
      <c r="GTX1" s="5"/>
      <c r="GTY1" s="5"/>
      <c r="GTZ1" s="5"/>
      <c r="GUA1" s="5"/>
      <c r="GUB1" s="5"/>
      <c r="GUC1" s="5"/>
      <c r="GUD1" s="5"/>
      <c r="GUE1" s="5"/>
      <c r="GUF1" s="5"/>
      <c r="GUG1" s="5"/>
      <c r="GUH1" s="5"/>
      <c r="GUI1" s="5"/>
      <c r="GUJ1" s="5"/>
      <c r="GUK1" s="5"/>
      <c r="GUL1" s="5"/>
      <c r="GUM1" s="5"/>
      <c r="GUN1" s="5"/>
      <c r="GUO1" s="5"/>
      <c r="GUP1" s="5"/>
      <c r="GUQ1" s="5"/>
      <c r="GUR1" s="5"/>
      <c r="GUS1" s="5"/>
      <c r="GUT1" s="5"/>
      <c r="GUU1" s="5"/>
      <c r="GUV1" s="5"/>
      <c r="GUW1" s="5"/>
      <c r="GUX1" s="5"/>
      <c r="GUY1" s="5"/>
      <c r="GUZ1" s="5"/>
      <c r="GVA1" s="5"/>
      <c r="GVB1" s="5"/>
      <c r="GVC1" s="5"/>
      <c r="GVD1" s="5"/>
      <c r="GVE1" s="5"/>
      <c r="GVF1" s="5"/>
      <c r="GVG1" s="5"/>
      <c r="GVH1" s="5"/>
      <c r="GVI1" s="5"/>
      <c r="GVJ1" s="5"/>
      <c r="GVK1" s="5"/>
      <c r="GVL1" s="5"/>
      <c r="GVM1" s="5"/>
      <c r="GVN1" s="5"/>
      <c r="GVO1" s="5"/>
      <c r="GVP1" s="5"/>
      <c r="GVQ1" s="5"/>
      <c r="GVR1" s="5"/>
      <c r="GVS1" s="5"/>
      <c r="GVT1" s="5"/>
      <c r="GVU1" s="5"/>
      <c r="GVV1" s="5"/>
      <c r="GVW1" s="5"/>
      <c r="GVX1" s="5"/>
      <c r="GVY1" s="5"/>
      <c r="GVZ1" s="5"/>
      <c r="GWA1" s="5"/>
      <c r="GWB1" s="5"/>
      <c r="GWC1" s="5"/>
      <c r="GWD1" s="5"/>
      <c r="GWE1" s="5"/>
      <c r="GWF1" s="5"/>
      <c r="GWG1" s="5"/>
      <c r="GWH1" s="5"/>
      <c r="GWI1" s="5"/>
      <c r="GWJ1" s="5"/>
      <c r="GWK1" s="5"/>
      <c r="GWL1" s="5"/>
      <c r="GWM1" s="5"/>
      <c r="GWN1" s="5"/>
      <c r="GWO1" s="5"/>
      <c r="GWP1" s="5"/>
      <c r="GWQ1" s="5"/>
      <c r="GWR1" s="5"/>
      <c r="GWS1" s="5"/>
      <c r="GWT1" s="5"/>
      <c r="GWU1" s="5"/>
      <c r="GWV1" s="5"/>
      <c r="GWW1" s="5"/>
      <c r="GWX1" s="5"/>
      <c r="GWY1" s="5"/>
      <c r="GWZ1" s="5"/>
      <c r="GXA1" s="5"/>
      <c r="GXB1" s="5"/>
      <c r="GXC1" s="5"/>
      <c r="GXD1" s="5"/>
      <c r="GXE1" s="5"/>
      <c r="GXF1" s="5"/>
      <c r="GXG1" s="5"/>
      <c r="GXH1" s="5"/>
      <c r="GXI1" s="5"/>
      <c r="GXJ1" s="5"/>
      <c r="GXK1" s="5"/>
      <c r="GXL1" s="5"/>
      <c r="GXM1" s="5"/>
      <c r="GXN1" s="5"/>
      <c r="GXO1" s="5"/>
      <c r="GXP1" s="5"/>
      <c r="GXQ1" s="5"/>
      <c r="GXR1" s="5"/>
      <c r="GXS1" s="5"/>
      <c r="GXT1" s="5"/>
      <c r="GXU1" s="5"/>
      <c r="GXV1" s="5"/>
      <c r="GXW1" s="5"/>
      <c r="GXX1" s="5"/>
      <c r="GXY1" s="5"/>
      <c r="GXZ1" s="5"/>
      <c r="GYA1" s="5"/>
      <c r="GYB1" s="5"/>
      <c r="GYC1" s="5"/>
      <c r="GYD1" s="5"/>
      <c r="GYE1" s="5"/>
      <c r="GYF1" s="5"/>
      <c r="GYG1" s="5"/>
      <c r="GYH1" s="5"/>
      <c r="GYI1" s="5"/>
      <c r="GYJ1" s="5"/>
      <c r="GYK1" s="5"/>
      <c r="GYL1" s="5"/>
      <c r="GYM1" s="5"/>
      <c r="GYN1" s="5"/>
      <c r="GYO1" s="5"/>
      <c r="GYP1" s="5"/>
      <c r="GYQ1" s="5"/>
      <c r="GYR1" s="5"/>
      <c r="GYS1" s="5"/>
      <c r="GYT1" s="5"/>
      <c r="GYU1" s="5"/>
      <c r="GYV1" s="5"/>
      <c r="GYW1" s="5"/>
      <c r="GYX1" s="5"/>
      <c r="GYY1" s="5"/>
      <c r="GYZ1" s="5"/>
      <c r="GZA1" s="5"/>
      <c r="GZB1" s="5"/>
      <c r="GZC1" s="5"/>
      <c r="GZD1" s="5"/>
      <c r="GZE1" s="5"/>
      <c r="GZF1" s="5"/>
      <c r="GZG1" s="5"/>
      <c r="GZH1" s="5"/>
      <c r="GZI1" s="5"/>
      <c r="GZJ1" s="5"/>
      <c r="GZK1" s="5"/>
      <c r="GZL1" s="5"/>
      <c r="GZM1" s="5"/>
      <c r="GZN1" s="5"/>
      <c r="GZO1" s="5"/>
      <c r="GZP1" s="5"/>
      <c r="GZQ1" s="5"/>
      <c r="GZR1" s="5"/>
      <c r="GZS1" s="5"/>
      <c r="GZT1" s="5"/>
      <c r="GZU1" s="5"/>
      <c r="GZV1" s="5"/>
      <c r="GZW1" s="5"/>
      <c r="GZX1" s="5"/>
      <c r="GZY1" s="5"/>
      <c r="GZZ1" s="5"/>
      <c r="HAA1" s="5"/>
      <c r="HAB1" s="5"/>
      <c r="HAC1" s="5"/>
      <c r="HAD1" s="5"/>
      <c r="HAE1" s="5"/>
      <c r="HAF1" s="5"/>
      <c r="HAG1" s="5"/>
      <c r="HAH1" s="5"/>
      <c r="HAI1" s="5"/>
      <c r="HAJ1" s="5"/>
      <c r="HAK1" s="5"/>
      <c r="HAL1" s="5"/>
      <c r="HAM1" s="5"/>
      <c r="HAN1" s="5"/>
      <c r="HAO1" s="5"/>
      <c r="HAP1" s="5"/>
      <c r="HAQ1" s="5"/>
      <c r="HAR1" s="5"/>
      <c r="HAS1" s="5"/>
      <c r="HAT1" s="5"/>
      <c r="HAU1" s="5"/>
      <c r="HAV1" s="5"/>
      <c r="HAW1" s="5"/>
      <c r="HAX1" s="5"/>
      <c r="HAY1" s="5"/>
      <c r="HAZ1" s="5"/>
      <c r="HBA1" s="5"/>
      <c r="HBB1" s="5"/>
      <c r="HBC1" s="5"/>
      <c r="HBD1" s="5"/>
      <c r="HBE1" s="5"/>
      <c r="HBF1" s="5"/>
      <c r="HBG1" s="5"/>
      <c r="HBH1" s="5"/>
      <c r="HBI1" s="5"/>
      <c r="HBJ1" s="5"/>
      <c r="HBK1" s="5"/>
      <c r="HBL1" s="5"/>
      <c r="HBM1" s="5"/>
      <c r="HBN1" s="5"/>
      <c r="HBO1" s="5"/>
      <c r="HBP1" s="5"/>
      <c r="HBQ1" s="5"/>
      <c r="HBR1" s="5"/>
      <c r="HBS1" s="5"/>
      <c r="HBT1" s="5"/>
      <c r="HBU1" s="5"/>
      <c r="HBV1" s="5"/>
      <c r="HBW1" s="5"/>
      <c r="HBX1" s="5"/>
      <c r="HBY1" s="5"/>
      <c r="HBZ1" s="5"/>
      <c r="HCA1" s="5"/>
      <c r="HCB1" s="5"/>
      <c r="HCC1" s="5"/>
      <c r="HCD1" s="5"/>
      <c r="HCE1" s="5"/>
      <c r="HCF1" s="5"/>
      <c r="HCG1" s="5"/>
      <c r="HCH1" s="5"/>
      <c r="HCI1" s="5"/>
      <c r="HCJ1" s="5"/>
      <c r="HCK1" s="5"/>
      <c r="HCL1" s="5"/>
      <c r="HCM1" s="5"/>
      <c r="HCN1" s="5"/>
      <c r="HCO1" s="5"/>
      <c r="HCP1" s="5"/>
      <c r="HCQ1" s="5"/>
      <c r="HCR1" s="5"/>
      <c r="HCS1" s="5"/>
      <c r="HCT1" s="5"/>
      <c r="HCU1" s="5"/>
      <c r="HCV1" s="5"/>
      <c r="HCW1" s="5"/>
      <c r="HCX1" s="5"/>
      <c r="HCY1" s="5"/>
      <c r="HCZ1" s="5"/>
      <c r="HDA1" s="5"/>
      <c r="HDB1" s="5"/>
      <c r="HDC1" s="5"/>
      <c r="HDD1" s="5"/>
      <c r="HDE1" s="5"/>
      <c r="HDF1" s="5"/>
      <c r="HDG1" s="5"/>
      <c r="HDH1" s="5"/>
      <c r="HDI1" s="5"/>
      <c r="HDJ1" s="5"/>
      <c r="HDK1" s="5"/>
      <c r="HDL1" s="5"/>
      <c r="HDM1" s="5"/>
      <c r="HDN1" s="5"/>
      <c r="HDO1" s="5"/>
      <c r="HDP1" s="5"/>
      <c r="HDQ1" s="5"/>
      <c r="HDR1" s="5"/>
      <c r="HDS1" s="5"/>
      <c r="HDT1" s="5"/>
      <c r="HDU1" s="5"/>
      <c r="HDV1" s="5"/>
      <c r="HDW1" s="5"/>
      <c r="HDX1" s="5"/>
      <c r="HDY1" s="5"/>
      <c r="HDZ1" s="5"/>
      <c r="HEA1" s="5"/>
      <c r="HEB1" s="5"/>
      <c r="HEC1" s="5"/>
      <c r="HED1" s="5"/>
      <c r="HEE1" s="5"/>
      <c r="HEF1" s="5"/>
      <c r="HEG1" s="5"/>
      <c r="HEH1" s="5"/>
      <c r="HEI1" s="5"/>
      <c r="HEJ1" s="5"/>
      <c r="HEK1" s="5"/>
      <c r="HEL1" s="5"/>
      <c r="HEM1" s="5"/>
      <c r="HEN1" s="5"/>
      <c r="HEO1" s="5"/>
      <c r="HEP1" s="5"/>
      <c r="HEQ1" s="5"/>
      <c r="HER1" s="5"/>
      <c r="HES1" s="5"/>
      <c r="HET1" s="5"/>
      <c r="HEU1" s="5"/>
      <c r="HEV1" s="5"/>
      <c r="HEW1" s="5"/>
      <c r="HEX1" s="5"/>
      <c r="HEY1" s="5"/>
      <c r="HEZ1" s="5"/>
      <c r="HFA1" s="5"/>
      <c r="HFB1" s="5"/>
      <c r="HFC1" s="5"/>
      <c r="HFD1" s="5"/>
      <c r="HFE1" s="5"/>
      <c r="HFF1" s="5"/>
      <c r="HFG1" s="5"/>
      <c r="HFH1" s="5"/>
      <c r="HFI1" s="5"/>
      <c r="HFJ1" s="5"/>
      <c r="HFK1" s="5"/>
      <c r="HFL1" s="5"/>
      <c r="HFM1" s="5"/>
      <c r="HFN1" s="5"/>
      <c r="HFO1" s="5"/>
      <c r="HFP1" s="5"/>
      <c r="HFQ1" s="5"/>
      <c r="HFR1" s="5"/>
      <c r="HFS1" s="5"/>
      <c r="HFT1" s="5"/>
      <c r="HFU1" s="5"/>
      <c r="HFV1" s="5"/>
      <c r="HFW1" s="5"/>
      <c r="HFX1" s="5"/>
      <c r="HFY1" s="5"/>
      <c r="HFZ1" s="5"/>
      <c r="HGA1" s="5"/>
      <c r="HGB1" s="5"/>
      <c r="HGC1" s="5"/>
      <c r="HGD1" s="5"/>
      <c r="HGE1" s="5"/>
      <c r="HGF1" s="5"/>
      <c r="HGG1" s="5"/>
      <c r="HGH1" s="5"/>
      <c r="HGI1" s="5"/>
      <c r="HGJ1" s="5"/>
      <c r="HGK1" s="5"/>
      <c r="HGL1" s="5"/>
      <c r="HGM1" s="5"/>
      <c r="HGN1" s="5"/>
      <c r="HGO1" s="5"/>
      <c r="HGP1" s="5"/>
      <c r="HGQ1" s="5"/>
      <c r="HGR1" s="5"/>
      <c r="HGS1" s="5"/>
      <c r="HGT1" s="5"/>
      <c r="HGU1" s="5"/>
      <c r="HGV1" s="5"/>
      <c r="HGW1" s="5"/>
      <c r="HGX1" s="5"/>
      <c r="HGY1" s="5"/>
      <c r="HGZ1" s="5"/>
      <c r="HHA1" s="5"/>
      <c r="HHB1" s="5"/>
      <c r="HHC1" s="5"/>
      <c r="HHD1" s="5"/>
      <c r="HHE1" s="5"/>
      <c r="HHF1" s="5"/>
      <c r="HHG1" s="5"/>
      <c r="HHH1" s="5"/>
      <c r="HHI1" s="5"/>
      <c r="HHJ1" s="5"/>
      <c r="HHK1" s="5"/>
      <c r="HHL1" s="5"/>
      <c r="HHM1" s="5"/>
      <c r="HHN1" s="5"/>
      <c r="HHO1" s="5"/>
      <c r="HHP1" s="5"/>
      <c r="HHQ1" s="5"/>
      <c r="HHR1" s="5"/>
      <c r="HHS1" s="5"/>
      <c r="HHT1" s="5"/>
      <c r="HHU1" s="5"/>
      <c r="HHV1" s="5"/>
      <c r="HHW1" s="5"/>
      <c r="HHX1" s="5"/>
      <c r="HHY1" s="5"/>
      <c r="HHZ1" s="5"/>
      <c r="HIA1" s="5"/>
      <c r="HIB1" s="5"/>
      <c r="HIC1" s="5"/>
      <c r="HID1" s="5"/>
      <c r="HIE1" s="5"/>
      <c r="HIF1" s="5"/>
      <c r="HIG1" s="5"/>
      <c r="HIH1" s="5"/>
      <c r="HII1" s="5"/>
      <c r="HIJ1" s="5"/>
      <c r="HIK1" s="5"/>
      <c r="HIL1" s="5"/>
      <c r="HIM1" s="5"/>
      <c r="HIN1" s="5"/>
      <c r="HIO1" s="5"/>
      <c r="HIP1" s="5"/>
      <c r="HIQ1" s="5"/>
      <c r="HIR1" s="5"/>
      <c r="HIS1" s="5"/>
      <c r="HIT1" s="5"/>
      <c r="HIU1" s="5"/>
      <c r="HIV1" s="5"/>
      <c r="HIW1" s="5"/>
      <c r="HIX1" s="5"/>
      <c r="HIY1" s="5"/>
      <c r="HIZ1" s="5"/>
      <c r="HJA1" s="5"/>
      <c r="HJB1" s="5"/>
      <c r="HJC1" s="5"/>
      <c r="HJD1" s="5"/>
      <c r="HJE1" s="5"/>
      <c r="HJF1" s="5"/>
      <c r="HJG1" s="5"/>
      <c r="HJH1" s="5"/>
      <c r="HJI1" s="5"/>
      <c r="HJJ1" s="5"/>
      <c r="HJK1" s="5"/>
      <c r="HJL1" s="5"/>
      <c r="HJM1" s="5"/>
      <c r="HJN1" s="5"/>
      <c r="HJO1" s="5"/>
      <c r="HJP1" s="5"/>
      <c r="HJQ1" s="5"/>
      <c r="HJR1" s="5"/>
      <c r="HJS1" s="5"/>
      <c r="HJT1" s="5"/>
      <c r="HJU1" s="5"/>
      <c r="HJV1" s="5"/>
      <c r="HJW1" s="5"/>
      <c r="HJX1" s="5"/>
      <c r="HJY1" s="5"/>
      <c r="HJZ1" s="5"/>
      <c r="HKA1" s="5"/>
      <c r="HKB1" s="5"/>
      <c r="HKC1" s="5"/>
      <c r="HKD1" s="5"/>
      <c r="HKE1" s="5"/>
      <c r="HKF1" s="5"/>
      <c r="HKG1" s="5"/>
      <c r="HKH1" s="5"/>
      <c r="HKI1" s="5"/>
      <c r="HKJ1" s="5"/>
      <c r="HKK1" s="5"/>
      <c r="HKL1" s="5"/>
      <c r="HKM1" s="5"/>
      <c r="HKN1" s="5"/>
      <c r="HKO1" s="5"/>
      <c r="HKP1" s="5"/>
      <c r="HKQ1" s="5"/>
      <c r="HKR1" s="5"/>
      <c r="HKS1" s="5"/>
      <c r="HKT1" s="5"/>
      <c r="HKU1" s="5"/>
      <c r="HKV1" s="5"/>
      <c r="HKW1" s="5"/>
      <c r="HKX1" s="5"/>
      <c r="HKY1" s="5"/>
      <c r="HKZ1" s="5"/>
      <c r="HLA1" s="5"/>
      <c r="HLB1" s="5"/>
      <c r="HLC1" s="5"/>
      <c r="HLD1" s="5"/>
      <c r="HLE1" s="5"/>
      <c r="HLF1" s="5"/>
      <c r="HLG1" s="5"/>
      <c r="HLH1" s="5"/>
      <c r="HLI1" s="5"/>
      <c r="HLJ1" s="5"/>
      <c r="HLK1" s="5"/>
      <c r="HLL1" s="5"/>
      <c r="HLM1" s="5"/>
      <c r="HLN1" s="5"/>
      <c r="HLO1" s="5"/>
      <c r="HLP1" s="5"/>
      <c r="HLQ1" s="5"/>
      <c r="HLR1" s="5"/>
      <c r="HLS1" s="5"/>
      <c r="HLT1" s="5"/>
      <c r="HLU1" s="5"/>
      <c r="HLV1" s="5"/>
      <c r="HLW1" s="5"/>
      <c r="HLX1" s="5"/>
      <c r="HLY1" s="5"/>
      <c r="HLZ1" s="5"/>
      <c r="HMA1" s="5"/>
      <c r="HMB1" s="5"/>
      <c r="HMC1" s="5"/>
      <c r="HMD1" s="5"/>
      <c r="HME1" s="5"/>
      <c r="HMF1" s="5"/>
      <c r="HMG1" s="5"/>
      <c r="HMH1" s="5"/>
      <c r="HMI1" s="5"/>
      <c r="HMJ1" s="5"/>
      <c r="HMK1" s="5"/>
      <c r="HML1" s="5"/>
      <c r="HMM1" s="5"/>
      <c r="HMN1" s="5"/>
      <c r="HMO1" s="5"/>
      <c r="HMP1" s="5"/>
      <c r="HMQ1" s="5"/>
      <c r="HMR1" s="5"/>
      <c r="HMS1" s="5"/>
      <c r="HMT1" s="5"/>
      <c r="HMU1" s="5"/>
      <c r="HMV1" s="5"/>
      <c r="HMW1" s="5"/>
      <c r="HMX1" s="5"/>
      <c r="HMY1" s="5"/>
      <c r="HMZ1" s="5"/>
      <c r="HNA1" s="5"/>
      <c r="HNB1" s="5"/>
      <c r="HNC1" s="5"/>
      <c r="HND1" s="5"/>
      <c r="HNE1" s="5"/>
      <c r="HNF1" s="5"/>
      <c r="HNG1" s="5"/>
      <c r="HNH1" s="5"/>
      <c r="HNI1" s="5"/>
      <c r="HNJ1" s="5"/>
      <c r="HNK1" s="5"/>
      <c r="HNL1" s="5"/>
      <c r="HNM1" s="5"/>
      <c r="HNN1" s="5"/>
      <c r="HNO1" s="5"/>
      <c r="HNP1" s="5"/>
      <c r="HNQ1" s="5"/>
      <c r="HNR1" s="5"/>
      <c r="HNS1" s="5"/>
      <c r="HNT1" s="5"/>
      <c r="HNU1" s="5"/>
      <c r="HNV1" s="5"/>
      <c r="HNW1" s="5"/>
      <c r="HNX1" s="5"/>
      <c r="HNY1" s="5"/>
      <c r="HNZ1" s="5"/>
      <c r="HOA1" s="5"/>
      <c r="HOB1" s="5"/>
      <c r="HOC1" s="5"/>
      <c r="HOD1" s="5"/>
      <c r="HOE1" s="5"/>
      <c r="HOF1" s="5"/>
      <c r="HOG1" s="5"/>
      <c r="HOH1" s="5"/>
      <c r="HOI1" s="5"/>
      <c r="HOJ1" s="5"/>
      <c r="HOK1" s="5"/>
      <c r="HOL1" s="5"/>
      <c r="HOM1" s="5"/>
      <c r="HON1" s="5"/>
      <c r="HOO1" s="5"/>
      <c r="HOP1" s="5"/>
      <c r="HOQ1" s="5"/>
      <c r="HOR1" s="5"/>
      <c r="HOS1" s="5"/>
      <c r="HOT1" s="5"/>
      <c r="HOU1" s="5"/>
      <c r="HOV1" s="5"/>
      <c r="HOW1" s="5"/>
      <c r="HOX1" s="5"/>
      <c r="HOY1" s="5"/>
      <c r="HOZ1" s="5"/>
      <c r="HPA1" s="5"/>
      <c r="HPB1" s="5"/>
      <c r="HPC1" s="5"/>
      <c r="HPD1" s="5"/>
      <c r="HPE1" s="5"/>
      <c r="HPF1" s="5"/>
      <c r="HPG1" s="5"/>
      <c r="HPH1" s="5"/>
      <c r="HPI1" s="5"/>
      <c r="HPJ1" s="5"/>
      <c r="HPK1" s="5"/>
      <c r="HPL1" s="5"/>
      <c r="HPM1" s="5"/>
      <c r="HPN1" s="5"/>
      <c r="HPO1" s="5"/>
      <c r="HPP1" s="5"/>
      <c r="HPQ1" s="5"/>
      <c r="HPR1" s="5"/>
      <c r="HPS1" s="5"/>
      <c r="HPT1" s="5"/>
      <c r="HPU1" s="5"/>
      <c r="HPV1" s="5"/>
      <c r="HPW1" s="5"/>
      <c r="HPX1" s="5"/>
      <c r="HPY1" s="5"/>
      <c r="HPZ1" s="5"/>
      <c r="HQA1" s="5"/>
      <c r="HQB1" s="5"/>
      <c r="HQC1" s="5"/>
      <c r="HQD1" s="5"/>
      <c r="HQE1" s="5"/>
      <c r="HQF1" s="5"/>
      <c r="HQG1" s="5"/>
      <c r="HQH1" s="5"/>
      <c r="HQI1" s="5"/>
      <c r="HQJ1" s="5"/>
      <c r="HQK1" s="5"/>
      <c r="HQL1" s="5"/>
      <c r="HQM1" s="5"/>
      <c r="HQN1" s="5"/>
      <c r="HQO1" s="5"/>
      <c r="HQP1" s="5"/>
      <c r="HQQ1" s="5"/>
      <c r="HQR1" s="5"/>
      <c r="HQS1" s="5"/>
      <c r="HQT1" s="5"/>
      <c r="HQU1" s="5"/>
      <c r="HQV1" s="5"/>
      <c r="HQW1" s="5"/>
      <c r="HQX1" s="5"/>
      <c r="HQY1" s="5"/>
      <c r="HQZ1" s="5"/>
      <c r="HRA1" s="5"/>
      <c r="HRB1" s="5"/>
      <c r="HRC1" s="5"/>
      <c r="HRD1" s="5"/>
      <c r="HRE1" s="5"/>
      <c r="HRF1" s="5"/>
      <c r="HRG1" s="5"/>
      <c r="HRH1" s="5"/>
      <c r="HRI1" s="5"/>
      <c r="HRJ1" s="5"/>
      <c r="HRK1" s="5"/>
      <c r="HRL1" s="5"/>
      <c r="HRM1" s="5"/>
      <c r="HRN1" s="5"/>
      <c r="HRO1" s="5"/>
      <c r="HRP1" s="5"/>
      <c r="HRQ1" s="5"/>
      <c r="HRR1" s="5"/>
      <c r="HRS1" s="5"/>
      <c r="HRT1" s="5"/>
      <c r="HRU1" s="5"/>
      <c r="HRV1" s="5"/>
      <c r="HRW1" s="5"/>
      <c r="HRX1" s="5"/>
      <c r="HRY1" s="5"/>
      <c r="HRZ1" s="5"/>
      <c r="HSA1" s="5"/>
      <c r="HSB1" s="5"/>
      <c r="HSC1" s="5"/>
      <c r="HSD1" s="5"/>
      <c r="HSE1" s="5"/>
      <c r="HSF1" s="5"/>
      <c r="HSG1" s="5"/>
      <c r="HSH1" s="5"/>
      <c r="HSI1" s="5"/>
      <c r="HSJ1" s="5"/>
      <c r="HSK1" s="5"/>
      <c r="HSL1" s="5"/>
      <c r="HSM1" s="5"/>
      <c r="HSN1" s="5"/>
      <c r="HSO1" s="5"/>
      <c r="HSP1" s="5"/>
      <c r="HSQ1" s="5"/>
      <c r="HSR1" s="5"/>
      <c r="HSS1" s="5"/>
      <c r="HST1" s="5"/>
      <c r="HSU1" s="5"/>
      <c r="HSV1" s="5"/>
      <c r="HSW1" s="5"/>
      <c r="HSX1" s="5"/>
      <c r="HSY1" s="5"/>
      <c r="HSZ1" s="5"/>
      <c r="HTA1" s="5"/>
      <c r="HTB1" s="5"/>
      <c r="HTC1" s="5"/>
      <c r="HTD1" s="5"/>
      <c r="HTE1" s="5"/>
      <c r="HTF1" s="5"/>
      <c r="HTG1" s="5"/>
      <c r="HTH1" s="5"/>
      <c r="HTI1" s="5"/>
      <c r="HTJ1" s="5"/>
      <c r="HTK1" s="5"/>
      <c r="HTL1" s="5"/>
      <c r="HTM1" s="5"/>
      <c r="HTN1" s="5"/>
      <c r="HTO1" s="5"/>
      <c r="HTP1" s="5"/>
      <c r="HTQ1" s="5"/>
      <c r="HTR1" s="5"/>
      <c r="HTS1" s="5"/>
      <c r="HTT1" s="5"/>
      <c r="HTU1" s="5"/>
      <c r="HTV1" s="5"/>
      <c r="HTW1" s="5"/>
      <c r="HTX1" s="5"/>
      <c r="HTY1" s="5"/>
      <c r="HTZ1" s="5"/>
      <c r="HUA1" s="5"/>
      <c r="HUB1" s="5"/>
      <c r="HUC1" s="5"/>
      <c r="HUD1" s="5"/>
      <c r="HUE1" s="5"/>
      <c r="HUF1" s="5"/>
      <c r="HUG1" s="5"/>
      <c r="HUH1" s="5"/>
      <c r="HUI1" s="5"/>
      <c r="HUJ1" s="5"/>
      <c r="HUK1" s="5"/>
      <c r="HUL1" s="5"/>
      <c r="HUM1" s="5"/>
      <c r="HUN1" s="5"/>
      <c r="HUO1" s="5"/>
      <c r="HUP1" s="5"/>
      <c r="HUQ1" s="5"/>
      <c r="HUR1" s="5"/>
      <c r="HUS1" s="5"/>
      <c r="HUT1" s="5"/>
      <c r="HUU1" s="5"/>
      <c r="HUV1" s="5"/>
      <c r="HUW1" s="5"/>
      <c r="HUX1" s="5"/>
      <c r="HUY1" s="5"/>
      <c r="HUZ1" s="5"/>
      <c r="HVA1" s="5"/>
      <c r="HVB1" s="5"/>
      <c r="HVC1" s="5"/>
      <c r="HVD1" s="5"/>
      <c r="HVE1" s="5"/>
      <c r="HVF1" s="5"/>
      <c r="HVG1" s="5"/>
      <c r="HVH1" s="5"/>
      <c r="HVI1" s="5"/>
      <c r="HVJ1" s="5"/>
      <c r="HVK1" s="5"/>
      <c r="HVL1" s="5"/>
      <c r="HVM1" s="5"/>
      <c r="HVN1" s="5"/>
      <c r="HVO1" s="5"/>
      <c r="HVP1" s="5"/>
      <c r="HVQ1" s="5"/>
      <c r="HVR1" s="5"/>
      <c r="HVS1" s="5"/>
      <c r="HVT1" s="5"/>
      <c r="HVU1" s="5"/>
      <c r="HVV1" s="5"/>
      <c r="HVW1" s="5"/>
      <c r="HVX1" s="5"/>
      <c r="HVY1" s="5"/>
      <c r="HVZ1" s="5"/>
      <c r="HWA1" s="5"/>
      <c r="HWB1" s="5"/>
      <c r="HWC1" s="5"/>
      <c r="HWD1" s="5"/>
      <c r="HWE1" s="5"/>
      <c r="HWF1" s="5"/>
      <c r="HWG1" s="5"/>
      <c r="HWH1" s="5"/>
      <c r="HWI1" s="5"/>
      <c r="HWJ1" s="5"/>
      <c r="HWK1" s="5"/>
      <c r="HWL1" s="5"/>
      <c r="HWM1" s="5"/>
      <c r="HWN1" s="5"/>
      <c r="HWO1" s="5"/>
      <c r="HWP1" s="5"/>
      <c r="HWQ1" s="5"/>
      <c r="HWR1" s="5"/>
      <c r="HWS1" s="5"/>
      <c r="HWT1" s="5"/>
      <c r="HWU1" s="5"/>
      <c r="HWV1" s="5"/>
      <c r="HWW1" s="5"/>
      <c r="HWX1" s="5"/>
      <c r="HWY1" s="5"/>
      <c r="HWZ1" s="5"/>
      <c r="HXA1" s="5"/>
      <c r="HXB1" s="5"/>
      <c r="HXC1" s="5"/>
      <c r="HXD1" s="5"/>
      <c r="HXE1" s="5"/>
      <c r="HXF1" s="5"/>
      <c r="HXG1" s="5"/>
      <c r="HXH1" s="5"/>
      <c r="HXI1" s="5"/>
      <c r="HXJ1" s="5"/>
      <c r="HXK1" s="5"/>
      <c r="HXL1" s="5"/>
      <c r="HXM1" s="5"/>
      <c r="HXN1" s="5"/>
      <c r="HXO1" s="5"/>
      <c r="HXP1" s="5"/>
      <c r="HXQ1" s="5"/>
      <c r="HXR1" s="5"/>
      <c r="HXS1" s="5"/>
      <c r="HXT1" s="5"/>
      <c r="HXU1" s="5"/>
      <c r="HXV1" s="5"/>
      <c r="HXW1" s="5"/>
      <c r="HXX1" s="5"/>
      <c r="HXY1" s="5"/>
      <c r="HXZ1" s="5"/>
      <c r="HYA1" s="5"/>
      <c r="HYB1" s="5"/>
      <c r="HYC1" s="5"/>
      <c r="HYD1" s="5"/>
      <c r="HYE1" s="5"/>
      <c r="HYF1" s="5"/>
      <c r="HYG1" s="5"/>
      <c r="HYH1" s="5"/>
      <c r="HYI1" s="5"/>
      <c r="HYJ1" s="5"/>
      <c r="HYK1" s="5"/>
      <c r="HYL1" s="5"/>
      <c r="HYM1" s="5"/>
      <c r="HYN1" s="5"/>
      <c r="HYO1" s="5"/>
      <c r="HYP1" s="5"/>
      <c r="HYQ1" s="5"/>
      <c r="HYR1" s="5"/>
      <c r="HYS1" s="5"/>
      <c r="HYT1" s="5"/>
      <c r="HYU1" s="5"/>
      <c r="HYV1" s="5"/>
      <c r="HYW1" s="5"/>
      <c r="HYX1" s="5"/>
      <c r="HYY1" s="5"/>
      <c r="HYZ1" s="5"/>
      <c r="HZA1" s="5"/>
      <c r="HZB1" s="5"/>
      <c r="HZC1" s="5"/>
      <c r="HZD1" s="5"/>
      <c r="HZE1" s="5"/>
      <c r="HZF1" s="5"/>
      <c r="HZG1" s="5"/>
      <c r="HZH1" s="5"/>
      <c r="HZI1" s="5"/>
      <c r="HZJ1" s="5"/>
      <c r="HZK1" s="5"/>
      <c r="HZL1" s="5"/>
      <c r="HZM1" s="5"/>
      <c r="HZN1" s="5"/>
      <c r="HZO1" s="5"/>
      <c r="HZP1" s="5"/>
      <c r="HZQ1" s="5"/>
      <c r="HZR1" s="5"/>
      <c r="HZS1" s="5"/>
      <c r="HZT1" s="5"/>
      <c r="HZU1" s="5"/>
      <c r="HZV1" s="5"/>
      <c r="HZW1" s="5"/>
      <c r="HZX1" s="5"/>
      <c r="HZY1" s="5"/>
      <c r="HZZ1" s="5"/>
      <c r="IAA1" s="5"/>
      <c r="IAB1" s="5"/>
      <c r="IAC1" s="5"/>
      <c r="IAD1" s="5"/>
      <c r="IAE1" s="5"/>
      <c r="IAF1" s="5"/>
      <c r="IAG1" s="5"/>
      <c r="IAH1" s="5"/>
      <c r="IAI1" s="5"/>
      <c r="IAJ1" s="5"/>
      <c r="IAK1" s="5"/>
      <c r="IAL1" s="5"/>
      <c r="IAM1" s="5"/>
      <c r="IAN1" s="5"/>
      <c r="IAO1" s="5"/>
      <c r="IAP1" s="5"/>
      <c r="IAQ1" s="5"/>
      <c r="IAR1" s="5"/>
      <c r="IAS1" s="5"/>
      <c r="IAT1" s="5"/>
      <c r="IAU1" s="5"/>
      <c r="IAV1" s="5"/>
      <c r="IAW1" s="5"/>
      <c r="IAX1" s="5"/>
      <c r="IAY1" s="5"/>
      <c r="IAZ1" s="5"/>
      <c r="IBA1" s="5"/>
      <c r="IBB1" s="5"/>
      <c r="IBC1" s="5"/>
      <c r="IBD1" s="5"/>
      <c r="IBE1" s="5"/>
      <c r="IBF1" s="5"/>
      <c r="IBG1" s="5"/>
      <c r="IBH1" s="5"/>
      <c r="IBI1" s="5"/>
      <c r="IBJ1" s="5"/>
      <c r="IBK1" s="5"/>
      <c r="IBL1" s="5"/>
      <c r="IBM1" s="5"/>
      <c r="IBN1" s="5"/>
      <c r="IBO1" s="5"/>
      <c r="IBP1" s="5"/>
      <c r="IBQ1" s="5"/>
      <c r="IBR1" s="5"/>
      <c r="IBS1" s="5"/>
      <c r="IBT1" s="5"/>
      <c r="IBU1" s="5"/>
      <c r="IBV1" s="5"/>
      <c r="IBW1" s="5"/>
      <c r="IBX1" s="5"/>
      <c r="IBY1" s="5"/>
      <c r="IBZ1" s="5"/>
      <c r="ICA1" s="5"/>
      <c r="ICB1" s="5"/>
      <c r="ICC1" s="5"/>
      <c r="ICD1" s="5"/>
      <c r="ICE1" s="5"/>
      <c r="ICF1" s="5"/>
      <c r="ICG1" s="5"/>
      <c r="ICH1" s="5"/>
      <c r="ICI1" s="5"/>
      <c r="ICJ1" s="5"/>
      <c r="ICK1" s="5"/>
      <c r="ICL1" s="5"/>
      <c r="ICM1" s="5"/>
      <c r="ICN1" s="5"/>
      <c r="ICO1" s="5"/>
      <c r="ICP1" s="5"/>
      <c r="ICQ1" s="5"/>
      <c r="ICR1" s="5"/>
      <c r="ICS1" s="5"/>
      <c r="ICT1" s="5"/>
      <c r="ICU1" s="5"/>
      <c r="ICV1" s="5"/>
      <c r="ICW1" s="5"/>
      <c r="ICX1" s="5"/>
      <c r="ICY1" s="5"/>
      <c r="ICZ1" s="5"/>
      <c r="IDA1" s="5"/>
      <c r="IDB1" s="5"/>
      <c r="IDC1" s="5"/>
      <c r="IDD1" s="5"/>
      <c r="IDE1" s="5"/>
      <c r="IDF1" s="5"/>
      <c r="IDG1" s="5"/>
      <c r="IDH1" s="5"/>
      <c r="IDI1" s="5"/>
      <c r="IDJ1" s="5"/>
      <c r="IDK1" s="5"/>
      <c r="IDL1" s="5"/>
      <c r="IDM1" s="5"/>
      <c r="IDN1" s="5"/>
      <c r="IDO1" s="5"/>
      <c r="IDP1" s="5"/>
      <c r="IDQ1" s="5"/>
      <c r="IDR1" s="5"/>
      <c r="IDS1" s="5"/>
      <c r="IDT1" s="5"/>
      <c r="IDU1" s="5"/>
      <c r="IDV1" s="5"/>
      <c r="IDW1" s="5"/>
      <c r="IDX1" s="5"/>
      <c r="IDY1" s="5"/>
      <c r="IDZ1" s="5"/>
      <c r="IEA1" s="5"/>
      <c r="IEB1" s="5"/>
      <c r="IEC1" s="5"/>
      <c r="IED1" s="5"/>
      <c r="IEE1" s="5"/>
      <c r="IEF1" s="5"/>
      <c r="IEG1" s="5"/>
      <c r="IEH1" s="5"/>
      <c r="IEI1" s="5"/>
      <c r="IEJ1" s="5"/>
      <c r="IEK1" s="5"/>
      <c r="IEL1" s="5"/>
      <c r="IEM1" s="5"/>
      <c r="IEN1" s="5"/>
      <c r="IEO1" s="5"/>
      <c r="IEP1" s="5"/>
      <c r="IEQ1" s="5"/>
      <c r="IER1" s="5"/>
      <c r="IES1" s="5"/>
      <c r="IET1" s="5"/>
      <c r="IEU1" s="5"/>
      <c r="IEV1" s="5"/>
      <c r="IEW1" s="5"/>
      <c r="IEX1" s="5"/>
      <c r="IEY1" s="5"/>
      <c r="IEZ1" s="5"/>
      <c r="IFA1" s="5"/>
      <c r="IFB1" s="5"/>
      <c r="IFC1" s="5"/>
      <c r="IFD1" s="5"/>
      <c r="IFE1" s="5"/>
      <c r="IFF1" s="5"/>
      <c r="IFG1" s="5"/>
      <c r="IFH1" s="5"/>
      <c r="IFI1" s="5"/>
      <c r="IFJ1" s="5"/>
      <c r="IFK1" s="5"/>
      <c r="IFL1" s="5"/>
      <c r="IFM1" s="5"/>
      <c r="IFN1" s="5"/>
      <c r="IFO1" s="5"/>
      <c r="IFP1" s="5"/>
      <c r="IFQ1" s="5"/>
      <c r="IFR1" s="5"/>
      <c r="IFS1" s="5"/>
      <c r="IFT1" s="5"/>
      <c r="IFU1" s="5"/>
      <c r="IFV1" s="5"/>
      <c r="IFW1" s="5"/>
      <c r="IFX1" s="5"/>
      <c r="IFY1" s="5"/>
      <c r="IFZ1" s="5"/>
      <c r="IGA1" s="5"/>
      <c r="IGB1" s="5"/>
      <c r="IGC1" s="5"/>
      <c r="IGD1" s="5"/>
      <c r="IGE1" s="5"/>
      <c r="IGF1" s="5"/>
      <c r="IGG1" s="5"/>
      <c r="IGH1" s="5"/>
      <c r="IGI1" s="5"/>
      <c r="IGJ1" s="5"/>
      <c r="IGK1" s="5"/>
      <c r="IGL1" s="5"/>
      <c r="IGM1" s="5"/>
      <c r="IGN1" s="5"/>
      <c r="IGO1" s="5"/>
      <c r="IGP1" s="5"/>
      <c r="IGQ1" s="5"/>
      <c r="IGR1" s="5"/>
      <c r="IGS1" s="5"/>
      <c r="IGT1" s="5"/>
      <c r="IGU1" s="5"/>
      <c r="IGV1" s="5"/>
      <c r="IGW1" s="5"/>
      <c r="IGX1" s="5"/>
      <c r="IGY1" s="5"/>
      <c r="IGZ1" s="5"/>
      <c r="IHA1" s="5"/>
      <c r="IHB1" s="5"/>
      <c r="IHC1" s="5"/>
      <c r="IHD1" s="5"/>
      <c r="IHE1" s="5"/>
      <c r="IHF1" s="5"/>
      <c r="IHG1" s="5"/>
      <c r="IHH1" s="5"/>
      <c r="IHI1" s="5"/>
      <c r="IHJ1" s="5"/>
      <c r="IHK1" s="5"/>
      <c r="IHL1" s="5"/>
      <c r="IHM1" s="5"/>
      <c r="IHN1" s="5"/>
      <c r="IHO1" s="5"/>
      <c r="IHP1" s="5"/>
      <c r="IHQ1" s="5"/>
      <c r="IHR1" s="5"/>
      <c r="IHS1" s="5"/>
      <c r="IHT1" s="5"/>
      <c r="IHU1" s="5"/>
      <c r="IHV1" s="5"/>
      <c r="IHW1" s="5"/>
      <c r="IHX1" s="5"/>
      <c r="IHY1" s="5"/>
      <c r="IHZ1" s="5"/>
      <c r="IIA1" s="5"/>
      <c r="IIB1" s="5"/>
      <c r="IIC1" s="5"/>
      <c r="IID1" s="5"/>
      <c r="IIE1" s="5"/>
      <c r="IIF1" s="5"/>
      <c r="IIG1" s="5"/>
      <c r="IIH1" s="5"/>
      <c r="III1" s="5"/>
      <c r="IIJ1" s="5"/>
      <c r="IIK1" s="5"/>
      <c r="IIL1" s="5"/>
      <c r="IIM1" s="5"/>
      <c r="IIN1" s="5"/>
      <c r="IIO1" s="5"/>
      <c r="IIP1" s="5"/>
      <c r="IIQ1" s="5"/>
      <c r="IIR1" s="5"/>
      <c r="IIS1" s="5"/>
      <c r="IIT1" s="5"/>
      <c r="IIU1" s="5"/>
      <c r="IIV1" s="5"/>
      <c r="IIW1" s="5"/>
      <c r="IIX1" s="5"/>
      <c r="IIY1" s="5"/>
      <c r="IIZ1" s="5"/>
      <c r="IJA1" s="5"/>
      <c r="IJB1" s="5"/>
      <c r="IJC1" s="5"/>
      <c r="IJD1" s="5"/>
      <c r="IJE1" s="5"/>
      <c r="IJF1" s="5"/>
      <c r="IJG1" s="5"/>
      <c r="IJH1" s="5"/>
      <c r="IJI1" s="5"/>
      <c r="IJJ1" s="5"/>
      <c r="IJK1" s="5"/>
      <c r="IJL1" s="5"/>
      <c r="IJM1" s="5"/>
      <c r="IJN1" s="5"/>
      <c r="IJO1" s="5"/>
      <c r="IJP1" s="5"/>
      <c r="IJQ1" s="5"/>
      <c r="IJR1" s="5"/>
      <c r="IJS1" s="5"/>
      <c r="IJT1" s="5"/>
      <c r="IJU1" s="5"/>
      <c r="IJV1" s="5"/>
      <c r="IJW1" s="5"/>
      <c r="IJX1" s="5"/>
      <c r="IJY1" s="5"/>
      <c r="IJZ1" s="5"/>
      <c r="IKA1" s="5"/>
      <c r="IKB1" s="5"/>
      <c r="IKC1" s="5"/>
      <c r="IKD1" s="5"/>
      <c r="IKE1" s="5"/>
      <c r="IKF1" s="5"/>
      <c r="IKG1" s="5"/>
      <c r="IKH1" s="5"/>
      <c r="IKI1" s="5"/>
      <c r="IKJ1" s="5"/>
      <c r="IKK1" s="5"/>
      <c r="IKL1" s="5"/>
      <c r="IKM1" s="5"/>
      <c r="IKN1" s="5"/>
      <c r="IKO1" s="5"/>
      <c r="IKP1" s="5"/>
      <c r="IKQ1" s="5"/>
      <c r="IKR1" s="5"/>
      <c r="IKS1" s="5"/>
      <c r="IKT1" s="5"/>
      <c r="IKU1" s="5"/>
      <c r="IKV1" s="5"/>
      <c r="IKW1" s="5"/>
      <c r="IKX1" s="5"/>
      <c r="IKY1" s="5"/>
      <c r="IKZ1" s="5"/>
      <c r="ILA1" s="5"/>
      <c r="ILB1" s="5"/>
      <c r="ILC1" s="5"/>
      <c r="ILD1" s="5"/>
      <c r="ILE1" s="5"/>
      <c r="ILF1" s="5"/>
      <c r="ILG1" s="5"/>
      <c r="ILH1" s="5"/>
      <c r="ILI1" s="5"/>
      <c r="ILJ1" s="5"/>
      <c r="ILK1" s="5"/>
      <c r="ILL1" s="5"/>
      <c r="ILM1" s="5"/>
      <c r="ILN1" s="5"/>
      <c r="ILO1" s="5"/>
      <c r="ILP1" s="5"/>
      <c r="ILQ1" s="5"/>
      <c r="ILR1" s="5"/>
      <c r="ILS1" s="5"/>
      <c r="ILT1" s="5"/>
      <c r="ILU1" s="5"/>
      <c r="ILV1" s="5"/>
      <c r="ILW1" s="5"/>
      <c r="ILX1" s="5"/>
      <c r="ILY1" s="5"/>
      <c r="ILZ1" s="5"/>
      <c r="IMA1" s="5"/>
      <c r="IMB1" s="5"/>
      <c r="IMC1" s="5"/>
      <c r="IMD1" s="5"/>
      <c r="IME1" s="5"/>
      <c r="IMF1" s="5"/>
      <c r="IMG1" s="5"/>
      <c r="IMH1" s="5"/>
      <c r="IMI1" s="5"/>
      <c r="IMJ1" s="5"/>
      <c r="IMK1" s="5"/>
      <c r="IML1" s="5"/>
      <c r="IMM1" s="5"/>
      <c r="IMN1" s="5"/>
      <c r="IMO1" s="5"/>
      <c r="IMP1" s="5"/>
      <c r="IMQ1" s="5"/>
      <c r="IMR1" s="5"/>
      <c r="IMS1" s="5"/>
      <c r="IMT1" s="5"/>
      <c r="IMU1" s="5"/>
      <c r="IMV1" s="5"/>
      <c r="IMW1" s="5"/>
      <c r="IMX1" s="5"/>
      <c r="IMY1" s="5"/>
      <c r="IMZ1" s="5"/>
      <c r="INA1" s="5"/>
      <c r="INB1" s="5"/>
      <c r="INC1" s="5"/>
      <c r="IND1" s="5"/>
      <c r="INE1" s="5"/>
      <c r="INF1" s="5"/>
      <c r="ING1" s="5"/>
      <c r="INH1" s="5"/>
      <c r="INI1" s="5"/>
      <c r="INJ1" s="5"/>
      <c r="INK1" s="5"/>
      <c r="INL1" s="5"/>
      <c r="INM1" s="5"/>
      <c r="INN1" s="5"/>
      <c r="INO1" s="5"/>
      <c r="INP1" s="5"/>
      <c r="INQ1" s="5"/>
      <c r="INR1" s="5"/>
      <c r="INS1" s="5"/>
      <c r="INT1" s="5"/>
      <c r="INU1" s="5"/>
      <c r="INV1" s="5"/>
      <c r="INW1" s="5"/>
      <c r="INX1" s="5"/>
      <c r="INY1" s="5"/>
      <c r="INZ1" s="5"/>
      <c r="IOA1" s="5"/>
      <c r="IOB1" s="5"/>
      <c r="IOC1" s="5"/>
      <c r="IOD1" s="5"/>
      <c r="IOE1" s="5"/>
      <c r="IOF1" s="5"/>
      <c r="IOG1" s="5"/>
      <c r="IOH1" s="5"/>
      <c r="IOI1" s="5"/>
      <c r="IOJ1" s="5"/>
      <c r="IOK1" s="5"/>
      <c r="IOL1" s="5"/>
      <c r="IOM1" s="5"/>
      <c r="ION1" s="5"/>
      <c r="IOO1" s="5"/>
      <c r="IOP1" s="5"/>
      <c r="IOQ1" s="5"/>
      <c r="IOR1" s="5"/>
      <c r="IOS1" s="5"/>
      <c r="IOT1" s="5"/>
      <c r="IOU1" s="5"/>
      <c r="IOV1" s="5"/>
      <c r="IOW1" s="5"/>
      <c r="IOX1" s="5"/>
      <c r="IOY1" s="5"/>
      <c r="IOZ1" s="5"/>
      <c r="IPA1" s="5"/>
      <c r="IPB1" s="5"/>
      <c r="IPC1" s="5"/>
      <c r="IPD1" s="5"/>
      <c r="IPE1" s="5"/>
      <c r="IPF1" s="5"/>
      <c r="IPG1" s="5"/>
      <c r="IPH1" s="5"/>
      <c r="IPI1" s="5"/>
      <c r="IPJ1" s="5"/>
      <c r="IPK1" s="5"/>
      <c r="IPL1" s="5"/>
      <c r="IPM1" s="5"/>
      <c r="IPN1" s="5"/>
      <c r="IPO1" s="5"/>
      <c r="IPP1" s="5"/>
      <c r="IPQ1" s="5"/>
      <c r="IPR1" s="5"/>
      <c r="IPS1" s="5"/>
      <c r="IPT1" s="5"/>
      <c r="IPU1" s="5"/>
      <c r="IPV1" s="5"/>
      <c r="IPW1" s="5"/>
      <c r="IPX1" s="5"/>
      <c r="IPY1" s="5"/>
      <c r="IPZ1" s="5"/>
      <c r="IQA1" s="5"/>
      <c r="IQB1" s="5"/>
      <c r="IQC1" s="5"/>
      <c r="IQD1" s="5"/>
      <c r="IQE1" s="5"/>
      <c r="IQF1" s="5"/>
      <c r="IQG1" s="5"/>
      <c r="IQH1" s="5"/>
      <c r="IQI1" s="5"/>
      <c r="IQJ1" s="5"/>
      <c r="IQK1" s="5"/>
      <c r="IQL1" s="5"/>
      <c r="IQM1" s="5"/>
      <c r="IQN1" s="5"/>
      <c r="IQO1" s="5"/>
      <c r="IQP1" s="5"/>
      <c r="IQQ1" s="5"/>
      <c r="IQR1" s="5"/>
      <c r="IQS1" s="5"/>
      <c r="IQT1" s="5"/>
      <c r="IQU1" s="5"/>
      <c r="IQV1" s="5"/>
      <c r="IQW1" s="5"/>
      <c r="IQX1" s="5"/>
      <c r="IQY1" s="5"/>
      <c r="IQZ1" s="5"/>
      <c r="IRA1" s="5"/>
      <c r="IRB1" s="5"/>
      <c r="IRC1" s="5"/>
      <c r="IRD1" s="5"/>
      <c r="IRE1" s="5"/>
      <c r="IRF1" s="5"/>
      <c r="IRG1" s="5"/>
      <c r="IRH1" s="5"/>
      <c r="IRI1" s="5"/>
      <c r="IRJ1" s="5"/>
      <c r="IRK1" s="5"/>
      <c r="IRL1" s="5"/>
      <c r="IRM1" s="5"/>
      <c r="IRN1" s="5"/>
      <c r="IRO1" s="5"/>
      <c r="IRP1" s="5"/>
      <c r="IRQ1" s="5"/>
      <c r="IRR1" s="5"/>
      <c r="IRS1" s="5"/>
      <c r="IRT1" s="5"/>
      <c r="IRU1" s="5"/>
      <c r="IRV1" s="5"/>
      <c r="IRW1" s="5"/>
      <c r="IRX1" s="5"/>
      <c r="IRY1" s="5"/>
      <c r="IRZ1" s="5"/>
      <c r="ISA1" s="5"/>
      <c r="ISB1" s="5"/>
      <c r="ISC1" s="5"/>
      <c r="ISD1" s="5"/>
      <c r="ISE1" s="5"/>
      <c r="ISF1" s="5"/>
      <c r="ISG1" s="5"/>
      <c r="ISH1" s="5"/>
      <c r="ISI1" s="5"/>
      <c r="ISJ1" s="5"/>
      <c r="ISK1" s="5"/>
      <c r="ISL1" s="5"/>
      <c r="ISM1" s="5"/>
      <c r="ISN1" s="5"/>
      <c r="ISO1" s="5"/>
      <c r="ISP1" s="5"/>
      <c r="ISQ1" s="5"/>
      <c r="ISR1" s="5"/>
      <c r="ISS1" s="5"/>
      <c r="IST1" s="5"/>
      <c r="ISU1" s="5"/>
      <c r="ISV1" s="5"/>
      <c r="ISW1" s="5"/>
      <c r="ISX1" s="5"/>
      <c r="ISY1" s="5"/>
      <c r="ISZ1" s="5"/>
      <c r="ITA1" s="5"/>
      <c r="ITB1" s="5"/>
      <c r="ITC1" s="5"/>
      <c r="ITD1" s="5"/>
      <c r="ITE1" s="5"/>
      <c r="ITF1" s="5"/>
      <c r="ITG1" s="5"/>
      <c r="ITH1" s="5"/>
      <c r="ITI1" s="5"/>
      <c r="ITJ1" s="5"/>
      <c r="ITK1" s="5"/>
      <c r="ITL1" s="5"/>
      <c r="ITM1" s="5"/>
      <c r="ITN1" s="5"/>
      <c r="ITO1" s="5"/>
      <c r="ITP1" s="5"/>
      <c r="ITQ1" s="5"/>
      <c r="ITR1" s="5"/>
      <c r="ITS1" s="5"/>
      <c r="ITT1" s="5"/>
      <c r="ITU1" s="5"/>
      <c r="ITV1" s="5"/>
      <c r="ITW1" s="5"/>
      <c r="ITX1" s="5"/>
      <c r="ITY1" s="5"/>
      <c r="ITZ1" s="5"/>
      <c r="IUA1" s="5"/>
      <c r="IUB1" s="5"/>
      <c r="IUC1" s="5"/>
      <c r="IUD1" s="5"/>
      <c r="IUE1" s="5"/>
      <c r="IUF1" s="5"/>
      <c r="IUG1" s="5"/>
      <c r="IUH1" s="5"/>
      <c r="IUI1" s="5"/>
      <c r="IUJ1" s="5"/>
      <c r="IUK1" s="5"/>
      <c r="IUL1" s="5"/>
      <c r="IUM1" s="5"/>
      <c r="IUN1" s="5"/>
      <c r="IUO1" s="5"/>
      <c r="IUP1" s="5"/>
      <c r="IUQ1" s="5"/>
      <c r="IUR1" s="5"/>
      <c r="IUS1" s="5"/>
      <c r="IUT1" s="5"/>
      <c r="IUU1" s="5"/>
      <c r="IUV1" s="5"/>
      <c r="IUW1" s="5"/>
      <c r="IUX1" s="5"/>
      <c r="IUY1" s="5"/>
      <c r="IUZ1" s="5"/>
      <c r="IVA1" s="5"/>
      <c r="IVB1" s="5"/>
      <c r="IVC1" s="5"/>
      <c r="IVD1" s="5"/>
      <c r="IVE1" s="5"/>
      <c r="IVF1" s="5"/>
      <c r="IVG1" s="5"/>
      <c r="IVH1" s="5"/>
      <c r="IVI1" s="5"/>
      <c r="IVJ1" s="5"/>
      <c r="IVK1" s="5"/>
      <c r="IVL1" s="5"/>
      <c r="IVM1" s="5"/>
      <c r="IVN1" s="5"/>
      <c r="IVO1" s="5"/>
      <c r="IVP1" s="5"/>
      <c r="IVQ1" s="5"/>
      <c r="IVR1" s="5"/>
      <c r="IVS1" s="5"/>
      <c r="IVT1" s="5"/>
      <c r="IVU1" s="5"/>
      <c r="IVV1" s="5"/>
      <c r="IVW1" s="5"/>
      <c r="IVX1" s="5"/>
      <c r="IVY1" s="5"/>
      <c r="IVZ1" s="5"/>
      <c r="IWA1" s="5"/>
      <c r="IWB1" s="5"/>
      <c r="IWC1" s="5"/>
      <c r="IWD1" s="5"/>
      <c r="IWE1" s="5"/>
      <c r="IWF1" s="5"/>
      <c r="IWG1" s="5"/>
      <c r="IWH1" s="5"/>
      <c r="IWI1" s="5"/>
      <c r="IWJ1" s="5"/>
      <c r="IWK1" s="5"/>
      <c r="IWL1" s="5"/>
      <c r="IWM1" s="5"/>
      <c r="IWN1" s="5"/>
      <c r="IWO1" s="5"/>
      <c r="IWP1" s="5"/>
      <c r="IWQ1" s="5"/>
      <c r="IWR1" s="5"/>
      <c r="IWS1" s="5"/>
      <c r="IWT1" s="5"/>
      <c r="IWU1" s="5"/>
      <c r="IWV1" s="5"/>
      <c r="IWW1" s="5"/>
      <c r="IWX1" s="5"/>
      <c r="IWY1" s="5"/>
      <c r="IWZ1" s="5"/>
      <c r="IXA1" s="5"/>
      <c r="IXB1" s="5"/>
      <c r="IXC1" s="5"/>
      <c r="IXD1" s="5"/>
      <c r="IXE1" s="5"/>
      <c r="IXF1" s="5"/>
      <c r="IXG1" s="5"/>
      <c r="IXH1" s="5"/>
      <c r="IXI1" s="5"/>
      <c r="IXJ1" s="5"/>
      <c r="IXK1" s="5"/>
      <c r="IXL1" s="5"/>
      <c r="IXM1" s="5"/>
      <c r="IXN1" s="5"/>
      <c r="IXO1" s="5"/>
      <c r="IXP1" s="5"/>
      <c r="IXQ1" s="5"/>
      <c r="IXR1" s="5"/>
      <c r="IXS1" s="5"/>
      <c r="IXT1" s="5"/>
      <c r="IXU1" s="5"/>
      <c r="IXV1" s="5"/>
      <c r="IXW1" s="5"/>
      <c r="IXX1" s="5"/>
      <c r="IXY1" s="5"/>
      <c r="IXZ1" s="5"/>
      <c r="IYA1" s="5"/>
      <c r="IYB1" s="5"/>
      <c r="IYC1" s="5"/>
      <c r="IYD1" s="5"/>
      <c r="IYE1" s="5"/>
      <c r="IYF1" s="5"/>
      <c r="IYG1" s="5"/>
      <c r="IYH1" s="5"/>
      <c r="IYI1" s="5"/>
      <c r="IYJ1" s="5"/>
      <c r="IYK1" s="5"/>
      <c r="IYL1" s="5"/>
      <c r="IYM1" s="5"/>
      <c r="IYN1" s="5"/>
      <c r="IYO1" s="5"/>
      <c r="IYP1" s="5"/>
      <c r="IYQ1" s="5"/>
      <c r="IYR1" s="5"/>
      <c r="IYS1" s="5"/>
      <c r="IYT1" s="5"/>
      <c r="IYU1" s="5"/>
      <c r="IYV1" s="5"/>
      <c r="IYW1" s="5"/>
      <c r="IYX1" s="5"/>
      <c r="IYY1" s="5"/>
      <c r="IYZ1" s="5"/>
      <c r="IZA1" s="5"/>
      <c r="IZB1" s="5"/>
      <c r="IZC1" s="5"/>
      <c r="IZD1" s="5"/>
      <c r="IZE1" s="5"/>
      <c r="IZF1" s="5"/>
      <c r="IZG1" s="5"/>
      <c r="IZH1" s="5"/>
      <c r="IZI1" s="5"/>
      <c r="IZJ1" s="5"/>
      <c r="IZK1" s="5"/>
      <c r="IZL1" s="5"/>
      <c r="IZM1" s="5"/>
      <c r="IZN1" s="5"/>
      <c r="IZO1" s="5"/>
      <c r="IZP1" s="5"/>
      <c r="IZQ1" s="5"/>
      <c r="IZR1" s="5"/>
      <c r="IZS1" s="5"/>
      <c r="IZT1" s="5"/>
      <c r="IZU1" s="5"/>
      <c r="IZV1" s="5"/>
      <c r="IZW1" s="5"/>
      <c r="IZX1" s="5"/>
      <c r="IZY1" s="5"/>
      <c r="IZZ1" s="5"/>
      <c r="JAA1" s="5"/>
      <c r="JAB1" s="5"/>
      <c r="JAC1" s="5"/>
      <c r="JAD1" s="5"/>
      <c r="JAE1" s="5"/>
      <c r="JAF1" s="5"/>
      <c r="JAG1" s="5"/>
      <c r="JAH1" s="5"/>
      <c r="JAI1" s="5"/>
      <c r="JAJ1" s="5"/>
      <c r="JAK1" s="5"/>
      <c r="JAL1" s="5"/>
      <c r="JAM1" s="5"/>
      <c r="JAN1" s="5"/>
      <c r="JAO1" s="5"/>
      <c r="JAP1" s="5"/>
      <c r="JAQ1" s="5"/>
      <c r="JAR1" s="5"/>
      <c r="JAS1" s="5"/>
      <c r="JAT1" s="5"/>
      <c r="JAU1" s="5"/>
      <c r="JAV1" s="5"/>
      <c r="JAW1" s="5"/>
      <c r="JAX1" s="5"/>
      <c r="JAY1" s="5"/>
      <c r="JAZ1" s="5"/>
      <c r="JBA1" s="5"/>
      <c r="JBB1" s="5"/>
      <c r="JBC1" s="5"/>
      <c r="JBD1" s="5"/>
      <c r="JBE1" s="5"/>
      <c r="JBF1" s="5"/>
      <c r="JBG1" s="5"/>
      <c r="JBH1" s="5"/>
      <c r="JBI1" s="5"/>
      <c r="JBJ1" s="5"/>
      <c r="JBK1" s="5"/>
      <c r="JBL1" s="5"/>
      <c r="JBM1" s="5"/>
      <c r="JBN1" s="5"/>
      <c r="JBO1" s="5"/>
      <c r="JBP1" s="5"/>
      <c r="JBQ1" s="5"/>
      <c r="JBR1" s="5"/>
      <c r="JBS1" s="5"/>
      <c r="JBT1" s="5"/>
      <c r="JBU1" s="5"/>
      <c r="JBV1" s="5"/>
      <c r="JBW1" s="5"/>
      <c r="JBX1" s="5"/>
      <c r="JBY1" s="5"/>
      <c r="JBZ1" s="5"/>
      <c r="JCA1" s="5"/>
      <c r="JCB1" s="5"/>
      <c r="JCC1" s="5"/>
      <c r="JCD1" s="5"/>
      <c r="JCE1" s="5"/>
      <c r="JCF1" s="5"/>
      <c r="JCG1" s="5"/>
      <c r="JCH1" s="5"/>
      <c r="JCI1" s="5"/>
      <c r="JCJ1" s="5"/>
      <c r="JCK1" s="5"/>
      <c r="JCL1" s="5"/>
      <c r="JCM1" s="5"/>
      <c r="JCN1" s="5"/>
      <c r="JCO1" s="5"/>
      <c r="JCP1" s="5"/>
      <c r="JCQ1" s="5"/>
      <c r="JCR1" s="5"/>
      <c r="JCS1" s="5"/>
      <c r="JCT1" s="5"/>
      <c r="JCU1" s="5"/>
      <c r="JCV1" s="5"/>
      <c r="JCW1" s="5"/>
      <c r="JCX1" s="5"/>
      <c r="JCY1" s="5"/>
      <c r="JCZ1" s="5"/>
      <c r="JDA1" s="5"/>
      <c r="JDB1" s="5"/>
      <c r="JDC1" s="5"/>
      <c r="JDD1" s="5"/>
      <c r="JDE1" s="5"/>
      <c r="JDF1" s="5"/>
      <c r="JDG1" s="5"/>
      <c r="JDH1" s="5"/>
      <c r="JDI1" s="5"/>
      <c r="JDJ1" s="5"/>
      <c r="JDK1" s="5"/>
      <c r="JDL1" s="5"/>
      <c r="JDM1" s="5"/>
      <c r="JDN1" s="5"/>
      <c r="JDO1" s="5"/>
      <c r="JDP1" s="5"/>
      <c r="JDQ1" s="5"/>
      <c r="JDR1" s="5"/>
      <c r="JDS1" s="5"/>
      <c r="JDT1" s="5"/>
      <c r="JDU1" s="5"/>
      <c r="JDV1" s="5"/>
      <c r="JDW1" s="5"/>
      <c r="JDX1" s="5"/>
      <c r="JDY1" s="5"/>
      <c r="JDZ1" s="5"/>
      <c r="JEA1" s="5"/>
      <c r="JEB1" s="5"/>
      <c r="JEC1" s="5"/>
      <c r="JED1" s="5"/>
      <c r="JEE1" s="5"/>
      <c r="JEF1" s="5"/>
      <c r="JEG1" s="5"/>
      <c r="JEH1" s="5"/>
      <c r="JEI1" s="5"/>
      <c r="JEJ1" s="5"/>
      <c r="JEK1" s="5"/>
      <c r="JEL1" s="5"/>
      <c r="JEM1" s="5"/>
      <c r="JEN1" s="5"/>
      <c r="JEO1" s="5"/>
      <c r="JEP1" s="5"/>
      <c r="JEQ1" s="5"/>
      <c r="JER1" s="5"/>
      <c r="JES1" s="5"/>
      <c r="JET1" s="5"/>
      <c r="JEU1" s="5"/>
      <c r="JEV1" s="5"/>
      <c r="JEW1" s="5"/>
      <c r="JEX1" s="5"/>
      <c r="JEY1" s="5"/>
      <c r="JEZ1" s="5"/>
      <c r="JFA1" s="5"/>
      <c r="JFB1" s="5"/>
      <c r="JFC1" s="5"/>
      <c r="JFD1" s="5"/>
      <c r="JFE1" s="5"/>
      <c r="JFF1" s="5"/>
      <c r="JFG1" s="5"/>
      <c r="JFH1" s="5"/>
      <c r="JFI1" s="5"/>
      <c r="JFJ1" s="5"/>
      <c r="JFK1" s="5"/>
      <c r="JFL1" s="5"/>
      <c r="JFM1" s="5"/>
      <c r="JFN1" s="5"/>
      <c r="JFO1" s="5"/>
      <c r="JFP1" s="5"/>
      <c r="JFQ1" s="5"/>
      <c r="JFR1" s="5"/>
      <c r="JFS1" s="5"/>
      <c r="JFT1" s="5"/>
      <c r="JFU1" s="5"/>
      <c r="JFV1" s="5"/>
      <c r="JFW1" s="5"/>
      <c r="JFX1" s="5"/>
      <c r="JFY1" s="5"/>
      <c r="JFZ1" s="5"/>
      <c r="JGA1" s="5"/>
      <c r="JGB1" s="5"/>
      <c r="JGC1" s="5"/>
      <c r="JGD1" s="5"/>
      <c r="JGE1" s="5"/>
      <c r="JGF1" s="5"/>
      <c r="JGG1" s="5"/>
      <c r="JGH1" s="5"/>
      <c r="JGI1" s="5"/>
      <c r="JGJ1" s="5"/>
      <c r="JGK1" s="5"/>
      <c r="JGL1" s="5"/>
      <c r="JGM1" s="5"/>
      <c r="JGN1" s="5"/>
      <c r="JGO1" s="5"/>
      <c r="JGP1" s="5"/>
      <c r="JGQ1" s="5"/>
      <c r="JGR1" s="5"/>
      <c r="JGS1" s="5"/>
      <c r="JGT1" s="5"/>
      <c r="JGU1" s="5"/>
      <c r="JGV1" s="5"/>
      <c r="JGW1" s="5"/>
      <c r="JGX1" s="5"/>
      <c r="JGY1" s="5"/>
      <c r="JGZ1" s="5"/>
      <c r="JHA1" s="5"/>
      <c r="JHB1" s="5"/>
      <c r="JHC1" s="5"/>
      <c r="JHD1" s="5"/>
      <c r="JHE1" s="5"/>
      <c r="JHF1" s="5"/>
      <c r="JHG1" s="5"/>
      <c r="JHH1" s="5"/>
      <c r="JHI1" s="5"/>
      <c r="JHJ1" s="5"/>
      <c r="JHK1" s="5"/>
      <c r="JHL1" s="5"/>
      <c r="JHM1" s="5"/>
      <c r="JHN1" s="5"/>
      <c r="JHO1" s="5"/>
      <c r="JHP1" s="5"/>
      <c r="JHQ1" s="5"/>
      <c r="JHR1" s="5"/>
      <c r="JHS1" s="5"/>
      <c r="JHT1" s="5"/>
      <c r="JHU1" s="5"/>
      <c r="JHV1" s="5"/>
      <c r="JHW1" s="5"/>
      <c r="JHX1" s="5"/>
      <c r="JHY1" s="5"/>
      <c r="JHZ1" s="5"/>
      <c r="JIA1" s="5"/>
      <c r="JIB1" s="5"/>
      <c r="JIC1" s="5"/>
      <c r="JID1" s="5"/>
      <c r="JIE1" s="5"/>
      <c r="JIF1" s="5"/>
      <c r="JIG1" s="5"/>
      <c r="JIH1" s="5"/>
      <c r="JII1" s="5"/>
      <c r="JIJ1" s="5"/>
      <c r="JIK1" s="5"/>
      <c r="JIL1" s="5"/>
      <c r="JIM1" s="5"/>
      <c r="JIN1" s="5"/>
      <c r="JIO1" s="5"/>
      <c r="JIP1" s="5"/>
      <c r="JIQ1" s="5"/>
      <c r="JIR1" s="5"/>
      <c r="JIS1" s="5"/>
      <c r="JIT1" s="5"/>
      <c r="JIU1" s="5"/>
      <c r="JIV1" s="5"/>
      <c r="JIW1" s="5"/>
      <c r="JIX1" s="5"/>
      <c r="JIY1" s="5"/>
      <c r="JIZ1" s="5"/>
      <c r="JJA1" s="5"/>
      <c r="JJB1" s="5"/>
      <c r="JJC1" s="5"/>
      <c r="JJD1" s="5"/>
      <c r="JJE1" s="5"/>
      <c r="JJF1" s="5"/>
      <c r="JJG1" s="5"/>
      <c r="JJH1" s="5"/>
      <c r="JJI1" s="5"/>
      <c r="JJJ1" s="5"/>
      <c r="JJK1" s="5"/>
      <c r="JJL1" s="5"/>
      <c r="JJM1" s="5"/>
      <c r="JJN1" s="5"/>
      <c r="JJO1" s="5"/>
      <c r="JJP1" s="5"/>
      <c r="JJQ1" s="5"/>
      <c r="JJR1" s="5"/>
      <c r="JJS1" s="5"/>
      <c r="JJT1" s="5"/>
      <c r="JJU1" s="5"/>
      <c r="JJV1" s="5"/>
      <c r="JJW1" s="5"/>
      <c r="JJX1" s="5"/>
      <c r="JJY1" s="5"/>
      <c r="JJZ1" s="5"/>
      <c r="JKA1" s="5"/>
      <c r="JKB1" s="5"/>
      <c r="JKC1" s="5"/>
      <c r="JKD1" s="5"/>
      <c r="JKE1" s="5"/>
      <c r="JKF1" s="5"/>
      <c r="JKG1" s="5"/>
      <c r="JKH1" s="5"/>
      <c r="JKI1" s="5"/>
      <c r="JKJ1" s="5"/>
      <c r="JKK1" s="5"/>
      <c r="JKL1" s="5"/>
      <c r="JKM1" s="5"/>
      <c r="JKN1" s="5"/>
      <c r="JKO1" s="5"/>
      <c r="JKP1" s="5"/>
      <c r="JKQ1" s="5"/>
      <c r="JKR1" s="5"/>
      <c r="JKS1" s="5"/>
      <c r="JKT1" s="5"/>
      <c r="JKU1" s="5"/>
      <c r="JKV1" s="5"/>
      <c r="JKW1" s="5"/>
      <c r="JKX1" s="5"/>
      <c r="JKY1" s="5"/>
      <c r="JKZ1" s="5"/>
      <c r="JLA1" s="5"/>
      <c r="JLB1" s="5"/>
      <c r="JLC1" s="5"/>
      <c r="JLD1" s="5"/>
      <c r="JLE1" s="5"/>
      <c r="JLF1" s="5"/>
      <c r="JLG1" s="5"/>
      <c r="JLH1" s="5"/>
      <c r="JLI1" s="5"/>
      <c r="JLJ1" s="5"/>
      <c r="JLK1" s="5"/>
      <c r="JLL1" s="5"/>
      <c r="JLM1" s="5"/>
      <c r="JLN1" s="5"/>
      <c r="JLO1" s="5"/>
      <c r="JLP1" s="5"/>
      <c r="JLQ1" s="5"/>
      <c r="JLR1" s="5"/>
      <c r="JLS1" s="5"/>
      <c r="JLT1" s="5"/>
      <c r="JLU1" s="5"/>
      <c r="JLV1" s="5"/>
      <c r="JLW1" s="5"/>
      <c r="JLX1" s="5"/>
      <c r="JLY1" s="5"/>
      <c r="JLZ1" s="5"/>
      <c r="JMA1" s="5"/>
      <c r="JMB1" s="5"/>
      <c r="JMC1" s="5"/>
      <c r="JMD1" s="5"/>
      <c r="JME1" s="5"/>
      <c r="JMF1" s="5"/>
      <c r="JMG1" s="5"/>
      <c r="JMH1" s="5"/>
      <c r="JMI1" s="5"/>
      <c r="JMJ1" s="5"/>
      <c r="JMK1" s="5"/>
      <c r="JML1" s="5"/>
      <c r="JMM1" s="5"/>
      <c r="JMN1" s="5"/>
      <c r="JMO1" s="5"/>
      <c r="JMP1" s="5"/>
      <c r="JMQ1" s="5"/>
      <c r="JMR1" s="5"/>
      <c r="JMS1" s="5"/>
      <c r="JMT1" s="5"/>
      <c r="JMU1" s="5"/>
      <c r="JMV1" s="5"/>
      <c r="JMW1" s="5"/>
      <c r="JMX1" s="5"/>
      <c r="JMY1" s="5"/>
      <c r="JMZ1" s="5"/>
      <c r="JNA1" s="5"/>
      <c r="JNB1" s="5"/>
      <c r="JNC1" s="5"/>
      <c r="JND1" s="5"/>
      <c r="JNE1" s="5"/>
      <c r="JNF1" s="5"/>
      <c r="JNG1" s="5"/>
      <c r="JNH1" s="5"/>
      <c r="JNI1" s="5"/>
      <c r="JNJ1" s="5"/>
      <c r="JNK1" s="5"/>
      <c r="JNL1" s="5"/>
      <c r="JNM1" s="5"/>
      <c r="JNN1" s="5"/>
      <c r="JNO1" s="5"/>
      <c r="JNP1" s="5"/>
      <c r="JNQ1" s="5"/>
      <c r="JNR1" s="5"/>
      <c r="JNS1" s="5"/>
      <c r="JNT1" s="5"/>
      <c r="JNU1" s="5"/>
      <c r="JNV1" s="5"/>
      <c r="JNW1" s="5"/>
      <c r="JNX1" s="5"/>
      <c r="JNY1" s="5"/>
      <c r="JNZ1" s="5"/>
      <c r="JOA1" s="5"/>
      <c r="JOB1" s="5"/>
      <c r="JOC1" s="5"/>
      <c r="JOD1" s="5"/>
      <c r="JOE1" s="5"/>
      <c r="JOF1" s="5"/>
      <c r="JOG1" s="5"/>
      <c r="JOH1" s="5"/>
      <c r="JOI1" s="5"/>
      <c r="JOJ1" s="5"/>
      <c r="JOK1" s="5"/>
      <c r="JOL1" s="5"/>
      <c r="JOM1" s="5"/>
      <c r="JON1" s="5"/>
      <c r="JOO1" s="5"/>
      <c r="JOP1" s="5"/>
      <c r="JOQ1" s="5"/>
      <c r="JOR1" s="5"/>
      <c r="JOS1" s="5"/>
      <c r="JOT1" s="5"/>
      <c r="JOU1" s="5"/>
      <c r="JOV1" s="5"/>
      <c r="JOW1" s="5"/>
      <c r="JOX1" s="5"/>
      <c r="JOY1" s="5"/>
      <c r="JOZ1" s="5"/>
      <c r="JPA1" s="5"/>
      <c r="JPB1" s="5"/>
      <c r="JPC1" s="5"/>
      <c r="JPD1" s="5"/>
      <c r="JPE1" s="5"/>
      <c r="JPF1" s="5"/>
      <c r="JPG1" s="5"/>
      <c r="JPH1" s="5"/>
      <c r="JPI1" s="5"/>
      <c r="JPJ1" s="5"/>
      <c r="JPK1" s="5"/>
      <c r="JPL1" s="5"/>
      <c r="JPM1" s="5"/>
      <c r="JPN1" s="5"/>
      <c r="JPO1" s="5"/>
      <c r="JPP1" s="5"/>
      <c r="JPQ1" s="5"/>
      <c r="JPR1" s="5"/>
      <c r="JPS1" s="5"/>
      <c r="JPT1" s="5"/>
      <c r="JPU1" s="5"/>
      <c r="JPV1" s="5"/>
      <c r="JPW1" s="5"/>
      <c r="JPX1" s="5"/>
      <c r="JPY1" s="5"/>
      <c r="JPZ1" s="5"/>
      <c r="JQA1" s="5"/>
      <c r="JQB1" s="5"/>
      <c r="JQC1" s="5"/>
      <c r="JQD1" s="5"/>
      <c r="JQE1" s="5"/>
      <c r="JQF1" s="5"/>
      <c r="JQG1" s="5"/>
      <c r="JQH1" s="5"/>
      <c r="JQI1" s="5"/>
      <c r="JQJ1" s="5"/>
      <c r="JQK1" s="5"/>
      <c r="JQL1" s="5"/>
      <c r="JQM1" s="5"/>
      <c r="JQN1" s="5"/>
      <c r="JQO1" s="5"/>
      <c r="JQP1" s="5"/>
      <c r="JQQ1" s="5"/>
      <c r="JQR1" s="5"/>
      <c r="JQS1" s="5"/>
      <c r="JQT1" s="5"/>
      <c r="JQU1" s="5"/>
      <c r="JQV1" s="5"/>
      <c r="JQW1" s="5"/>
      <c r="JQX1" s="5"/>
      <c r="JQY1" s="5"/>
      <c r="JQZ1" s="5"/>
      <c r="JRA1" s="5"/>
      <c r="JRB1" s="5"/>
      <c r="JRC1" s="5"/>
      <c r="JRD1" s="5"/>
      <c r="JRE1" s="5"/>
      <c r="JRF1" s="5"/>
      <c r="JRG1" s="5"/>
      <c r="JRH1" s="5"/>
      <c r="JRI1" s="5"/>
      <c r="JRJ1" s="5"/>
      <c r="JRK1" s="5"/>
      <c r="JRL1" s="5"/>
      <c r="JRM1" s="5"/>
      <c r="JRN1" s="5"/>
      <c r="JRO1" s="5"/>
      <c r="JRP1" s="5"/>
      <c r="JRQ1" s="5"/>
      <c r="JRR1" s="5"/>
      <c r="JRS1" s="5"/>
      <c r="JRT1" s="5"/>
      <c r="JRU1" s="5"/>
      <c r="JRV1" s="5"/>
      <c r="JRW1" s="5"/>
      <c r="JRX1" s="5"/>
      <c r="JRY1" s="5"/>
      <c r="JRZ1" s="5"/>
      <c r="JSA1" s="5"/>
      <c r="JSB1" s="5"/>
      <c r="JSC1" s="5"/>
      <c r="JSD1" s="5"/>
      <c r="JSE1" s="5"/>
      <c r="JSF1" s="5"/>
      <c r="JSG1" s="5"/>
      <c r="JSH1" s="5"/>
      <c r="JSI1" s="5"/>
      <c r="JSJ1" s="5"/>
      <c r="JSK1" s="5"/>
      <c r="JSL1" s="5"/>
      <c r="JSM1" s="5"/>
      <c r="JSN1" s="5"/>
      <c r="JSO1" s="5"/>
      <c r="JSP1" s="5"/>
      <c r="JSQ1" s="5"/>
      <c r="JSR1" s="5"/>
      <c r="JSS1" s="5"/>
      <c r="JST1" s="5"/>
      <c r="JSU1" s="5"/>
      <c r="JSV1" s="5"/>
      <c r="JSW1" s="5"/>
      <c r="JSX1" s="5"/>
      <c r="JSY1" s="5"/>
      <c r="JSZ1" s="5"/>
      <c r="JTA1" s="5"/>
      <c r="JTB1" s="5"/>
      <c r="JTC1" s="5"/>
      <c r="JTD1" s="5"/>
      <c r="JTE1" s="5"/>
      <c r="JTF1" s="5"/>
      <c r="JTG1" s="5"/>
      <c r="JTH1" s="5"/>
      <c r="JTI1" s="5"/>
      <c r="JTJ1" s="5"/>
      <c r="JTK1" s="5"/>
      <c r="JTL1" s="5"/>
      <c r="JTM1" s="5"/>
      <c r="JTN1" s="5"/>
      <c r="JTO1" s="5"/>
      <c r="JTP1" s="5"/>
      <c r="JTQ1" s="5"/>
      <c r="JTR1" s="5"/>
      <c r="JTS1" s="5"/>
      <c r="JTT1" s="5"/>
      <c r="JTU1" s="5"/>
      <c r="JTV1" s="5"/>
      <c r="JTW1" s="5"/>
      <c r="JTX1" s="5"/>
      <c r="JTY1" s="5"/>
      <c r="JTZ1" s="5"/>
      <c r="JUA1" s="5"/>
      <c r="JUB1" s="5"/>
      <c r="JUC1" s="5"/>
      <c r="JUD1" s="5"/>
      <c r="JUE1" s="5"/>
      <c r="JUF1" s="5"/>
      <c r="JUG1" s="5"/>
      <c r="JUH1" s="5"/>
      <c r="JUI1" s="5"/>
      <c r="JUJ1" s="5"/>
      <c r="JUK1" s="5"/>
      <c r="JUL1" s="5"/>
      <c r="JUM1" s="5"/>
      <c r="JUN1" s="5"/>
      <c r="JUO1" s="5"/>
      <c r="JUP1" s="5"/>
      <c r="JUQ1" s="5"/>
      <c r="JUR1" s="5"/>
      <c r="JUS1" s="5"/>
      <c r="JUT1" s="5"/>
      <c r="JUU1" s="5"/>
      <c r="JUV1" s="5"/>
      <c r="JUW1" s="5"/>
      <c r="JUX1" s="5"/>
      <c r="JUY1" s="5"/>
      <c r="JUZ1" s="5"/>
      <c r="JVA1" s="5"/>
      <c r="JVB1" s="5"/>
      <c r="JVC1" s="5"/>
      <c r="JVD1" s="5"/>
      <c r="JVE1" s="5"/>
      <c r="JVF1" s="5"/>
      <c r="JVG1" s="5"/>
      <c r="JVH1" s="5"/>
      <c r="JVI1" s="5"/>
      <c r="JVJ1" s="5"/>
      <c r="JVK1" s="5"/>
      <c r="JVL1" s="5"/>
      <c r="JVM1" s="5"/>
      <c r="JVN1" s="5"/>
      <c r="JVO1" s="5"/>
      <c r="JVP1" s="5"/>
      <c r="JVQ1" s="5"/>
      <c r="JVR1" s="5"/>
      <c r="JVS1" s="5"/>
      <c r="JVT1" s="5"/>
      <c r="JVU1" s="5"/>
      <c r="JVV1" s="5"/>
      <c r="JVW1" s="5"/>
      <c r="JVX1" s="5"/>
      <c r="JVY1" s="5"/>
      <c r="JVZ1" s="5"/>
      <c r="JWA1" s="5"/>
      <c r="JWB1" s="5"/>
      <c r="JWC1" s="5"/>
      <c r="JWD1" s="5"/>
      <c r="JWE1" s="5"/>
      <c r="JWF1" s="5"/>
      <c r="JWG1" s="5"/>
      <c r="JWH1" s="5"/>
      <c r="JWI1" s="5"/>
      <c r="JWJ1" s="5"/>
      <c r="JWK1" s="5"/>
      <c r="JWL1" s="5"/>
      <c r="JWM1" s="5"/>
      <c r="JWN1" s="5"/>
      <c r="JWO1" s="5"/>
      <c r="JWP1" s="5"/>
      <c r="JWQ1" s="5"/>
      <c r="JWR1" s="5"/>
      <c r="JWS1" s="5"/>
      <c r="JWT1" s="5"/>
      <c r="JWU1" s="5"/>
      <c r="JWV1" s="5"/>
      <c r="JWW1" s="5"/>
      <c r="JWX1" s="5"/>
      <c r="JWY1" s="5"/>
      <c r="JWZ1" s="5"/>
      <c r="JXA1" s="5"/>
      <c r="JXB1" s="5"/>
      <c r="JXC1" s="5"/>
      <c r="JXD1" s="5"/>
      <c r="JXE1" s="5"/>
      <c r="JXF1" s="5"/>
      <c r="JXG1" s="5"/>
      <c r="JXH1" s="5"/>
      <c r="JXI1" s="5"/>
      <c r="JXJ1" s="5"/>
      <c r="JXK1" s="5"/>
      <c r="JXL1" s="5"/>
      <c r="JXM1" s="5"/>
      <c r="JXN1" s="5"/>
      <c r="JXO1" s="5"/>
      <c r="JXP1" s="5"/>
      <c r="JXQ1" s="5"/>
      <c r="JXR1" s="5"/>
      <c r="JXS1" s="5"/>
      <c r="JXT1" s="5"/>
      <c r="JXU1" s="5"/>
      <c r="JXV1" s="5"/>
      <c r="JXW1" s="5"/>
      <c r="JXX1" s="5"/>
      <c r="JXY1" s="5"/>
      <c r="JXZ1" s="5"/>
      <c r="JYA1" s="5"/>
      <c r="JYB1" s="5"/>
      <c r="JYC1" s="5"/>
      <c r="JYD1" s="5"/>
      <c r="JYE1" s="5"/>
      <c r="JYF1" s="5"/>
      <c r="JYG1" s="5"/>
      <c r="JYH1" s="5"/>
      <c r="JYI1" s="5"/>
      <c r="JYJ1" s="5"/>
      <c r="JYK1" s="5"/>
      <c r="JYL1" s="5"/>
      <c r="JYM1" s="5"/>
      <c r="JYN1" s="5"/>
      <c r="JYO1" s="5"/>
      <c r="JYP1" s="5"/>
      <c r="JYQ1" s="5"/>
      <c r="JYR1" s="5"/>
      <c r="JYS1" s="5"/>
      <c r="JYT1" s="5"/>
      <c r="JYU1" s="5"/>
      <c r="JYV1" s="5"/>
      <c r="JYW1" s="5"/>
      <c r="JYX1" s="5"/>
      <c r="JYY1" s="5"/>
      <c r="JYZ1" s="5"/>
      <c r="JZA1" s="5"/>
      <c r="JZB1" s="5"/>
      <c r="JZC1" s="5"/>
      <c r="JZD1" s="5"/>
      <c r="JZE1" s="5"/>
      <c r="JZF1" s="5"/>
      <c r="JZG1" s="5"/>
      <c r="JZH1" s="5"/>
      <c r="JZI1" s="5"/>
      <c r="JZJ1" s="5"/>
      <c r="JZK1" s="5"/>
      <c r="JZL1" s="5"/>
      <c r="JZM1" s="5"/>
      <c r="JZN1" s="5"/>
      <c r="JZO1" s="5"/>
      <c r="JZP1" s="5"/>
      <c r="JZQ1" s="5"/>
      <c r="JZR1" s="5"/>
      <c r="JZS1" s="5"/>
      <c r="JZT1" s="5"/>
      <c r="JZU1" s="5"/>
      <c r="JZV1" s="5"/>
      <c r="JZW1" s="5"/>
      <c r="JZX1" s="5"/>
      <c r="JZY1" s="5"/>
      <c r="JZZ1" s="5"/>
      <c r="KAA1" s="5"/>
      <c r="KAB1" s="5"/>
      <c r="KAC1" s="5"/>
      <c r="KAD1" s="5"/>
      <c r="KAE1" s="5"/>
      <c r="KAF1" s="5"/>
      <c r="KAG1" s="5"/>
      <c r="KAH1" s="5"/>
      <c r="KAI1" s="5"/>
      <c r="KAJ1" s="5"/>
      <c r="KAK1" s="5"/>
      <c r="KAL1" s="5"/>
      <c r="KAM1" s="5"/>
      <c r="KAN1" s="5"/>
      <c r="KAO1" s="5"/>
      <c r="KAP1" s="5"/>
      <c r="KAQ1" s="5"/>
      <c r="KAR1" s="5"/>
      <c r="KAS1" s="5"/>
      <c r="KAT1" s="5"/>
      <c r="KAU1" s="5"/>
      <c r="KAV1" s="5"/>
      <c r="KAW1" s="5"/>
      <c r="KAX1" s="5"/>
      <c r="KAY1" s="5"/>
      <c r="KAZ1" s="5"/>
      <c r="KBA1" s="5"/>
      <c r="KBB1" s="5"/>
      <c r="KBC1" s="5"/>
      <c r="KBD1" s="5"/>
      <c r="KBE1" s="5"/>
      <c r="KBF1" s="5"/>
      <c r="KBG1" s="5"/>
      <c r="KBH1" s="5"/>
      <c r="KBI1" s="5"/>
      <c r="KBJ1" s="5"/>
      <c r="KBK1" s="5"/>
      <c r="KBL1" s="5"/>
      <c r="KBM1" s="5"/>
      <c r="KBN1" s="5"/>
      <c r="KBO1" s="5"/>
      <c r="KBP1" s="5"/>
      <c r="KBQ1" s="5"/>
      <c r="KBR1" s="5"/>
      <c r="KBS1" s="5"/>
      <c r="KBT1" s="5"/>
      <c r="KBU1" s="5"/>
      <c r="KBV1" s="5"/>
      <c r="KBW1" s="5"/>
      <c r="KBX1" s="5"/>
      <c r="KBY1" s="5"/>
      <c r="KBZ1" s="5"/>
      <c r="KCA1" s="5"/>
      <c r="KCB1" s="5"/>
      <c r="KCC1" s="5"/>
      <c r="KCD1" s="5"/>
      <c r="KCE1" s="5"/>
      <c r="KCF1" s="5"/>
      <c r="KCG1" s="5"/>
      <c r="KCH1" s="5"/>
      <c r="KCI1" s="5"/>
      <c r="KCJ1" s="5"/>
      <c r="KCK1" s="5"/>
      <c r="KCL1" s="5"/>
      <c r="KCM1" s="5"/>
      <c r="KCN1" s="5"/>
      <c r="KCO1" s="5"/>
      <c r="KCP1" s="5"/>
      <c r="KCQ1" s="5"/>
      <c r="KCR1" s="5"/>
      <c r="KCS1" s="5"/>
      <c r="KCT1" s="5"/>
      <c r="KCU1" s="5"/>
      <c r="KCV1" s="5"/>
      <c r="KCW1" s="5"/>
      <c r="KCX1" s="5"/>
      <c r="KCY1" s="5"/>
      <c r="KCZ1" s="5"/>
      <c r="KDA1" s="5"/>
      <c r="KDB1" s="5"/>
      <c r="KDC1" s="5"/>
      <c r="KDD1" s="5"/>
      <c r="KDE1" s="5"/>
      <c r="KDF1" s="5"/>
      <c r="KDG1" s="5"/>
      <c r="KDH1" s="5"/>
      <c r="KDI1" s="5"/>
      <c r="KDJ1" s="5"/>
      <c r="KDK1" s="5"/>
      <c r="KDL1" s="5"/>
      <c r="KDM1" s="5"/>
      <c r="KDN1" s="5"/>
      <c r="KDO1" s="5"/>
      <c r="KDP1" s="5"/>
      <c r="KDQ1" s="5"/>
      <c r="KDR1" s="5"/>
      <c r="KDS1" s="5"/>
      <c r="KDT1" s="5"/>
      <c r="KDU1" s="5"/>
      <c r="KDV1" s="5"/>
      <c r="KDW1" s="5"/>
      <c r="KDX1" s="5"/>
      <c r="KDY1" s="5"/>
      <c r="KDZ1" s="5"/>
      <c r="KEA1" s="5"/>
      <c r="KEB1" s="5"/>
      <c r="KEC1" s="5"/>
      <c r="KED1" s="5"/>
      <c r="KEE1" s="5"/>
      <c r="KEF1" s="5"/>
      <c r="KEG1" s="5"/>
      <c r="KEH1" s="5"/>
      <c r="KEI1" s="5"/>
      <c r="KEJ1" s="5"/>
      <c r="KEK1" s="5"/>
      <c r="KEL1" s="5"/>
      <c r="KEM1" s="5"/>
      <c r="KEN1" s="5"/>
      <c r="KEO1" s="5"/>
      <c r="KEP1" s="5"/>
      <c r="KEQ1" s="5"/>
      <c r="KER1" s="5"/>
      <c r="KES1" s="5"/>
      <c r="KET1" s="5"/>
      <c r="KEU1" s="5"/>
      <c r="KEV1" s="5"/>
      <c r="KEW1" s="5"/>
      <c r="KEX1" s="5"/>
      <c r="KEY1" s="5"/>
      <c r="KEZ1" s="5"/>
      <c r="KFA1" s="5"/>
      <c r="KFB1" s="5"/>
      <c r="KFC1" s="5"/>
      <c r="KFD1" s="5"/>
      <c r="KFE1" s="5"/>
      <c r="KFF1" s="5"/>
      <c r="KFG1" s="5"/>
      <c r="KFH1" s="5"/>
      <c r="KFI1" s="5"/>
      <c r="KFJ1" s="5"/>
      <c r="KFK1" s="5"/>
      <c r="KFL1" s="5"/>
      <c r="KFM1" s="5"/>
      <c r="KFN1" s="5"/>
      <c r="KFO1" s="5"/>
      <c r="KFP1" s="5"/>
      <c r="KFQ1" s="5"/>
      <c r="KFR1" s="5"/>
      <c r="KFS1" s="5"/>
      <c r="KFT1" s="5"/>
      <c r="KFU1" s="5"/>
      <c r="KFV1" s="5"/>
      <c r="KFW1" s="5"/>
      <c r="KFX1" s="5"/>
      <c r="KFY1" s="5"/>
      <c r="KFZ1" s="5"/>
      <c r="KGA1" s="5"/>
      <c r="KGB1" s="5"/>
      <c r="KGC1" s="5"/>
      <c r="KGD1" s="5"/>
      <c r="KGE1" s="5"/>
      <c r="KGF1" s="5"/>
      <c r="KGG1" s="5"/>
      <c r="KGH1" s="5"/>
      <c r="KGI1" s="5"/>
      <c r="KGJ1" s="5"/>
      <c r="KGK1" s="5"/>
      <c r="KGL1" s="5"/>
      <c r="KGM1" s="5"/>
      <c r="KGN1" s="5"/>
      <c r="KGO1" s="5"/>
      <c r="KGP1" s="5"/>
      <c r="KGQ1" s="5"/>
      <c r="KGR1" s="5"/>
      <c r="KGS1" s="5"/>
      <c r="KGT1" s="5"/>
      <c r="KGU1" s="5"/>
      <c r="KGV1" s="5"/>
      <c r="KGW1" s="5"/>
      <c r="KGX1" s="5"/>
      <c r="KGY1" s="5"/>
      <c r="KGZ1" s="5"/>
      <c r="KHA1" s="5"/>
      <c r="KHB1" s="5"/>
      <c r="KHC1" s="5"/>
      <c r="KHD1" s="5"/>
      <c r="KHE1" s="5"/>
      <c r="KHF1" s="5"/>
      <c r="KHG1" s="5"/>
      <c r="KHH1" s="5"/>
      <c r="KHI1" s="5"/>
      <c r="KHJ1" s="5"/>
      <c r="KHK1" s="5"/>
      <c r="KHL1" s="5"/>
      <c r="KHM1" s="5"/>
      <c r="KHN1" s="5"/>
      <c r="KHO1" s="5"/>
      <c r="KHP1" s="5"/>
      <c r="KHQ1" s="5"/>
      <c r="KHR1" s="5"/>
      <c r="KHS1" s="5"/>
      <c r="KHT1" s="5"/>
      <c r="KHU1" s="5"/>
      <c r="KHV1" s="5"/>
      <c r="KHW1" s="5"/>
      <c r="KHX1" s="5"/>
      <c r="KHY1" s="5"/>
      <c r="KHZ1" s="5"/>
      <c r="KIA1" s="5"/>
      <c r="KIB1" s="5"/>
      <c r="KIC1" s="5"/>
      <c r="KID1" s="5"/>
      <c r="KIE1" s="5"/>
      <c r="KIF1" s="5"/>
      <c r="KIG1" s="5"/>
      <c r="KIH1" s="5"/>
      <c r="KII1" s="5"/>
      <c r="KIJ1" s="5"/>
      <c r="KIK1" s="5"/>
      <c r="KIL1" s="5"/>
      <c r="KIM1" s="5"/>
      <c r="KIN1" s="5"/>
      <c r="KIO1" s="5"/>
      <c r="KIP1" s="5"/>
      <c r="KIQ1" s="5"/>
      <c r="KIR1" s="5"/>
      <c r="KIS1" s="5"/>
      <c r="KIT1" s="5"/>
      <c r="KIU1" s="5"/>
      <c r="KIV1" s="5"/>
      <c r="KIW1" s="5"/>
      <c r="KIX1" s="5"/>
      <c r="KIY1" s="5"/>
      <c r="KIZ1" s="5"/>
      <c r="KJA1" s="5"/>
      <c r="KJB1" s="5"/>
      <c r="KJC1" s="5"/>
      <c r="KJD1" s="5"/>
      <c r="KJE1" s="5"/>
      <c r="KJF1" s="5"/>
      <c r="KJG1" s="5"/>
      <c r="KJH1" s="5"/>
      <c r="KJI1" s="5"/>
      <c r="KJJ1" s="5"/>
      <c r="KJK1" s="5"/>
      <c r="KJL1" s="5"/>
      <c r="KJM1" s="5"/>
      <c r="KJN1" s="5"/>
      <c r="KJO1" s="5"/>
      <c r="KJP1" s="5"/>
      <c r="KJQ1" s="5"/>
      <c r="KJR1" s="5"/>
      <c r="KJS1" s="5"/>
      <c r="KJT1" s="5"/>
      <c r="KJU1" s="5"/>
      <c r="KJV1" s="5"/>
      <c r="KJW1" s="5"/>
      <c r="KJX1" s="5"/>
      <c r="KJY1" s="5"/>
      <c r="KJZ1" s="5"/>
      <c r="KKA1" s="5"/>
      <c r="KKB1" s="5"/>
      <c r="KKC1" s="5"/>
      <c r="KKD1" s="5"/>
      <c r="KKE1" s="5"/>
      <c r="KKF1" s="5"/>
      <c r="KKG1" s="5"/>
      <c r="KKH1" s="5"/>
      <c r="KKI1" s="5"/>
      <c r="KKJ1" s="5"/>
      <c r="KKK1" s="5"/>
      <c r="KKL1" s="5"/>
      <c r="KKM1" s="5"/>
      <c r="KKN1" s="5"/>
      <c r="KKO1" s="5"/>
      <c r="KKP1" s="5"/>
      <c r="KKQ1" s="5"/>
      <c r="KKR1" s="5"/>
      <c r="KKS1" s="5"/>
      <c r="KKT1" s="5"/>
      <c r="KKU1" s="5"/>
      <c r="KKV1" s="5"/>
      <c r="KKW1" s="5"/>
      <c r="KKX1" s="5"/>
      <c r="KKY1" s="5"/>
      <c r="KKZ1" s="5"/>
      <c r="KLA1" s="5"/>
      <c r="KLB1" s="5"/>
      <c r="KLC1" s="5"/>
      <c r="KLD1" s="5"/>
      <c r="KLE1" s="5"/>
      <c r="KLF1" s="5"/>
      <c r="KLG1" s="5"/>
      <c r="KLH1" s="5"/>
      <c r="KLI1" s="5"/>
      <c r="KLJ1" s="5"/>
      <c r="KLK1" s="5"/>
      <c r="KLL1" s="5"/>
      <c r="KLM1" s="5"/>
      <c r="KLN1" s="5"/>
      <c r="KLO1" s="5"/>
      <c r="KLP1" s="5"/>
      <c r="KLQ1" s="5"/>
      <c r="KLR1" s="5"/>
      <c r="KLS1" s="5"/>
      <c r="KLT1" s="5"/>
      <c r="KLU1" s="5"/>
      <c r="KLV1" s="5"/>
      <c r="KLW1" s="5"/>
      <c r="KLX1" s="5"/>
      <c r="KLY1" s="5"/>
      <c r="KLZ1" s="5"/>
      <c r="KMA1" s="5"/>
      <c r="KMB1" s="5"/>
      <c r="KMC1" s="5"/>
      <c r="KMD1" s="5"/>
      <c r="KME1" s="5"/>
      <c r="KMF1" s="5"/>
      <c r="KMG1" s="5"/>
      <c r="KMH1" s="5"/>
      <c r="KMI1" s="5"/>
      <c r="KMJ1" s="5"/>
      <c r="KMK1" s="5"/>
      <c r="KML1" s="5"/>
      <c r="KMM1" s="5"/>
      <c r="KMN1" s="5"/>
      <c r="KMO1" s="5"/>
      <c r="KMP1" s="5"/>
      <c r="KMQ1" s="5"/>
      <c r="KMR1" s="5"/>
      <c r="KMS1" s="5"/>
      <c r="KMT1" s="5"/>
      <c r="KMU1" s="5"/>
      <c r="KMV1" s="5"/>
      <c r="KMW1" s="5"/>
      <c r="KMX1" s="5"/>
      <c r="KMY1" s="5"/>
      <c r="KMZ1" s="5"/>
      <c r="KNA1" s="5"/>
      <c r="KNB1" s="5"/>
      <c r="KNC1" s="5"/>
      <c r="KND1" s="5"/>
      <c r="KNE1" s="5"/>
      <c r="KNF1" s="5"/>
      <c r="KNG1" s="5"/>
      <c r="KNH1" s="5"/>
      <c r="KNI1" s="5"/>
      <c r="KNJ1" s="5"/>
      <c r="KNK1" s="5"/>
      <c r="KNL1" s="5"/>
      <c r="KNM1" s="5"/>
      <c r="KNN1" s="5"/>
      <c r="KNO1" s="5"/>
      <c r="KNP1" s="5"/>
      <c r="KNQ1" s="5"/>
      <c r="KNR1" s="5"/>
      <c r="KNS1" s="5"/>
      <c r="KNT1" s="5"/>
      <c r="KNU1" s="5"/>
      <c r="KNV1" s="5"/>
      <c r="KNW1" s="5"/>
      <c r="KNX1" s="5"/>
      <c r="KNY1" s="5"/>
      <c r="KNZ1" s="5"/>
      <c r="KOA1" s="5"/>
      <c r="KOB1" s="5"/>
      <c r="KOC1" s="5"/>
      <c r="KOD1" s="5"/>
      <c r="KOE1" s="5"/>
      <c r="KOF1" s="5"/>
      <c r="KOG1" s="5"/>
      <c r="KOH1" s="5"/>
      <c r="KOI1" s="5"/>
      <c r="KOJ1" s="5"/>
      <c r="KOK1" s="5"/>
      <c r="KOL1" s="5"/>
      <c r="KOM1" s="5"/>
      <c r="KON1" s="5"/>
      <c r="KOO1" s="5"/>
      <c r="KOP1" s="5"/>
      <c r="KOQ1" s="5"/>
      <c r="KOR1" s="5"/>
      <c r="KOS1" s="5"/>
      <c r="KOT1" s="5"/>
      <c r="KOU1" s="5"/>
      <c r="KOV1" s="5"/>
      <c r="KOW1" s="5"/>
      <c r="KOX1" s="5"/>
      <c r="KOY1" s="5"/>
      <c r="KOZ1" s="5"/>
      <c r="KPA1" s="5"/>
      <c r="KPB1" s="5"/>
      <c r="KPC1" s="5"/>
      <c r="KPD1" s="5"/>
      <c r="KPE1" s="5"/>
      <c r="KPF1" s="5"/>
      <c r="KPG1" s="5"/>
      <c r="KPH1" s="5"/>
      <c r="KPI1" s="5"/>
      <c r="KPJ1" s="5"/>
      <c r="KPK1" s="5"/>
      <c r="KPL1" s="5"/>
      <c r="KPM1" s="5"/>
      <c r="KPN1" s="5"/>
      <c r="KPO1" s="5"/>
      <c r="KPP1" s="5"/>
      <c r="KPQ1" s="5"/>
      <c r="KPR1" s="5"/>
      <c r="KPS1" s="5"/>
      <c r="KPT1" s="5"/>
      <c r="KPU1" s="5"/>
      <c r="KPV1" s="5"/>
      <c r="KPW1" s="5"/>
      <c r="KPX1" s="5"/>
      <c r="KPY1" s="5"/>
      <c r="KPZ1" s="5"/>
      <c r="KQA1" s="5"/>
      <c r="KQB1" s="5"/>
      <c r="KQC1" s="5"/>
      <c r="KQD1" s="5"/>
      <c r="KQE1" s="5"/>
      <c r="KQF1" s="5"/>
      <c r="KQG1" s="5"/>
      <c r="KQH1" s="5"/>
      <c r="KQI1" s="5"/>
      <c r="KQJ1" s="5"/>
      <c r="KQK1" s="5"/>
      <c r="KQL1" s="5"/>
      <c r="KQM1" s="5"/>
      <c r="KQN1" s="5"/>
      <c r="KQO1" s="5"/>
      <c r="KQP1" s="5"/>
      <c r="KQQ1" s="5"/>
      <c r="KQR1" s="5"/>
      <c r="KQS1" s="5"/>
      <c r="KQT1" s="5"/>
      <c r="KQU1" s="5"/>
      <c r="KQV1" s="5"/>
      <c r="KQW1" s="5"/>
      <c r="KQX1" s="5"/>
      <c r="KQY1" s="5"/>
      <c r="KQZ1" s="5"/>
      <c r="KRA1" s="5"/>
      <c r="KRB1" s="5"/>
      <c r="KRC1" s="5"/>
      <c r="KRD1" s="5"/>
      <c r="KRE1" s="5"/>
      <c r="KRF1" s="5"/>
      <c r="KRG1" s="5"/>
      <c r="KRH1" s="5"/>
      <c r="KRI1" s="5"/>
      <c r="KRJ1" s="5"/>
      <c r="KRK1" s="5"/>
      <c r="KRL1" s="5"/>
      <c r="KRM1" s="5"/>
      <c r="KRN1" s="5"/>
      <c r="KRO1" s="5"/>
      <c r="KRP1" s="5"/>
      <c r="KRQ1" s="5"/>
      <c r="KRR1" s="5"/>
      <c r="KRS1" s="5"/>
      <c r="KRT1" s="5"/>
      <c r="KRU1" s="5"/>
      <c r="KRV1" s="5"/>
      <c r="KRW1" s="5"/>
      <c r="KRX1" s="5"/>
      <c r="KRY1" s="5"/>
      <c r="KRZ1" s="5"/>
      <c r="KSA1" s="5"/>
      <c r="KSB1" s="5"/>
      <c r="KSC1" s="5"/>
      <c r="KSD1" s="5"/>
      <c r="KSE1" s="5"/>
      <c r="KSF1" s="5"/>
      <c r="KSG1" s="5"/>
      <c r="KSH1" s="5"/>
      <c r="KSI1" s="5"/>
      <c r="KSJ1" s="5"/>
      <c r="KSK1" s="5"/>
      <c r="KSL1" s="5"/>
      <c r="KSM1" s="5"/>
      <c r="KSN1" s="5"/>
      <c r="KSO1" s="5"/>
      <c r="KSP1" s="5"/>
      <c r="KSQ1" s="5"/>
      <c r="KSR1" s="5"/>
      <c r="KSS1" s="5"/>
      <c r="KST1" s="5"/>
      <c r="KSU1" s="5"/>
      <c r="KSV1" s="5"/>
      <c r="KSW1" s="5"/>
      <c r="KSX1" s="5"/>
      <c r="KSY1" s="5"/>
      <c r="KSZ1" s="5"/>
      <c r="KTA1" s="5"/>
      <c r="KTB1" s="5"/>
      <c r="KTC1" s="5"/>
      <c r="KTD1" s="5"/>
      <c r="KTE1" s="5"/>
      <c r="KTF1" s="5"/>
      <c r="KTG1" s="5"/>
      <c r="KTH1" s="5"/>
      <c r="KTI1" s="5"/>
      <c r="KTJ1" s="5"/>
      <c r="KTK1" s="5"/>
      <c r="KTL1" s="5"/>
      <c r="KTM1" s="5"/>
      <c r="KTN1" s="5"/>
      <c r="KTO1" s="5"/>
      <c r="KTP1" s="5"/>
      <c r="KTQ1" s="5"/>
      <c r="KTR1" s="5"/>
      <c r="KTS1" s="5"/>
      <c r="KTT1" s="5"/>
      <c r="KTU1" s="5"/>
      <c r="KTV1" s="5"/>
      <c r="KTW1" s="5"/>
      <c r="KTX1" s="5"/>
      <c r="KTY1" s="5"/>
      <c r="KTZ1" s="5"/>
      <c r="KUA1" s="5"/>
      <c r="KUB1" s="5"/>
      <c r="KUC1" s="5"/>
      <c r="KUD1" s="5"/>
      <c r="KUE1" s="5"/>
      <c r="KUF1" s="5"/>
      <c r="KUG1" s="5"/>
      <c r="KUH1" s="5"/>
      <c r="KUI1" s="5"/>
      <c r="KUJ1" s="5"/>
      <c r="KUK1" s="5"/>
      <c r="KUL1" s="5"/>
      <c r="KUM1" s="5"/>
      <c r="KUN1" s="5"/>
      <c r="KUO1" s="5"/>
      <c r="KUP1" s="5"/>
      <c r="KUQ1" s="5"/>
      <c r="KUR1" s="5"/>
      <c r="KUS1" s="5"/>
      <c r="KUT1" s="5"/>
      <c r="KUU1" s="5"/>
      <c r="KUV1" s="5"/>
      <c r="KUW1" s="5"/>
      <c r="KUX1" s="5"/>
      <c r="KUY1" s="5"/>
      <c r="KUZ1" s="5"/>
      <c r="KVA1" s="5"/>
      <c r="KVB1" s="5"/>
      <c r="KVC1" s="5"/>
      <c r="KVD1" s="5"/>
      <c r="KVE1" s="5"/>
      <c r="KVF1" s="5"/>
      <c r="KVG1" s="5"/>
      <c r="KVH1" s="5"/>
      <c r="KVI1" s="5"/>
      <c r="KVJ1" s="5"/>
      <c r="KVK1" s="5"/>
      <c r="KVL1" s="5"/>
      <c r="KVM1" s="5"/>
      <c r="KVN1" s="5"/>
      <c r="KVO1" s="5"/>
      <c r="KVP1" s="5"/>
      <c r="KVQ1" s="5"/>
      <c r="KVR1" s="5"/>
      <c r="KVS1" s="5"/>
      <c r="KVT1" s="5"/>
      <c r="KVU1" s="5"/>
      <c r="KVV1" s="5"/>
      <c r="KVW1" s="5"/>
      <c r="KVX1" s="5"/>
      <c r="KVY1" s="5"/>
      <c r="KVZ1" s="5"/>
      <c r="KWA1" s="5"/>
      <c r="KWB1" s="5"/>
      <c r="KWC1" s="5"/>
      <c r="KWD1" s="5"/>
      <c r="KWE1" s="5"/>
      <c r="KWF1" s="5"/>
      <c r="KWG1" s="5"/>
      <c r="KWH1" s="5"/>
      <c r="KWI1" s="5"/>
      <c r="KWJ1" s="5"/>
      <c r="KWK1" s="5"/>
      <c r="KWL1" s="5"/>
      <c r="KWM1" s="5"/>
      <c r="KWN1" s="5"/>
      <c r="KWO1" s="5"/>
      <c r="KWP1" s="5"/>
      <c r="KWQ1" s="5"/>
      <c r="KWR1" s="5"/>
      <c r="KWS1" s="5"/>
      <c r="KWT1" s="5"/>
      <c r="KWU1" s="5"/>
      <c r="KWV1" s="5"/>
      <c r="KWW1" s="5"/>
      <c r="KWX1" s="5"/>
      <c r="KWY1" s="5"/>
      <c r="KWZ1" s="5"/>
      <c r="KXA1" s="5"/>
      <c r="KXB1" s="5"/>
      <c r="KXC1" s="5"/>
      <c r="KXD1" s="5"/>
      <c r="KXE1" s="5"/>
      <c r="KXF1" s="5"/>
      <c r="KXG1" s="5"/>
      <c r="KXH1" s="5"/>
      <c r="KXI1" s="5"/>
      <c r="KXJ1" s="5"/>
      <c r="KXK1" s="5"/>
      <c r="KXL1" s="5"/>
      <c r="KXM1" s="5"/>
      <c r="KXN1" s="5"/>
      <c r="KXO1" s="5"/>
      <c r="KXP1" s="5"/>
      <c r="KXQ1" s="5"/>
      <c r="KXR1" s="5"/>
      <c r="KXS1" s="5"/>
      <c r="KXT1" s="5"/>
      <c r="KXU1" s="5"/>
      <c r="KXV1" s="5"/>
      <c r="KXW1" s="5"/>
      <c r="KXX1" s="5"/>
      <c r="KXY1" s="5"/>
      <c r="KXZ1" s="5"/>
      <c r="KYA1" s="5"/>
      <c r="KYB1" s="5"/>
      <c r="KYC1" s="5"/>
      <c r="KYD1" s="5"/>
      <c r="KYE1" s="5"/>
      <c r="KYF1" s="5"/>
      <c r="KYG1" s="5"/>
      <c r="KYH1" s="5"/>
      <c r="KYI1" s="5"/>
      <c r="KYJ1" s="5"/>
      <c r="KYK1" s="5"/>
      <c r="KYL1" s="5"/>
      <c r="KYM1" s="5"/>
      <c r="KYN1" s="5"/>
      <c r="KYO1" s="5"/>
      <c r="KYP1" s="5"/>
      <c r="KYQ1" s="5"/>
      <c r="KYR1" s="5"/>
      <c r="KYS1" s="5"/>
      <c r="KYT1" s="5"/>
      <c r="KYU1" s="5"/>
      <c r="KYV1" s="5"/>
      <c r="KYW1" s="5"/>
      <c r="KYX1" s="5"/>
      <c r="KYY1" s="5"/>
      <c r="KYZ1" s="5"/>
      <c r="KZA1" s="5"/>
      <c r="KZB1" s="5"/>
      <c r="KZC1" s="5"/>
      <c r="KZD1" s="5"/>
      <c r="KZE1" s="5"/>
      <c r="KZF1" s="5"/>
      <c r="KZG1" s="5"/>
      <c r="KZH1" s="5"/>
      <c r="KZI1" s="5"/>
      <c r="KZJ1" s="5"/>
      <c r="KZK1" s="5"/>
      <c r="KZL1" s="5"/>
      <c r="KZM1" s="5"/>
      <c r="KZN1" s="5"/>
      <c r="KZO1" s="5"/>
      <c r="KZP1" s="5"/>
      <c r="KZQ1" s="5"/>
      <c r="KZR1" s="5"/>
      <c r="KZS1" s="5"/>
      <c r="KZT1" s="5"/>
      <c r="KZU1" s="5"/>
      <c r="KZV1" s="5"/>
      <c r="KZW1" s="5"/>
      <c r="KZX1" s="5"/>
      <c r="KZY1" s="5"/>
      <c r="KZZ1" s="5"/>
      <c r="LAA1" s="5"/>
      <c r="LAB1" s="5"/>
      <c r="LAC1" s="5"/>
      <c r="LAD1" s="5"/>
      <c r="LAE1" s="5"/>
      <c r="LAF1" s="5"/>
      <c r="LAG1" s="5"/>
      <c r="LAH1" s="5"/>
      <c r="LAI1" s="5"/>
      <c r="LAJ1" s="5"/>
      <c r="LAK1" s="5"/>
      <c r="LAL1" s="5"/>
      <c r="LAM1" s="5"/>
      <c r="LAN1" s="5"/>
      <c r="LAO1" s="5"/>
      <c r="LAP1" s="5"/>
      <c r="LAQ1" s="5"/>
      <c r="LAR1" s="5"/>
      <c r="LAS1" s="5"/>
      <c r="LAT1" s="5"/>
      <c r="LAU1" s="5"/>
      <c r="LAV1" s="5"/>
      <c r="LAW1" s="5"/>
      <c r="LAX1" s="5"/>
      <c r="LAY1" s="5"/>
      <c r="LAZ1" s="5"/>
      <c r="LBA1" s="5"/>
      <c r="LBB1" s="5"/>
      <c r="LBC1" s="5"/>
      <c r="LBD1" s="5"/>
      <c r="LBE1" s="5"/>
      <c r="LBF1" s="5"/>
      <c r="LBG1" s="5"/>
      <c r="LBH1" s="5"/>
      <c r="LBI1" s="5"/>
      <c r="LBJ1" s="5"/>
      <c r="LBK1" s="5"/>
      <c r="LBL1" s="5"/>
      <c r="LBM1" s="5"/>
      <c r="LBN1" s="5"/>
      <c r="LBO1" s="5"/>
      <c r="LBP1" s="5"/>
      <c r="LBQ1" s="5"/>
      <c r="LBR1" s="5"/>
      <c r="LBS1" s="5"/>
      <c r="LBT1" s="5"/>
      <c r="LBU1" s="5"/>
      <c r="LBV1" s="5"/>
      <c r="LBW1" s="5"/>
      <c r="LBX1" s="5"/>
      <c r="LBY1" s="5"/>
      <c r="LBZ1" s="5"/>
      <c r="LCA1" s="5"/>
      <c r="LCB1" s="5"/>
      <c r="LCC1" s="5"/>
      <c r="LCD1" s="5"/>
      <c r="LCE1" s="5"/>
      <c r="LCF1" s="5"/>
      <c r="LCG1" s="5"/>
      <c r="LCH1" s="5"/>
      <c r="LCI1" s="5"/>
      <c r="LCJ1" s="5"/>
      <c r="LCK1" s="5"/>
      <c r="LCL1" s="5"/>
      <c r="LCM1" s="5"/>
      <c r="LCN1" s="5"/>
      <c r="LCO1" s="5"/>
      <c r="LCP1" s="5"/>
      <c r="LCQ1" s="5"/>
      <c r="LCR1" s="5"/>
      <c r="LCS1" s="5"/>
      <c r="LCT1" s="5"/>
      <c r="LCU1" s="5"/>
      <c r="LCV1" s="5"/>
      <c r="LCW1" s="5"/>
      <c r="LCX1" s="5"/>
      <c r="LCY1" s="5"/>
      <c r="LCZ1" s="5"/>
      <c r="LDA1" s="5"/>
      <c r="LDB1" s="5"/>
      <c r="LDC1" s="5"/>
      <c r="LDD1" s="5"/>
      <c r="LDE1" s="5"/>
      <c r="LDF1" s="5"/>
      <c r="LDG1" s="5"/>
      <c r="LDH1" s="5"/>
      <c r="LDI1" s="5"/>
      <c r="LDJ1" s="5"/>
      <c r="LDK1" s="5"/>
      <c r="LDL1" s="5"/>
      <c r="LDM1" s="5"/>
      <c r="LDN1" s="5"/>
      <c r="LDO1" s="5"/>
      <c r="LDP1" s="5"/>
      <c r="LDQ1" s="5"/>
      <c r="LDR1" s="5"/>
      <c r="LDS1" s="5"/>
      <c r="LDT1" s="5"/>
      <c r="LDU1" s="5"/>
      <c r="LDV1" s="5"/>
      <c r="LDW1" s="5"/>
      <c r="LDX1" s="5"/>
      <c r="LDY1" s="5"/>
      <c r="LDZ1" s="5"/>
      <c r="LEA1" s="5"/>
      <c r="LEB1" s="5"/>
      <c r="LEC1" s="5"/>
      <c r="LED1" s="5"/>
      <c r="LEE1" s="5"/>
      <c r="LEF1" s="5"/>
      <c r="LEG1" s="5"/>
      <c r="LEH1" s="5"/>
      <c r="LEI1" s="5"/>
      <c r="LEJ1" s="5"/>
      <c r="LEK1" s="5"/>
      <c r="LEL1" s="5"/>
      <c r="LEM1" s="5"/>
      <c r="LEN1" s="5"/>
      <c r="LEO1" s="5"/>
      <c r="LEP1" s="5"/>
      <c r="LEQ1" s="5"/>
      <c r="LER1" s="5"/>
      <c r="LES1" s="5"/>
      <c r="LET1" s="5"/>
      <c r="LEU1" s="5"/>
      <c r="LEV1" s="5"/>
      <c r="LEW1" s="5"/>
      <c r="LEX1" s="5"/>
      <c r="LEY1" s="5"/>
      <c r="LEZ1" s="5"/>
      <c r="LFA1" s="5"/>
      <c r="LFB1" s="5"/>
      <c r="LFC1" s="5"/>
      <c r="LFD1" s="5"/>
      <c r="LFE1" s="5"/>
      <c r="LFF1" s="5"/>
      <c r="LFG1" s="5"/>
      <c r="LFH1" s="5"/>
      <c r="LFI1" s="5"/>
      <c r="LFJ1" s="5"/>
      <c r="LFK1" s="5"/>
      <c r="LFL1" s="5"/>
      <c r="LFM1" s="5"/>
      <c r="LFN1" s="5"/>
      <c r="LFO1" s="5"/>
      <c r="LFP1" s="5"/>
      <c r="LFQ1" s="5"/>
      <c r="LFR1" s="5"/>
      <c r="LFS1" s="5"/>
      <c r="LFT1" s="5"/>
      <c r="LFU1" s="5"/>
      <c r="LFV1" s="5"/>
      <c r="LFW1" s="5"/>
      <c r="LFX1" s="5"/>
      <c r="LFY1" s="5"/>
      <c r="LFZ1" s="5"/>
      <c r="LGA1" s="5"/>
      <c r="LGB1" s="5"/>
      <c r="LGC1" s="5"/>
      <c r="LGD1" s="5"/>
      <c r="LGE1" s="5"/>
      <c r="LGF1" s="5"/>
      <c r="LGG1" s="5"/>
      <c r="LGH1" s="5"/>
      <c r="LGI1" s="5"/>
      <c r="LGJ1" s="5"/>
      <c r="LGK1" s="5"/>
      <c r="LGL1" s="5"/>
      <c r="LGM1" s="5"/>
      <c r="LGN1" s="5"/>
      <c r="LGO1" s="5"/>
      <c r="LGP1" s="5"/>
      <c r="LGQ1" s="5"/>
      <c r="LGR1" s="5"/>
      <c r="LGS1" s="5"/>
      <c r="LGT1" s="5"/>
      <c r="LGU1" s="5"/>
      <c r="LGV1" s="5"/>
      <c r="LGW1" s="5"/>
      <c r="LGX1" s="5"/>
      <c r="LGY1" s="5"/>
      <c r="LGZ1" s="5"/>
      <c r="LHA1" s="5"/>
      <c r="LHB1" s="5"/>
      <c r="LHC1" s="5"/>
      <c r="LHD1" s="5"/>
      <c r="LHE1" s="5"/>
      <c r="LHF1" s="5"/>
      <c r="LHG1" s="5"/>
      <c r="LHH1" s="5"/>
      <c r="LHI1" s="5"/>
      <c r="LHJ1" s="5"/>
      <c r="LHK1" s="5"/>
      <c r="LHL1" s="5"/>
      <c r="LHM1" s="5"/>
      <c r="LHN1" s="5"/>
      <c r="LHO1" s="5"/>
      <c r="LHP1" s="5"/>
      <c r="LHQ1" s="5"/>
      <c r="LHR1" s="5"/>
      <c r="LHS1" s="5"/>
      <c r="LHT1" s="5"/>
      <c r="LHU1" s="5"/>
      <c r="LHV1" s="5"/>
      <c r="LHW1" s="5"/>
      <c r="LHX1" s="5"/>
      <c r="LHY1" s="5"/>
      <c r="LHZ1" s="5"/>
      <c r="LIA1" s="5"/>
      <c r="LIB1" s="5"/>
      <c r="LIC1" s="5"/>
      <c r="LID1" s="5"/>
      <c r="LIE1" s="5"/>
      <c r="LIF1" s="5"/>
      <c r="LIG1" s="5"/>
      <c r="LIH1" s="5"/>
      <c r="LII1" s="5"/>
      <c r="LIJ1" s="5"/>
      <c r="LIK1" s="5"/>
      <c r="LIL1" s="5"/>
      <c r="LIM1" s="5"/>
      <c r="LIN1" s="5"/>
      <c r="LIO1" s="5"/>
      <c r="LIP1" s="5"/>
      <c r="LIQ1" s="5"/>
      <c r="LIR1" s="5"/>
      <c r="LIS1" s="5"/>
      <c r="LIT1" s="5"/>
      <c r="LIU1" s="5"/>
      <c r="LIV1" s="5"/>
      <c r="LIW1" s="5"/>
      <c r="LIX1" s="5"/>
      <c r="LIY1" s="5"/>
      <c r="LIZ1" s="5"/>
      <c r="LJA1" s="5"/>
      <c r="LJB1" s="5"/>
      <c r="LJC1" s="5"/>
      <c r="LJD1" s="5"/>
      <c r="LJE1" s="5"/>
      <c r="LJF1" s="5"/>
      <c r="LJG1" s="5"/>
      <c r="LJH1" s="5"/>
      <c r="LJI1" s="5"/>
      <c r="LJJ1" s="5"/>
      <c r="LJK1" s="5"/>
      <c r="LJL1" s="5"/>
      <c r="LJM1" s="5"/>
      <c r="LJN1" s="5"/>
      <c r="LJO1" s="5"/>
      <c r="LJP1" s="5"/>
      <c r="LJQ1" s="5"/>
      <c r="LJR1" s="5"/>
      <c r="LJS1" s="5"/>
      <c r="LJT1" s="5"/>
      <c r="LJU1" s="5"/>
      <c r="LJV1" s="5"/>
      <c r="LJW1" s="5"/>
      <c r="LJX1" s="5"/>
      <c r="LJY1" s="5"/>
      <c r="LJZ1" s="5"/>
      <c r="LKA1" s="5"/>
      <c r="LKB1" s="5"/>
      <c r="LKC1" s="5"/>
      <c r="LKD1" s="5"/>
      <c r="LKE1" s="5"/>
      <c r="LKF1" s="5"/>
      <c r="LKG1" s="5"/>
      <c r="LKH1" s="5"/>
      <c r="LKI1" s="5"/>
      <c r="LKJ1" s="5"/>
      <c r="LKK1" s="5"/>
      <c r="LKL1" s="5"/>
      <c r="LKM1" s="5"/>
      <c r="LKN1" s="5"/>
      <c r="LKO1" s="5"/>
      <c r="LKP1" s="5"/>
      <c r="LKQ1" s="5"/>
      <c r="LKR1" s="5"/>
      <c r="LKS1" s="5"/>
      <c r="LKT1" s="5"/>
      <c r="LKU1" s="5"/>
      <c r="LKV1" s="5"/>
      <c r="LKW1" s="5"/>
      <c r="LKX1" s="5"/>
      <c r="LKY1" s="5"/>
      <c r="LKZ1" s="5"/>
      <c r="LLA1" s="5"/>
      <c r="LLB1" s="5"/>
      <c r="LLC1" s="5"/>
      <c r="LLD1" s="5"/>
      <c r="LLE1" s="5"/>
      <c r="LLF1" s="5"/>
      <c r="LLG1" s="5"/>
      <c r="LLH1" s="5"/>
      <c r="LLI1" s="5"/>
      <c r="LLJ1" s="5"/>
      <c r="LLK1" s="5"/>
      <c r="LLL1" s="5"/>
      <c r="LLM1" s="5"/>
      <c r="LLN1" s="5"/>
      <c r="LLO1" s="5"/>
      <c r="LLP1" s="5"/>
      <c r="LLQ1" s="5"/>
      <c r="LLR1" s="5"/>
      <c r="LLS1" s="5"/>
      <c r="LLT1" s="5"/>
      <c r="LLU1" s="5"/>
      <c r="LLV1" s="5"/>
      <c r="LLW1" s="5"/>
      <c r="LLX1" s="5"/>
      <c r="LLY1" s="5"/>
      <c r="LLZ1" s="5"/>
      <c r="LMA1" s="5"/>
      <c r="LMB1" s="5"/>
      <c r="LMC1" s="5"/>
      <c r="LMD1" s="5"/>
      <c r="LME1" s="5"/>
      <c r="LMF1" s="5"/>
      <c r="LMG1" s="5"/>
      <c r="LMH1" s="5"/>
      <c r="LMI1" s="5"/>
      <c r="LMJ1" s="5"/>
      <c r="LMK1" s="5"/>
      <c r="LML1" s="5"/>
      <c r="LMM1" s="5"/>
      <c r="LMN1" s="5"/>
      <c r="LMO1" s="5"/>
      <c r="LMP1" s="5"/>
      <c r="LMQ1" s="5"/>
      <c r="LMR1" s="5"/>
      <c r="LMS1" s="5"/>
      <c r="LMT1" s="5"/>
      <c r="LMU1" s="5"/>
      <c r="LMV1" s="5"/>
      <c r="LMW1" s="5"/>
      <c r="LMX1" s="5"/>
      <c r="LMY1" s="5"/>
      <c r="LMZ1" s="5"/>
      <c r="LNA1" s="5"/>
      <c r="LNB1" s="5"/>
      <c r="LNC1" s="5"/>
      <c r="LND1" s="5"/>
      <c r="LNE1" s="5"/>
      <c r="LNF1" s="5"/>
      <c r="LNG1" s="5"/>
      <c r="LNH1" s="5"/>
      <c r="LNI1" s="5"/>
      <c r="LNJ1" s="5"/>
      <c r="LNK1" s="5"/>
      <c r="LNL1" s="5"/>
      <c r="LNM1" s="5"/>
      <c r="LNN1" s="5"/>
      <c r="LNO1" s="5"/>
      <c r="LNP1" s="5"/>
      <c r="LNQ1" s="5"/>
      <c r="LNR1" s="5"/>
      <c r="LNS1" s="5"/>
      <c r="LNT1" s="5"/>
      <c r="LNU1" s="5"/>
      <c r="LNV1" s="5"/>
      <c r="LNW1" s="5"/>
      <c r="LNX1" s="5"/>
      <c r="LNY1" s="5"/>
      <c r="LNZ1" s="5"/>
      <c r="LOA1" s="5"/>
      <c r="LOB1" s="5"/>
      <c r="LOC1" s="5"/>
      <c r="LOD1" s="5"/>
      <c r="LOE1" s="5"/>
      <c r="LOF1" s="5"/>
      <c r="LOG1" s="5"/>
      <c r="LOH1" s="5"/>
      <c r="LOI1" s="5"/>
      <c r="LOJ1" s="5"/>
      <c r="LOK1" s="5"/>
      <c r="LOL1" s="5"/>
      <c r="LOM1" s="5"/>
      <c r="LON1" s="5"/>
      <c r="LOO1" s="5"/>
      <c r="LOP1" s="5"/>
      <c r="LOQ1" s="5"/>
      <c r="LOR1" s="5"/>
      <c r="LOS1" s="5"/>
      <c r="LOT1" s="5"/>
      <c r="LOU1" s="5"/>
      <c r="LOV1" s="5"/>
      <c r="LOW1" s="5"/>
      <c r="LOX1" s="5"/>
      <c r="LOY1" s="5"/>
      <c r="LOZ1" s="5"/>
      <c r="LPA1" s="5"/>
      <c r="LPB1" s="5"/>
      <c r="LPC1" s="5"/>
      <c r="LPD1" s="5"/>
      <c r="LPE1" s="5"/>
      <c r="LPF1" s="5"/>
      <c r="LPG1" s="5"/>
      <c r="LPH1" s="5"/>
      <c r="LPI1" s="5"/>
      <c r="LPJ1" s="5"/>
      <c r="LPK1" s="5"/>
      <c r="LPL1" s="5"/>
      <c r="LPM1" s="5"/>
      <c r="LPN1" s="5"/>
      <c r="LPO1" s="5"/>
      <c r="LPP1" s="5"/>
      <c r="LPQ1" s="5"/>
      <c r="LPR1" s="5"/>
      <c r="LPS1" s="5"/>
      <c r="LPT1" s="5"/>
      <c r="LPU1" s="5"/>
      <c r="LPV1" s="5"/>
      <c r="LPW1" s="5"/>
      <c r="LPX1" s="5"/>
      <c r="LPY1" s="5"/>
      <c r="LPZ1" s="5"/>
      <c r="LQA1" s="5"/>
      <c r="LQB1" s="5"/>
      <c r="LQC1" s="5"/>
      <c r="LQD1" s="5"/>
      <c r="LQE1" s="5"/>
      <c r="LQF1" s="5"/>
      <c r="LQG1" s="5"/>
      <c r="LQH1" s="5"/>
      <c r="LQI1" s="5"/>
      <c r="LQJ1" s="5"/>
      <c r="LQK1" s="5"/>
      <c r="LQL1" s="5"/>
      <c r="LQM1" s="5"/>
      <c r="LQN1" s="5"/>
      <c r="LQO1" s="5"/>
      <c r="LQP1" s="5"/>
      <c r="LQQ1" s="5"/>
      <c r="LQR1" s="5"/>
      <c r="LQS1" s="5"/>
      <c r="LQT1" s="5"/>
      <c r="LQU1" s="5"/>
      <c r="LQV1" s="5"/>
      <c r="LQW1" s="5"/>
      <c r="LQX1" s="5"/>
      <c r="LQY1" s="5"/>
      <c r="LQZ1" s="5"/>
      <c r="LRA1" s="5"/>
      <c r="LRB1" s="5"/>
      <c r="LRC1" s="5"/>
      <c r="LRD1" s="5"/>
      <c r="LRE1" s="5"/>
      <c r="LRF1" s="5"/>
      <c r="LRG1" s="5"/>
      <c r="LRH1" s="5"/>
      <c r="LRI1" s="5"/>
      <c r="LRJ1" s="5"/>
      <c r="LRK1" s="5"/>
      <c r="LRL1" s="5"/>
      <c r="LRM1" s="5"/>
      <c r="LRN1" s="5"/>
      <c r="LRO1" s="5"/>
      <c r="LRP1" s="5"/>
      <c r="LRQ1" s="5"/>
      <c r="LRR1" s="5"/>
      <c r="LRS1" s="5"/>
      <c r="LRT1" s="5"/>
      <c r="LRU1" s="5"/>
      <c r="LRV1" s="5"/>
      <c r="LRW1" s="5"/>
      <c r="LRX1" s="5"/>
      <c r="LRY1" s="5"/>
      <c r="LRZ1" s="5"/>
      <c r="LSA1" s="5"/>
      <c r="LSB1" s="5"/>
      <c r="LSC1" s="5"/>
      <c r="LSD1" s="5"/>
      <c r="LSE1" s="5"/>
      <c r="LSF1" s="5"/>
      <c r="LSG1" s="5"/>
      <c r="LSH1" s="5"/>
      <c r="LSI1" s="5"/>
      <c r="LSJ1" s="5"/>
      <c r="LSK1" s="5"/>
      <c r="LSL1" s="5"/>
      <c r="LSM1" s="5"/>
      <c r="LSN1" s="5"/>
      <c r="LSO1" s="5"/>
      <c r="LSP1" s="5"/>
      <c r="LSQ1" s="5"/>
      <c r="LSR1" s="5"/>
      <c r="LSS1" s="5"/>
      <c r="LST1" s="5"/>
      <c r="LSU1" s="5"/>
      <c r="LSV1" s="5"/>
      <c r="LSW1" s="5"/>
      <c r="LSX1" s="5"/>
      <c r="LSY1" s="5"/>
      <c r="LSZ1" s="5"/>
      <c r="LTA1" s="5"/>
      <c r="LTB1" s="5"/>
      <c r="LTC1" s="5"/>
      <c r="LTD1" s="5"/>
      <c r="LTE1" s="5"/>
      <c r="LTF1" s="5"/>
      <c r="LTG1" s="5"/>
      <c r="LTH1" s="5"/>
      <c r="LTI1" s="5"/>
      <c r="LTJ1" s="5"/>
      <c r="LTK1" s="5"/>
      <c r="LTL1" s="5"/>
      <c r="LTM1" s="5"/>
      <c r="LTN1" s="5"/>
      <c r="LTO1" s="5"/>
      <c r="LTP1" s="5"/>
      <c r="LTQ1" s="5"/>
      <c r="LTR1" s="5"/>
      <c r="LTS1" s="5"/>
      <c r="LTT1" s="5"/>
      <c r="LTU1" s="5"/>
      <c r="LTV1" s="5"/>
      <c r="LTW1" s="5"/>
      <c r="LTX1" s="5"/>
      <c r="LTY1" s="5"/>
      <c r="LTZ1" s="5"/>
      <c r="LUA1" s="5"/>
      <c r="LUB1" s="5"/>
      <c r="LUC1" s="5"/>
      <c r="LUD1" s="5"/>
      <c r="LUE1" s="5"/>
      <c r="LUF1" s="5"/>
      <c r="LUG1" s="5"/>
      <c r="LUH1" s="5"/>
      <c r="LUI1" s="5"/>
      <c r="LUJ1" s="5"/>
      <c r="LUK1" s="5"/>
      <c r="LUL1" s="5"/>
      <c r="LUM1" s="5"/>
      <c r="LUN1" s="5"/>
      <c r="LUO1" s="5"/>
      <c r="LUP1" s="5"/>
      <c r="LUQ1" s="5"/>
      <c r="LUR1" s="5"/>
      <c r="LUS1" s="5"/>
      <c r="LUT1" s="5"/>
      <c r="LUU1" s="5"/>
      <c r="LUV1" s="5"/>
      <c r="LUW1" s="5"/>
      <c r="LUX1" s="5"/>
      <c r="LUY1" s="5"/>
      <c r="LUZ1" s="5"/>
      <c r="LVA1" s="5"/>
      <c r="LVB1" s="5"/>
      <c r="LVC1" s="5"/>
      <c r="LVD1" s="5"/>
      <c r="LVE1" s="5"/>
      <c r="LVF1" s="5"/>
      <c r="LVG1" s="5"/>
      <c r="LVH1" s="5"/>
      <c r="LVI1" s="5"/>
      <c r="LVJ1" s="5"/>
      <c r="LVK1" s="5"/>
      <c r="LVL1" s="5"/>
      <c r="LVM1" s="5"/>
      <c r="LVN1" s="5"/>
      <c r="LVO1" s="5"/>
      <c r="LVP1" s="5"/>
      <c r="LVQ1" s="5"/>
      <c r="LVR1" s="5"/>
      <c r="LVS1" s="5"/>
      <c r="LVT1" s="5"/>
      <c r="LVU1" s="5"/>
      <c r="LVV1" s="5"/>
      <c r="LVW1" s="5"/>
      <c r="LVX1" s="5"/>
      <c r="LVY1" s="5"/>
      <c r="LVZ1" s="5"/>
      <c r="LWA1" s="5"/>
      <c r="LWB1" s="5"/>
      <c r="LWC1" s="5"/>
      <c r="LWD1" s="5"/>
      <c r="LWE1" s="5"/>
      <c r="LWF1" s="5"/>
      <c r="LWG1" s="5"/>
      <c r="LWH1" s="5"/>
      <c r="LWI1" s="5"/>
      <c r="LWJ1" s="5"/>
      <c r="LWK1" s="5"/>
      <c r="LWL1" s="5"/>
      <c r="LWM1" s="5"/>
      <c r="LWN1" s="5"/>
      <c r="LWO1" s="5"/>
      <c r="LWP1" s="5"/>
      <c r="LWQ1" s="5"/>
      <c r="LWR1" s="5"/>
      <c r="LWS1" s="5"/>
      <c r="LWT1" s="5"/>
      <c r="LWU1" s="5"/>
      <c r="LWV1" s="5"/>
      <c r="LWW1" s="5"/>
      <c r="LWX1" s="5"/>
      <c r="LWY1" s="5"/>
      <c r="LWZ1" s="5"/>
      <c r="LXA1" s="5"/>
      <c r="LXB1" s="5"/>
      <c r="LXC1" s="5"/>
      <c r="LXD1" s="5"/>
      <c r="LXE1" s="5"/>
      <c r="LXF1" s="5"/>
      <c r="LXG1" s="5"/>
      <c r="LXH1" s="5"/>
      <c r="LXI1" s="5"/>
      <c r="LXJ1" s="5"/>
      <c r="LXK1" s="5"/>
      <c r="LXL1" s="5"/>
      <c r="LXM1" s="5"/>
      <c r="LXN1" s="5"/>
      <c r="LXO1" s="5"/>
      <c r="LXP1" s="5"/>
      <c r="LXQ1" s="5"/>
      <c r="LXR1" s="5"/>
      <c r="LXS1" s="5"/>
      <c r="LXT1" s="5"/>
      <c r="LXU1" s="5"/>
      <c r="LXV1" s="5"/>
      <c r="LXW1" s="5"/>
      <c r="LXX1" s="5"/>
      <c r="LXY1" s="5"/>
      <c r="LXZ1" s="5"/>
      <c r="LYA1" s="5"/>
      <c r="LYB1" s="5"/>
      <c r="LYC1" s="5"/>
      <c r="LYD1" s="5"/>
      <c r="LYE1" s="5"/>
      <c r="LYF1" s="5"/>
      <c r="LYG1" s="5"/>
      <c r="LYH1" s="5"/>
      <c r="LYI1" s="5"/>
      <c r="LYJ1" s="5"/>
      <c r="LYK1" s="5"/>
      <c r="LYL1" s="5"/>
      <c r="LYM1" s="5"/>
      <c r="LYN1" s="5"/>
      <c r="LYO1" s="5"/>
      <c r="LYP1" s="5"/>
      <c r="LYQ1" s="5"/>
      <c r="LYR1" s="5"/>
      <c r="LYS1" s="5"/>
      <c r="LYT1" s="5"/>
      <c r="LYU1" s="5"/>
      <c r="LYV1" s="5"/>
      <c r="LYW1" s="5"/>
      <c r="LYX1" s="5"/>
      <c r="LYY1" s="5"/>
      <c r="LYZ1" s="5"/>
      <c r="LZA1" s="5"/>
      <c r="LZB1" s="5"/>
      <c r="LZC1" s="5"/>
      <c r="LZD1" s="5"/>
      <c r="LZE1" s="5"/>
      <c r="LZF1" s="5"/>
      <c r="LZG1" s="5"/>
      <c r="LZH1" s="5"/>
      <c r="LZI1" s="5"/>
      <c r="LZJ1" s="5"/>
      <c r="LZK1" s="5"/>
      <c r="LZL1" s="5"/>
      <c r="LZM1" s="5"/>
      <c r="LZN1" s="5"/>
      <c r="LZO1" s="5"/>
      <c r="LZP1" s="5"/>
      <c r="LZQ1" s="5"/>
      <c r="LZR1" s="5"/>
      <c r="LZS1" s="5"/>
      <c r="LZT1" s="5"/>
      <c r="LZU1" s="5"/>
      <c r="LZV1" s="5"/>
      <c r="LZW1" s="5"/>
      <c r="LZX1" s="5"/>
      <c r="LZY1" s="5"/>
      <c r="LZZ1" s="5"/>
      <c r="MAA1" s="5"/>
      <c r="MAB1" s="5"/>
      <c r="MAC1" s="5"/>
      <c r="MAD1" s="5"/>
      <c r="MAE1" s="5"/>
      <c r="MAF1" s="5"/>
      <c r="MAG1" s="5"/>
      <c r="MAH1" s="5"/>
      <c r="MAI1" s="5"/>
      <c r="MAJ1" s="5"/>
      <c r="MAK1" s="5"/>
      <c r="MAL1" s="5"/>
      <c r="MAM1" s="5"/>
      <c r="MAN1" s="5"/>
      <c r="MAO1" s="5"/>
      <c r="MAP1" s="5"/>
      <c r="MAQ1" s="5"/>
      <c r="MAR1" s="5"/>
      <c r="MAS1" s="5"/>
      <c r="MAT1" s="5"/>
      <c r="MAU1" s="5"/>
      <c r="MAV1" s="5"/>
      <c r="MAW1" s="5"/>
      <c r="MAX1" s="5"/>
      <c r="MAY1" s="5"/>
      <c r="MAZ1" s="5"/>
      <c r="MBA1" s="5"/>
      <c r="MBB1" s="5"/>
      <c r="MBC1" s="5"/>
      <c r="MBD1" s="5"/>
      <c r="MBE1" s="5"/>
      <c r="MBF1" s="5"/>
      <c r="MBG1" s="5"/>
      <c r="MBH1" s="5"/>
      <c r="MBI1" s="5"/>
      <c r="MBJ1" s="5"/>
      <c r="MBK1" s="5"/>
      <c r="MBL1" s="5"/>
      <c r="MBM1" s="5"/>
      <c r="MBN1" s="5"/>
      <c r="MBO1" s="5"/>
      <c r="MBP1" s="5"/>
      <c r="MBQ1" s="5"/>
      <c r="MBR1" s="5"/>
      <c r="MBS1" s="5"/>
      <c r="MBT1" s="5"/>
      <c r="MBU1" s="5"/>
      <c r="MBV1" s="5"/>
      <c r="MBW1" s="5"/>
      <c r="MBX1" s="5"/>
      <c r="MBY1" s="5"/>
      <c r="MBZ1" s="5"/>
      <c r="MCA1" s="5"/>
      <c r="MCB1" s="5"/>
      <c r="MCC1" s="5"/>
      <c r="MCD1" s="5"/>
      <c r="MCE1" s="5"/>
      <c r="MCF1" s="5"/>
      <c r="MCG1" s="5"/>
      <c r="MCH1" s="5"/>
      <c r="MCI1" s="5"/>
      <c r="MCJ1" s="5"/>
      <c r="MCK1" s="5"/>
      <c r="MCL1" s="5"/>
      <c r="MCM1" s="5"/>
      <c r="MCN1" s="5"/>
      <c r="MCO1" s="5"/>
      <c r="MCP1" s="5"/>
      <c r="MCQ1" s="5"/>
      <c r="MCR1" s="5"/>
      <c r="MCS1" s="5"/>
      <c r="MCT1" s="5"/>
      <c r="MCU1" s="5"/>
      <c r="MCV1" s="5"/>
      <c r="MCW1" s="5"/>
      <c r="MCX1" s="5"/>
      <c r="MCY1" s="5"/>
      <c r="MCZ1" s="5"/>
      <c r="MDA1" s="5"/>
      <c r="MDB1" s="5"/>
      <c r="MDC1" s="5"/>
      <c r="MDD1" s="5"/>
      <c r="MDE1" s="5"/>
      <c r="MDF1" s="5"/>
      <c r="MDG1" s="5"/>
      <c r="MDH1" s="5"/>
      <c r="MDI1" s="5"/>
      <c r="MDJ1" s="5"/>
      <c r="MDK1" s="5"/>
      <c r="MDL1" s="5"/>
      <c r="MDM1" s="5"/>
      <c r="MDN1" s="5"/>
      <c r="MDO1" s="5"/>
      <c r="MDP1" s="5"/>
      <c r="MDQ1" s="5"/>
      <c r="MDR1" s="5"/>
      <c r="MDS1" s="5"/>
      <c r="MDT1" s="5"/>
      <c r="MDU1" s="5"/>
      <c r="MDV1" s="5"/>
      <c r="MDW1" s="5"/>
      <c r="MDX1" s="5"/>
      <c r="MDY1" s="5"/>
      <c r="MDZ1" s="5"/>
      <c r="MEA1" s="5"/>
      <c r="MEB1" s="5"/>
      <c r="MEC1" s="5"/>
      <c r="MED1" s="5"/>
      <c r="MEE1" s="5"/>
      <c r="MEF1" s="5"/>
      <c r="MEG1" s="5"/>
      <c r="MEH1" s="5"/>
      <c r="MEI1" s="5"/>
      <c r="MEJ1" s="5"/>
      <c r="MEK1" s="5"/>
      <c r="MEL1" s="5"/>
      <c r="MEM1" s="5"/>
      <c r="MEN1" s="5"/>
      <c r="MEO1" s="5"/>
      <c r="MEP1" s="5"/>
      <c r="MEQ1" s="5"/>
      <c r="MER1" s="5"/>
      <c r="MES1" s="5"/>
      <c r="MET1" s="5"/>
      <c r="MEU1" s="5"/>
      <c r="MEV1" s="5"/>
      <c r="MEW1" s="5"/>
      <c r="MEX1" s="5"/>
      <c r="MEY1" s="5"/>
      <c r="MEZ1" s="5"/>
      <c r="MFA1" s="5"/>
      <c r="MFB1" s="5"/>
      <c r="MFC1" s="5"/>
      <c r="MFD1" s="5"/>
      <c r="MFE1" s="5"/>
      <c r="MFF1" s="5"/>
      <c r="MFG1" s="5"/>
      <c r="MFH1" s="5"/>
      <c r="MFI1" s="5"/>
      <c r="MFJ1" s="5"/>
      <c r="MFK1" s="5"/>
      <c r="MFL1" s="5"/>
      <c r="MFM1" s="5"/>
      <c r="MFN1" s="5"/>
      <c r="MFO1" s="5"/>
      <c r="MFP1" s="5"/>
      <c r="MFQ1" s="5"/>
      <c r="MFR1" s="5"/>
      <c r="MFS1" s="5"/>
      <c r="MFT1" s="5"/>
      <c r="MFU1" s="5"/>
      <c r="MFV1" s="5"/>
      <c r="MFW1" s="5"/>
      <c r="MFX1" s="5"/>
      <c r="MFY1" s="5"/>
      <c r="MFZ1" s="5"/>
      <c r="MGA1" s="5"/>
      <c r="MGB1" s="5"/>
      <c r="MGC1" s="5"/>
      <c r="MGD1" s="5"/>
      <c r="MGE1" s="5"/>
      <c r="MGF1" s="5"/>
      <c r="MGG1" s="5"/>
      <c r="MGH1" s="5"/>
      <c r="MGI1" s="5"/>
      <c r="MGJ1" s="5"/>
      <c r="MGK1" s="5"/>
      <c r="MGL1" s="5"/>
      <c r="MGM1" s="5"/>
      <c r="MGN1" s="5"/>
      <c r="MGO1" s="5"/>
      <c r="MGP1" s="5"/>
      <c r="MGQ1" s="5"/>
      <c r="MGR1" s="5"/>
      <c r="MGS1" s="5"/>
      <c r="MGT1" s="5"/>
      <c r="MGU1" s="5"/>
      <c r="MGV1" s="5"/>
      <c r="MGW1" s="5"/>
      <c r="MGX1" s="5"/>
      <c r="MGY1" s="5"/>
      <c r="MGZ1" s="5"/>
      <c r="MHA1" s="5"/>
      <c r="MHB1" s="5"/>
      <c r="MHC1" s="5"/>
      <c r="MHD1" s="5"/>
      <c r="MHE1" s="5"/>
      <c r="MHF1" s="5"/>
      <c r="MHG1" s="5"/>
      <c r="MHH1" s="5"/>
      <c r="MHI1" s="5"/>
      <c r="MHJ1" s="5"/>
      <c r="MHK1" s="5"/>
      <c r="MHL1" s="5"/>
      <c r="MHM1" s="5"/>
      <c r="MHN1" s="5"/>
      <c r="MHO1" s="5"/>
      <c r="MHP1" s="5"/>
      <c r="MHQ1" s="5"/>
      <c r="MHR1" s="5"/>
      <c r="MHS1" s="5"/>
      <c r="MHT1" s="5"/>
      <c r="MHU1" s="5"/>
      <c r="MHV1" s="5"/>
      <c r="MHW1" s="5"/>
      <c r="MHX1" s="5"/>
      <c r="MHY1" s="5"/>
      <c r="MHZ1" s="5"/>
      <c r="MIA1" s="5"/>
      <c r="MIB1" s="5"/>
      <c r="MIC1" s="5"/>
      <c r="MID1" s="5"/>
      <c r="MIE1" s="5"/>
      <c r="MIF1" s="5"/>
      <c r="MIG1" s="5"/>
      <c r="MIH1" s="5"/>
      <c r="MII1" s="5"/>
      <c r="MIJ1" s="5"/>
      <c r="MIK1" s="5"/>
      <c r="MIL1" s="5"/>
      <c r="MIM1" s="5"/>
      <c r="MIN1" s="5"/>
      <c r="MIO1" s="5"/>
      <c r="MIP1" s="5"/>
      <c r="MIQ1" s="5"/>
      <c r="MIR1" s="5"/>
      <c r="MIS1" s="5"/>
      <c r="MIT1" s="5"/>
      <c r="MIU1" s="5"/>
      <c r="MIV1" s="5"/>
      <c r="MIW1" s="5"/>
      <c r="MIX1" s="5"/>
      <c r="MIY1" s="5"/>
      <c r="MIZ1" s="5"/>
      <c r="MJA1" s="5"/>
      <c r="MJB1" s="5"/>
      <c r="MJC1" s="5"/>
      <c r="MJD1" s="5"/>
      <c r="MJE1" s="5"/>
      <c r="MJF1" s="5"/>
      <c r="MJG1" s="5"/>
      <c r="MJH1" s="5"/>
      <c r="MJI1" s="5"/>
      <c r="MJJ1" s="5"/>
      <c r="MJK1" s="5"/>
      <c r="MJL1" s="5"/>
      <c r="MJM1" s="5"/>
      <c r="MJN1" s="5"/>
      <c r="MJO1" s="5"/>
      <c r="MJP1" s="5"/>
      <c r="MJQ1" s="5"/>
      <c r="MJR1" s="5"/>
      <c r="MJS1" s="5"/>
      <c r="MJT1" s="5"/>
      <c r="MJU1" s="5"/>
      <c r="MJV1" s="5"/>
      <c r="MJW1" s="5"/>
      <c r="MJX1" s="5"/>
      <c r="MJY1" s="5"/>
      <c r="MJZ1" s="5"/>
      <c r="MKA1" s="5"/>
      <c r="MKB1" s="5"/>
      <c r="MKC1" s="5"/>
      <c r="MKD1" s="5"/>
      <c r="MKE1" s="5"/>
      <c r="MKF1" s="5"/>
      <c r="MKG1" s="5"/>
      <c r="MKH1" s="5"/>
      <c r="MKI1" s="5"/>
      <c r="MKJ1" s="5"/>
      <c r="MKK1" s="5"/>
      <c r="MKL1" s="5"/>
      <c r="MKM1" s="5"/>
      <c r="MKN1" s="5"/>
      <c r="MKO1" s="5"/>
      <c r="MKP1" s="5"/>
      <c r="MKQ1" s="5"/>
      <c r="MKR1" s="5"/>
      <c r="MKS1" s="5"/>
      <c r="MKT1" s="5"/>
      <c r="MKU1" s="5"/>
      <c r="MKV1" s="5"/>
      <c r="MKW1" s="5"/>
      <c r="MKX1" s="5"/>
      <c r="MKY1" s="5"/>
      <c r="MKZ1" s="5"/>
      <c r="MLA1" s="5"/>
      <c r="MLB1" s="5"/>
      <c r="MLC1" s="5"/>
      <c r="MLD1" s="5"/>
      <c r="MLE1" s="5"/>
      <c r="MLF1" s="5"/>
      <c r="MLG1" s="5"/>
      <c r="MLH1" s="5"/>
      <c r="MLI1" s="5"/>
      <c r="MLJ1" s="5"/>
      <c r="MLK1" s="5"/>
      <c r="MLL1" s="5"/>
      <c r="MLM1" s="5"/>
      <c r="MLN1" s="5"/>
      <c r="MLO1" s="5"/>
      <c r="MLP1" s="5"/>
      <c r="MLQ1" s="5"/>
      <c r="MLR1" s="5"/>
      <c r="MLS1" s="5"/>
      <c r="MLT1" s="5"/>
      <c r="MLU1" s="5"/>
      <c r="MLV1" s="5"/>
      <c r="MLW1" s="5"/>
      <c r="MLX1" s="5"/>
      <c r="MLY1" s="5"/>
      <c r="MLZ1" s="5"/>
      <c r="MMA1" s="5"/>
      <c r="MMB1" s="5"/>
      <c r="MMC1" s="5"/>
      <c r="MMD1" s="5"/>
      <c r="MME1" s="5"/>
      <c r="MMF1" s="5"/>
      <c r="MMG1" s="5"/>
      <c r="MMH1" s="5"/>
      <c r="MMI1" s="5"/>
      <c r="MMJ1" s="5"/>
      <c r="MMK1" s="5"/>
      <c r="MML1" s="5"/>
      <c r="MMM1" s="5"/>
      <c r="MMN1" s="5"/>
      <c r="MMO1" s="5"/>
      <c r="MMP1" s="5"/>
      <c r="MMQ1" s="5"/>
      <c r="MMR1" s="5"/>
      <c r="MMS1" s="5"/>
      <c r="MMT1" s="5"/>
      <c r="MMU1" s="5"/>
      <c r="MMV1" s="5"/>
      <c r="MMW1" s="5"/>
      <c r="MMX1" s="5"/>
      <c r="MMY1" s="5"/>
      <c r="MMZ1" s="5"/>
      <c r="MNA1" s="5"/>
      <c r="MNB1" s="5"/>
      <c r="MNC1" s="5"/>
      <c r="MND1" s="5"/>
      <c r="MNE1" s="5"/>
      <c r="MNF1" s="5"/>
      <c r="MNG1" s="5"/>
      <c r="MNH1" s="5"/>
      <c r="MNI1" s="5"/>
      <c r="MNJ1" s="5"/>
      <c r="MNK1" s="5"/>
      <c r="MNL1" s="5"/>
      <c r="MNM1" s="5"/>
      <c r="MNN1" s="5"/>
      <c r="MNO1" s="5"/>
      <c r="MNP1" s="5"/>
      <c r="MNQ1" s="5"/>
      <c r="MNR1" s="5"/>
      <c r="MNS1" s="5"/>
      <c r="MNT1" s="5"/>
      <c r="MNU1" s="5"/>
      <c r="MNV1" s="5"/>
      <c r="MNW1" s="5"/>
      <c r="MNX1" s="5"/>
      <c r="MNY1" s="5"/>
      <c r="MNZ1" s="5"/>
      <c r="MOA1" s="5"/>
      <c r="MOB1" s="5"/>
      <c r="MOC1" s="5"/>
      <c r="MOD1" s="5"/>
      <c r="MOE1" s="5"/>
      <c r="MOF1" s="5"/>
      <c r="MOG1" s="5"/>
      <c r="MOH1" s="5"/>
      <c r="MOI1" s="5"/>
      <c r="MOJ1" s="5"/>
      <c r="MOK1" s="5"/>
      <c r="MOL1" s="5"/>
      <c r="MOM1" s="5"/>
      <c r="MON1" s="5"/>
      <c r="MOO1" s="5"/>
      <c r="MOP1" s="5"/>
      <c r="MOQ1" s="5"/>
      <c r="MOR1" s="5"/>
      <c r="MOS1" s="5"/>
      <c r="MOT1" s="5"/>
      <c r="MOU1" s="5"/>
      <c r="MOV1" s="5"/>
      <c r="MOW1" s="5"/>
      <c r="MOX1" s="5"/>
      <c r="MOY1" s="5"/>
      <c r="MOZ1" s="5"/>
      <c r="MPA1" s="5"/>
      <c r="MPB1" s="5"/>
      <c r="MPC1" s="5"/>
      <c r="MPD1" s="5"/>
      <c r="MPE1" s="5"/>
      <c r="MPF1" s="5"/>
      <c r="MPG1" s="5"/>
      <c r="MPH1" s="5"/>
      <c r="MPI1" s="5"/>
      <c r="MPJ1" s="5"/>
      <c r="MPK1" s="5"/>
      <c r="MPL1" s="5"/>
      <c r="MPM1" s="5"/>
      <c r="MPN1" s="5"/>
      <c r="MPO1" s="5"/>
      <c r="MPP1" s="5"/>
      <c r="MPQ1" s="5"/>
      <c r="MPR1" s="5"/>
      <c r="MPS1" s="5"/>
      <c r="MPT1" s="5"/>
      <c r="MPU1" s="5"/>
      <c r="MPV1" s="5"/>
      <c r="MPW1" s="5"/>
      <c r="MPX1" s="5"/>
      <c r="MPY1" s="5"/>
      <c r="MPZ1" s="5"/>
      <c r="MQA1" s="5"/>
      <c r="MQB1" s="5"/>
      <c r="MQC1" s="5"/>
      <c r="MQD1" s="5"/>
      <c r="MQE1" s="5"/>
      <c r="MQF1" s="5"/>
      <c r="MQG1" s="5"/>
      <c r="MQH1" s="5"/>
      <c r="MQI1" s="5"/>
      <c r="MQJ1" s="5"/>
      <c r="MQK1" s="5"/>
      <c r="MQL1" s="5"/>
      <c r="MQM1" s="5"/>
      <c r="MQN1" s="5"/>
      <c r="MQO1" s="5"/>
      <c r="MQP1" s="5"/>
      <c r="MQQ1" s="5"/>
      <c r="MQR1" s="5"/>
      <c r="MQS1" s="5"/>
      <c r="MQT1" s="5"/>
      <c r="MQU1" s="5"/>
      <c r="MQV1" s="5"/>
      <c r="MQW1" s="5"/>
      <c r="MQX1" s="5"/>
      <c r="MQY1" s="5"/>
      <c r="MQZ1" s="5"/>
      <c r="MRA1" s="5"/>
      <c r="MRB1" s="5"/>
      <c r="MRC1" s="5"/>
      <c r="MRD1" s="5"/>
      <c r="MRE1" s="5"/>
      <c r="MRF1" s="5"/>
      <c r="MRG1" s="5"/>
      <c r="MRH1" s="5"/>
      <c r="MRI1" s="5"/>
      <c r="MRJ1" s="5"/>
      <c r="MRK1" s="5"/>
      <c r="MRL1" s="5"/>
      <c r="MRM1" s="5"/>
      <c r="MRN1" s="5"/>
      <c r="MRO1" s="5"/>
      <c r="MRP1" s="5"/>
      <c r="MRQ1" s="5"/>
      <c r="MRR1" s="5"/>
      <c r="MRS1" s="5"/>
      <c r="MRT1" s="5"/>
      <c r="MRU1" s="5"/>
      <c r="MRV1" s="5"/>
      <c r="MRW1" s="5"/>
      <c r="MRX1" s="5"/>
      <c r="MRY1" s="5"/>
      <c r="MRZ1" s="5"/>
      <c r="MSA1" s="5"/>
      <c r="MSB1" s="5"/>
      <c r="MSC1" s="5"/>
      <c r="MSD1" s="5"/>
      <c r="MSE1" s="5"/>
      <c r="MSF1" s="5"/>
      <c r="MSG1" s="5"/>
      <c r="MSH1" s="5"/>
      <c r="MSI1" s="5"/>
      <c r="MSJ1" s="5"/>
      <c r="MSK1" s="5"/>
      <c r="MSL1" s="5"/>
      <c r="MSM1" s="5"/>
      <c r="MSN1" s="5"/>
      <c r="MSO1" s="5"/>
      <c r="MSP1" s="5"/>
      <c r="MSQ1" s="5"/>
      <c r="MSR1" s="5"/>
      <c r="MSS1" s="5"/>
      <c r="MST1" s="5"/>
      <c r="MSU1" s="5"/>
      <c r="MSV1" s="5"/>
      <c r="MSW1" s="5"/>
      <c r="MSX1" s="5"/>
      <c r="MSY1" s="5"/>
      <c r="MSZ1" s="5"/>
      <c r="MTA1" s="5"/>
      <c r="MTB1" s="5"/>
      <c r="MTC1" s="5"/>
      <c r="MTD1" s="5"/>
      <c r="MTE1" s="5"/>
      <c r="MTF1" s="5"/>
      <c r="MTG1" s="5"/>
      <c r="MTH1" s="5"/>
      <c r="MTI1" s="5"/>
      <c r="MTJ1" s="5"/>
      <c r="MTK1" s="5"/>
      <c r="MTL1" s="5"/>
      <c r="MTM1" s="5"/>
      <c r="MTN1" s="5"/>
      <c r="MTO1" s="5"/>
      <c r="MTP1" s="5"/>
      <c r="MTQ1" s="5"/>
      <c r="MTR1" s="5"/>
      <c r="MTS1" s="5"/>
      <c r="MTT1" s="5"/>
      <c r="MTU1" s="5"/>
      <c r="MTV1" s="5"/>
      <c r="MTW1" s="5"/>
      <c r="MTX1" s="5"/>
      <c r="MTY1" s="5"/>
      <c r="MTZ1" s="5"/>
      <c r="MUA1" s="5"/>
      <c r="MUB1" s="5"/>
      <c r="MUC1" s="5"/>
      <c r="MUD1" s="5"/>
      <c r="MUE1" s="5"/>
      <c r="MUF1" s="5"/>
      <c r="MUG1" s="5"/>
      <c r="MUH1" s="5"/>
      <c r="MUI1" s="5"/>
      <c r="MUJ1" s="5"/>
      <c r="MUK1" s="5"/>
      <c r="MUL1" s="5"/>
      <c r="MUM1" s="5"/>
      <c r="MUN1" s="5"/>
      <c r="MUO1" s="5"/>
      <c r="MUP1" s="5"/>
      <c r="MUQ1" s="5"/>
      <c r="MUR1" s="5"/>
      <c r="MUS1" s="5"/>
      <c r="MUT1" s="5"/>
      <c r="MUU1" s="5"/>
      <c r="MUV1" s="5"/>
      <c r="MUW1" s="5"/>
      <c r="MUX1" s="5"/>
      <c r="MUY1" s="5"/>
      <c r="MUZ1" s="5"/>
      <c r="MVA1" s="5"/>
      <c r="MVB1" s="5"/>
      <c r="MVC1" s="5"/>
      <c r="MVD1" s="5"/>
      <c r="MVE1" s="5"/>
      <c r="MVF1" s="5"/>
      <c r="MVG1" s="5"/>
      <c r="MVH1" s="5"/>
      <c r="MVI1" s="5"/>
      <c r="MVJ1" s="5"/>
      <c r="MVK1" s="5"/>
      <c r="MVL1" s="5"/>
      <c r="MVM1" s="5"/>
      <c r="MVN1" s="5"/>
      <c r="MVO1" s="5"/>
      <c r="MVP1" s="5"/>
      <c r="MVQ1" s="5"/>
      <c r="MVR1" s="5"/>
      <c r="MVS1" s="5"/>
      <c r="MVT1" s="5"/>
      <c r="MVU1" s="5"/>
      <c r="MVV1" s="5"/>
      <c r="MVW1" s="5"/>
      <c r="MVX1" s="5"/>
      <c r="MVY1" s="5"/>
      <c r="MVZ1" s="5"/>
      <c r="MWA1" s="5"/>
      <c r="MWB1" s="5"/>
      <c r="MWC1" s="5"/>
      <c r="MWD1" s="5"/>
      <c r="MWE1" s="5"/>
      <c r="MWF1" s="5"/>
      <c r="MWG1" s="5"/>
      <c r="MWH1" s="5"/>
      <c r="MWI1" s="5"/>
      <c r="MWJ1" s="5"/>
      <c r="MWK1" s="5"/>
      <c r="MWL1" s="5"/>
      <c r="MWM1" s="5"/>
      <c r="MWN1" s="5"/>
      <c r="MWO1" s="5"/>
      <c r="MWP1" s="5"/>
      <c r="MWQ1" s="5"/>
      <c r="MWR1" s="5"/>
      <c r="MWS1" s="5"/>
      <c r="MWT1" s="5"/>
      <c r="MWU1" s="5"/>
      <c r="MWV1" s="5"/>
      <c r="MWW1" s="5"/>
      <c r="MWX1" s="5"/>
      <c r="MWY1" s="5"/>
      <c r="MWZ1" s="5"/>
      <c r="MXA1" s="5"/>
      <c r="MXB1" s="5"/>
      <c r="MXC1" s="5"/>
      <c r="MXD1" s="5"/>
      <c r="MXE1" s="5"/>
      <c r="MXF1" s="5"/>
      <c r="MXG1" s="5"/>
      <c r="MXH1" s="5"/>
      <c r="MXI1" s="5"/>
      <c r="MXJ1" s="5"/>
      <c r="MXK1" s="5"/>
      <c r="MXL1" s="5"/>
      <c r="MXM1" s="5"/>
      <c r="MXN1" s="5"/>
      <c r="MXO1" s="5"/>
      <c r="MXP1" s="5"/>
      <c r="MXQ1" s="5"/>
      <c r="MXR1" s="5"/>
      <c r="MXS1" s="5"/>
      <c r="MXT1" s="5"/>
      <c r="MXU1" s="5"/>
      <c r="MXV1" s="5"/>
      <c r="MXW1" s="5"/>
      <c r="MXX1" s="5"/>
      <c r="MXY1" s="5"/>
      <c r="MXZ1" s="5"/>
      <c r="MYA1" s="5"/>
      <c r="MYB1" s="5"/>
      <c r="MYC1" s="5"/>
      <c r="MYD1" s="5"/>
      <c r="MYE1" s="5"/>
      <c r="MYF1" s="5"/>
      <c r="MYG1" s="5"/>
      <c r="MYH1" s="5"/>
      <c r="MYI1" s="5"/>
      <c r="MYJ1" s="5"/>
      <c r="MYK1" s="5"/>
      <c r="MYL1" s="5"/>
      <c r="MYM1" s="5"/>
      <c r="MYN1" s="5"/>
      <c r="MYO1" s="5"/>
      <c r="MYP1" s="5"/>
      <c r="MYQ1" s="5"/>
      <c r="MYR1" s="5"/>
      <c r="MYS1" s="5"/>
      <c r="MYT1" s="5"/>
      <c r="MYU1" s="5"/>
      <c r="MYV1" s="5"/>
      <c r="MYW1" s="5"/>
      <c r="MYX1" s="5"/>
      <c r="MYY1" s="5"/>
      <c r="MYZ1" s="5"/>
      <c r="MZA1" s="5"/>
      <c r="MZB1" s="5"/>
      <c r="MZC1" s="5"/>
      <c r="MZD1" s="5"/>
      <c r="MZE1" s="5"/>
      <c r="MZF1" s="5"/>
      <c r="MZG1" s="5"/>
      <c r="MZH1" s="5"/>
      <c r="MZI1" s="5"/>
      <c r="MZJ1" s="5"/>
      <c r="MZK1" s="5"/>
      <c r="MZL1" s="5"/>
      <c r="MZM1" s="5"/>
      <c r="MZN1" s="5"/>
      <c r="MZO1" s="5"/>
      <c r="MZP1" s="5"/>
      <c r="MZQ1" s="5"/>
      <c r="MZR1" s="5"/>
      <c r="MZS1" s="5"/>
      <c r="MZT1" s="5"/>
      <c r="MZU1" s="5"/>
      <c r="MZV1" s="5"/>
      <c r="MZW1" s="5"/>
      <c r="MZX1" s="5"/>
      <c r="MZY1" s="5"/>
      <c r="MZZ1" s="5"/>
      <c r="NAA1" s="5"/>
      <c r="NAB1" s="5"/>
      <c r="NAC1" s="5"/>
      <c r="NAD1" s="5"/>
      <c r="NAE1" s="5"/>
      <c r="NAF1" s="5"/>
      <c r="NAG1" s="5"/>
      <c r="NAH1" s="5"/>
      <c r="NAI1" s="5"/>
      <c r="NAJ1" s="5"/>
      <c r="NAK1" s="5"/>
      <c r="NAL1" s="5"/>
      <c r="NAM1" s="5"/>
      <c r="NAN1" s="5"/>
      <c r="NAO1" s="5"/>
      <c r="NAP1" s="5"/>
      <c r="NAQ1" s="5"/>
      <c r="NAR1" s="5"/>
      <c r="NAS1" s="5"/>
      <c r="NAT1" s="5"/>
      <c r="NAU1" s="5"/>
      <c r="NAV1" s="5"/>
      <c r="NAW1" s="5"/>
      <c r="NAX1" s="5"/>
      <c r="NAY1" s="5"/>
      <c r="NAZ1" s="5"/>
      <c r="NBA1" s="5"/>
      <c r="NBB1" s="5"/>
      <c r="NBC1" s="5"/>
      <c r="NBD1" s="5"/>
      <c r="NBE1" s="5"/>
      <c r="NBF1" s="5"/>
      <c r="NBG1" s="5"/>
      <c r="NBH1" s="5"/>
      <c r="NBI1" s="5"/>
      <c r="NBJ1" s="5"/>
      <c r="NBK1" s="5"/>
      <c r="NBL1" s="5"/>
      <c r="NBM1" s="5"/>
      <c r="NBN1" s="5"/>
      <c r="NBO1" s="5"/>
      <c r="NBP1" s="5"/>
      <c r="NBQ1" s="5"/>
      <c r="NBR1" s="5"/>
      <c r="NBS1" s="5"/>
      <c r="NBT1" s="5"/>
      <c r="NBU1" s="5"/>
      <c r="NBV1" s="5"/>
      <c r="NBW1" s="5"/>
      <c r="NBX1" s="5"/>
      <c r="NBY1" s="5"/>
      <c r="NBZ1" s="5"/>
      <c r="NCA1" s="5"/>
      <c r="NCB1" s="5"/>
      <c r="NCC1" s="5"/>
      <c r="NCD1" s="5"/>
      <c r="NCE1" s="5"/>
      <c r="NCF1" s="5"/>
      <c r="NCG1" s="5"/>
      <c r="NCH1" s="5"/>
      <c r="NCI1" s="5"/>
      <c r="NCJ1" s="5"/>
      <c r="NCK1" s="5"/>
      <c r="NCL1" s="5"/>
      <c r="NCM1" s="5"/>
      <c r="NCN1" s="5"/>
      <c r="NCO1" s="5"/>
      <c r="NCP1" s="5"/>
      <c r="NCQ1" s="5"/>
      <c r="NCR1" s="5"/>
      <c r="NCS1" s="5"/>
      <c r="NCT1" s="5"/>
      <c r="NCU1" s="5"/>
      <c r="NCV1" s="5"/>
      <c r="NCW1" s="5"/>
      <c r="NCX1" s="5"/>
      <c r="NCY1" s="5"/>
      <c r="NCZ1" s="5"/>
      <c r="NDA1" s="5"/>
      <c r="NDB1" s="5"/>
      <c r="NDC1" s="5"/>
      <c r="NDD1" s="5"/>
      <c r="NDE1" s="5"/>
      <c r="NDF1" s="5"/>
      <c r="NDG1" s="5"/>
      <c r="NDH1" s="5"/>
      <c r="NDI1" s="5"/>
      <c r="NDJ1" s="5"/>
      <c r="NDK1" s="5"/>
      <c r="NDL1" s="5"/>
      <c r="NDM1" s="5"/>
      <c r="NDN1" s="5"/>
      <c r="NDO1" s="5"/>
      <c r="NDP1" s="5"/>
      <c r="NDQ1" s="5"/>
      <c r="NDR1" s="5"/>
      <c r="NDS1" s="5"/>
      <c r="NDT1" s="5"/>
      <c r="NDU1" s="5"/>
      <c r="NDV1" s="5"/>
      <c r="NDW1" s="5"/>
      <c r="NDX1" s="5"/>
      <c r="NDY1" s="5"/>
      <c r="NDZ1" s="5"/>
      <c r="NEA1" s="5"/>
      <c r="NEB1" s="5"/>
      <c r="NEC1" s="5"/>
      <c r="NED1" s="5"/>
      <c r="NEE1" s="5"/>
      <c r="NEF1" s="5"/>
      <c r="NEG1" s="5"/>
      <c r="NEH1" s="5"/>
      <c r="NEI1" s="5"/>
      <c r="NEJ1" s="5"/>
      <c r="NEK1" s="5"/>
      <c r="NEL1" s="5"/>
      <c r="NEM1" s="5"/>
      <c r="NEN1" s="5"/>
      <c r="NEO1" s="5"/>
      <c r="NEP1" s="5"/>
      <c r="NEQ1" s="5"/>
      <c r="NER1" s="5"/>
      <c r="NES1" s="5"/>
      <c r="NET1" s="5"/>
      <c r="NEU1" s="5"/>
      <c r="NEV1" s="5"/>
      <c r="NEW1" s="5"/>
      <c r="NEX1" s="5"/>
      <c r="NEY1" s="5"/>
      <c r="NEZ1" s="5"/>
      <c r="NFA1" s="5"/>
      <c r="NFB1" s="5"/>
      <c r="NFC1" s="5"/>
      <c r="NFD1" s="5"/>
      <c r="NFE1" s="5"/>
      <c r="NFF1" s="5"/>
      <c r="NFG1" s="5"/>
      <c r="NFH1" s="5"/>
      <c r="NFI1" s="5"/>
      <c r="NFJ1" s="5"/>
      <c r="NFK1" s="5"/>
      <c r="NFL1" s="5"/>
      <c r="NFM1" s="5"/>
      <c r="NFN1" s="5"/>
      <c r="NFO1" s="5"/>
      <c r="NFP1" s="5"/>
      <c r="NFQ1" s="5"/>
      <c r="NFR1" s="5"/>
      <c r="NFS1" s="5"/>
      <c r="NFT1" s="5"/>
      <c r="NFU1" s="5"/>
      <c r="NFV1" s="5"/>
      <c r="NFW1" s="5"/>
      <c r="NFX1" s="5"/>
      <c r="NFY1" s="5"/>
      <c r="NFZ1" s="5"/>
      <c r="NGA1" s="5"/>
      <c r="NGB1" s="5"/>
      <c r="NGC1" s="5"/>
      <c r="NGD1" s="5"/>
      <c r="NGE1" s="5"/>
      <c r="NGF1" s="5"/>
      <c r="NGG1" s="5"/>
      <c r="NGH1" s="5"/>
      <c r="NGI1" s="5"/>
      <c r="NGJ1" s="5"/>
      <c r="NGK1" s="5"/>
      <c r="NGL1" s="5"/>
      <c r="NGM1" s="5"/>
      <c r="NGN1" s="5"/>
      <c r="NGO1" s="5"/>
      <c r="NGP1" s="5"/>
      <c r="NGQ1" s="5"/>
      <c r="NGR1" s="5"/>
      <c r="NGS1" s="5"/>
      <c r="NGT1" s="5"/>
      <c r="NGU1" s="5"/>
      <c r="NGV1" s="5"/>
      <c r="NGW1" s="5"/>
      <c r="NGX1" s="5"/>
      <c r="NGY1" s="5"/>
      <c r="NGZ1" s="5"/>
      <c r="NHA1" s="5"/>
      <c r="NHB1" s="5"/>
      <c r="NHC1" s="5"/>
      <c r="NHD1" s="5"/>
      <c r="NHE1" s="5"/>
      <c r="NHF1" s="5"/>
      <c r="NHG1" s="5"/>
      <c r="NHH1" s="5"/>
      <c r="NHI1" s="5"/>
      <c r="NHJ1" s="5"/>
      <c r="NHK1" s="5"/>
      <c r="NHL1" s="5"/>
      <c r="NHM1" s="5"/>
      <c r="NHN1" s="5"/>
      <c r="NHO1" s="5"/>
      <c r="NHP1" s="5"/>
      <c r="NHQ1" s="5"/>
      <c r="NHR1" s="5"/>
      <c r="NHS1" s="5"/>
      <c r="NHT1" s="5"/>
      <c r="NHU1" s="5"/>
      <c r="NHV1" s="5"/>
      <c r="NHW1" s="5"/>
      <c r="NHX1" s="5"/>
      <c r="NHY1" s="5"/>
      <c r="NHZ1" s="5"/>
      <c r="NIA1" s="5"/>
      <c r="NIB1" s="5"/>
      <c r="NIC1" s="5"/>
      <c r="NID1" s="5"/>
      <c r="NIE1" s="5"/>
      <c r="NIF1" s="5"/>
      <c r="NIG1" s="5"/>
      <c r="NIH1" s="5"/>
      <c r="NII1" s="5"/>
      <c r="NIJ1" s="5"/>
      <c r="NIK1" s="5"/>
      <c r="NIL1" s="5"/>
      <c r="NIM1" s="5"/>
      <c r="NIN1" s="5"/>
      <c r="NIO1" s="5"/>
      <c r="NIP1" s="5"/>
      <c r="NIQ1" s="5"/>
      <c r="NIR1" s="5"/>
      <c r="NIS1" s="5"/>
      <c r="NIT1" s="5"/>
      <c r="NIU1" s="5"/>
      <c r="NIV1" s="5"/>
      <c r="NIW1" s="5"/>
      <c r="NIX1" s="5"/>
      <c r="NIY1" s="5"/>
      <c r="NIZ1" s="5"/>
      <c r="NJA1" s="5"/>
      <c r="NJB1" s="5"/>
      <c r="NJC1" s="5"/>
      <c r="NJD1" s="5"/>
      <c r="NJE1" s="5"/>
      <c r="NJF1" s="5"/>
      <c r="NJG1" s="5"/>
      <c r="NJH1" s="5"/>
      <c r="NJI1" s="5"/>
      <c r="NJJ1" s="5"/>
      <c r="NJK1" s="5"/>
      <c r="NJL1" s="5"/>
      <c r="NJM1" s="5"/>
      <c r="NJN1" s="5"/>
      <c r="NJO1" s="5"/>
      <c r="NJP1" s="5"/>
      <c r="NJQ1" s="5"/>
      <c r="NJR1" s="5"/>
      <c r="NJS1" s="5"/>
      <c r="NJT1" s="5"/>
      <c r="NJU1" s="5"/>
      <c r="NJV1" s="5"/>
      <c r="NJW1" s="5"/>
      <c r="NJX1" s="5"/>
      <c r="NJY1" s="5"/>
      <c r="NJZ1" s="5"/>
      <c r="NKA1" s="5"/>
      <c r="NKB1" s="5"/>
      <c r="NKC1" s="5"/>
      <c r="NKD1" s="5"/>
      <c r="NKE1" s="5"/>
      <c r="NKF1" s="5"/>
      <c r="NKG1" s="5"/>
      <c r="NKH1" s="5"/>
      <c r="NKI1" s="5"/>
      <c r="NKJ1" s="5"/>
      <c r="NKK1" s="5"/>
      <c r="NKL1" s="5"/>
      <c r="NKM1" s="5"/>
      <c r="NKN1" s="5"/>
      <c r="NKO1" s="5"/>
      <c r="NKP1" s="5"/>
      <c r="NKQ1" s="5"/>
      <c r="NKR1" s="5"/>
      <c r="NKS1" s="5"/>
      <c r="NKT1" s="5"/>
      <c r="NKU1" s="5"/>
      <c r="NKV1" s="5"/>
      <c r="NKW1" s="5"/>
      <c r="NKX1" s="5"/>
      <c r="NKY1" s="5"/>
      <c r="NKZ1" s="5"/>
      <c r="NLA1" s="5"/>
      <c r="NLB1" s="5"/>
      <c r="NLC1" s="5"/>
      <c r="NLD1" s="5"/>
      <c r="NLE1" s="5"/>
      <c r="NLF1" s="5"/>
      <c r="NLG1" s="5"/>
      <c r="NLH1" s="5"/>
      <c r="NLI1" s="5"/>
      <c r="NLJ1" s="5"/>
      <c r="NLK1" s="5"/>
      <c r="NLL1" s="5"/>
      <c r="NLM1" s="5"/>
      <c r="NLN1" s="5"/>
      <c r="NLO1" s="5"/>
      <c r="NLP1" s="5"/>
      <c r="NLQ1" s="5"/>
      <c r="NLR1" s="5"/>
      <c r="NLS1" s="5"/>
      <c r="NLT1" s="5"/>
      <c r="NLU1" s="5"/>
      <c r="NLV1" s="5"/>
      <c r="NLW1" s="5"/>
      <c r="NLX1" s="5"/>
      <c r="NLY1" s="5"/>
      <c r="NLZ1" s="5"/>
      <c r="NMA1" s="5"/>
      <c r="NMB1" s="5"/>
      <c r="NMC1" s="5"/>
      <c r="NMD1" s="5"/>
      <c r="NME1" s="5"/>
      <c r="NMF1" s="5"/>
      <c r="NMG1" s="5"/>
      <c r="NMH1" s="5"/>
      <c r="NMI1" s="5"/>
      <c r="NMJ1" s="5"/>
      <c r="NMK1" s="5"/>
      <c r="NML1" s="5"/>
      <c r="NMM1" s="5"/>
      <c r="NMN1" s="5"/>
      <c r="NMO1" s="5"/>
      <c r="NMP1" s="5"/>
      <c r="NMQ1" s="5"/>
      <c r="NMR1" s="5"/>
      <c r="NMS1" s="5"/>
      <c r="NMT1" s="5"/>
      <c r="NMU1" s="5"/>
      <c r="NMV1" s="5"/>
      <c r="NMW1" s="5"/>
      <c r="NMX1" s="5"/>
      <c r="NMY1" s="5"/>
      <c r="NMZ1" s="5"/>
      <c r="NNA1" s="5"/>
      <c r="NNB1" s="5"/>
      <c r="NNC1" s="5"/>
      <c r="NND1" s="5"/>
      <c r="NNE1" s="5"/>
      <c r="NNF1" s="5"/>
      <c r="NNG1" s="5"/>
      <c r="NNH1" s="5"/>
      <c r="NNI1" s="5"/>
      <c r="NNJ1" s="5"/>
      <c r="NNK1" s="5"/>
      <c r="NNL1" s="5"/>
      <c r="NNM1" s="5"/>
      <c r="NNN1" s="5"/>
      <c r="NNO1" s="5"/>
      <c r="NNP1" s="5"/>
      <c r="NNQ1" s="5"/>
      <c r="NNR1" s="5"/>
      <c r="NNS1" s="5"/>
      <c r="NNT1" s="5"/>
      <c r="NNU1" s="5"/>
      <c r="NNV1" s="5"/>
      <c r="NNW1" s="5"/>
      <c r="NNX1" s="5"/>
      <c r="NNY1" s="5"/>
      <c r="NNZ1" s="5"/>
      <c r="NOA1" s="5"/>
      <c r="NOB1" s="5"/>
      <c r="NOC1" s="5"/>
      <c r="NOD1" s="5"/>
      <c r="NOE1" s="5"/>
      <c r="NOF1" s="5"/>
      <c r="NOG1" s="5"/>
      <c r="NOH1" s="5"/>
      <c r="NOI1" s="5"/>
      <c r="NOJ1" s="5"/>
      <c r="NOK1" s="5"/>
      <c r="NOL1" s="5"/>
      <c r="NOM1" s="5"/>
      <c r="NON1" s="5"/>
      <c r="NOO1" s="5"/>
      <c r="NOP1" s="5"/>
      <c r="NOQ1" s="5"/>
      <c r="NOR1" s="5"/>
      <c r="NOS1" s="5"/>
      <c r="NOT1" s="5"/>
      <c r="NOU1" s="5"/>
      <c r="NOV1" s="5"/>
      <c r="NOW1" s="5"/>
      <c r="NOX1" s="5"/>
      <c r="NOY1" s="5"/>
      <c r="NOZ1" s="5"/>
      <c r="NPA1" s="5"/>
      <c r="NPB1" s="5"/>
      <c r="NPC1" s="5"/>
      <c r="NPD1" s="5"/>
      <c r="NPE1" s="5"/>
      <c r="NPF1" s="5"/>
      <c r="NPG1" s="5"/>
      <c r="NPH1" s="5"/>
      <c r="NPI1" s="5"/>
      <c r="NPJ1" s="5"/>
      <c r="NPK1" s="5"/>
      <c r="NPL1" s="5"/>
      <c r="NPM1" s="5"/>
      <c r="NPN1" s="5"/>
      <c r="NPO1" s="5"/>
      <c r="NPP1" s="5"/>
      <c r="NPQ1" s="5"/>
      <c r="NPR1" s="5"/>
      <c r="NPS1" s="5"/>
      <c r="NPT1" s="5"/>
      <c r="NPU1" s="5"/>
      <c r="NPV1" s="5"/>
      <c r="NPW1" s="5"/>
      <c r="NPX1" s="5"/>
      <c r="NPY1" s="5"/>
      <c r="NPZ1" s="5"/>
      <c r="NQA1" s="5"/>
      <c r="NQB1" s="5"/>
      <c r="NQC1" s="5"/>
      <c r="NQD1" s="5"/>
      <c r="NQE1" s="5"/>
      <c r="NQF1" s="5"/>
      <c r="NQG1" s="5"/>
      <c r="NQH1" s="5"/>
      <c r="NQI1" s="5"/>
      <c r="NQJ1" s="5"/>
      <c r="NQK1" s="5"/>
      <c r="NQL1" s="5"/>
      <c r="NQM1" s="5"/>
      <c r="NQN1" s="5"/>
      <c r="NQO1" s="5"/>
      <c r="NQP1" s="5"/>
      <c r="NQQ1" s="5"/>
      <c r="NQR1" s="5"/>
      <c r="NQS1" s="5"/>
      <c r="NQT1" s="5"/>
      <c r="NQU1" s="5"/>
      <c r="NQV1" s="5"/>
      <c r="NQW1" s="5"/>
      <c r="NQX1" s="5"/>
      <c r="NQY1" s="5"/>
      <c r="NQZ1" s="5"/>
      <c r="NRA1" s="5"/>
      <c r="NRB1" s="5"/>
      <c r="NRC1" s="5"/>
      <c r="NRD1" s="5"/>
      <c r="NRE1" s="5"/>
      <c r="NRF1" s="5"/>
      <c r="NRG1" s="5"/>
      <c r="NRH1" s="5"/>
      <c r="NRI1" s="5"/>
      <c r="NRJ1" s="5"/>
      <c r="NRK1" s="5"/>
      <c r="NRL1" s="5"/>
      <c r="NRM1" s="5"/>
      <c r="NRN1" s="5"/>
      <c r="NRO1" s="5"/>
      <c r="NRP1" s="5"/>
      <c r="NRQ1" s="5"/>
      <c r="NRR1" s="5"/>
      <c r="NRS1" s="5"/>
      <c r="NRT1" s="5"/>
      <c r="NRU1" s="5"/>
      <c r="NRV1" s="5"/>
      <c r="NRW1" s="5"/>
      <c r="NRX1" s="5"/>
      <c r="NRY1" s="5"/>
      <c r="NRZ1" s="5"/>
      <c r="NSA1" s="5"/>
      <c r="NSB1" s="5"/>
      <c r="NSC1" s="5"/>
      <c r="NSD1" s="5"/>
      <c r="NSE1" s="5"/>
      <c r="NSF1" s="5"/>
      <c r="NSG1" s="5"/>
      <c r="NSH1" s="5"/>
      <c r="NSI1" s="5"/>
      <c r="NSJ1" s="5"/>
      <c r="NSK1" s="5"/>
      <c r="NSL1" s="5"/>
      <c r="NSM1" s="5"/>
      <c r="NSN1" s="5"/>
      <c r="NSO1" s="5"/>
      <c r="NSP1" s="5"/>
      <c r="NSQ1" s="5"/>
      <c r="NSR1" s="5"/>
      <c r="NSS1" s="5"/>
      <c r="NST1" s="5"/>
      <c r="NSU1" s="5"/>
      <c r="NSV1" s="5"/>
      <c r="NSW1" s="5"/>
      <c r="NSX1" s="5"/>
      <c r="NSY1" s="5"/>
      <c r="NSZ1" s="5"/>
      <c r="NTA1" s="5"/>
      <c r="NTB1" s="5"/>
      <c r="NTC1" s="5"/>
      <c r="NTD1" s="5"/>
      <c r="NTE1" s="5"/>
      <c r="NTF1" s="5"/>
      <c r="NTG1" s="5"/>
      <c r="NTH1" s="5"/>
      <c r="NTI1" s="5"/>
      <c r="NTJ1" s="5"/>
      <c r="NTK1" s="5"/>
      <c r="NTL1" s="5"/>
      <c r="NTM1" s="5"/>
      <c r="NTN1" s="5"/>
      <c r="NTO1" s="5"/>
      <c r="NTP1" s="5"/>
      <c r="NTQ1" s="5"/>
      <c r="NTR1" s="5"/>
      <c r="NTS1" s="5"/>
      <c r="NTT1" s="5"/>
      <c r="NTU1" s="5"/>
      <c r="NTV1" s="5"/>
      <c r="NTW1" s="5"/>
      <c r="NTX1" s="5"/>
      <c r="NTY1" s="5"/>
      <c r="NTZ1" s="5"/>
      <c r="NUA1" s="5"/>
      <c r="NUB1" s="5"/>
      <c r="NUC1" s="5"/>
      <c r="NUD1" s="5"/>
      <c r="NUE1" s="5"/>
      <c r="NUF1" s="5"/>
      <c r="NUG1" s="5"/>
      <c r="NUH1" s="5"/>
      <c r="NUI1" s="5"/>
      <c r="NUJ1" s="5"/>
      <c r="NUK1" s="5"/>
      <c r="NUL1" s="5"/>
      <c r="NUM1" s="5"/>
      <c r="NUN1" s="5"/>
      <c r="NUO1" s="5"/>
      <c r="NUP1" s="5"/>
      <c r="NUQ1" s="5"/>
      <c r="NUR1" s="5"/>
      <c r="NUS1" s="5"/>
      <c r="NUT1" s="5"/>
      <c r="NUU1" s="5"/>
      <c r="NUV1" s="5"/>
      <c r="NUW1" s="5"/>
      <c r="NUX1" s="5"/>
      <c r="NUY1" s="5"/>
      <c r="NUZ1" s="5"/>
      <c r="NVA1" s="5"/>
      <c r="NVB1" s="5"/>
      <c r="NVC1" s="5"/>
      <c r="NVD1" s="5"/>
      <c r="NVE1" s="5"/>
      <c r="NVF1" s="5"/>
      <c r="NVG1" s="5"/>
      <c r="NVH1" s="5"/>
      <c r="NVI1" s="5"/>
      <c r="NVJ1" s="5"/>
      <c r="NVK1" s="5"/>
      <c r="NVL1" s="5"/>
      <c r="NVM1" s="5"/>
      <c r="NVN1" s="5"/>
      <c r="NVO1" s="5"/>
      <c r="NVP1" s="5"/>
      <c r="NVQ1" s="5"/>
      <c r="NVR1" s="5"/>
      <c r="NVS1" s="5"/>
      <c r="NVT1" s="5"/>
      <c r="NVU1" s="5"/>
      <c r="NVV1" s="5"/>
      <c r="NVW1" s="5"/>
      <c r="NVX1" s="5"/>
      <c r="NVY1" s="5"/>
      <c r="NVZ1" s="5"/>
      <c r="NWA1" s="5"/>
      <c r="NWB1" s="5"/>
      <c r="NWC1" s="5"/>
      <c r="NWD1" s="5"/>
      <c r="NWE1" s="5"/>
      <c r="NWF1" s="5"/>
      <c r="NWG1" s="5"/>
      <c r="NWH1" s="5"/>
      <c r="NWI1" s="5"/>
      <c r="NWJ1" s="5"/>
      <c r="NWK1" s="5"/>
      <c r="NWL1" s="5"/>
      <c r="NWM1" s="5"/>
      <c r="NWN1" s="5"/>
      <c r="NWO1" s="5"/>
      <c r="NWP1" s="5"/>
      <c r="NWQ1" s="5"/>
      <c r="NWR1" s="5"/>
      <c r="NWS1" s="5"/>
      <c r="NWT1" s="5"/>
      <c r="NWU1" s="5"/>
      <c r="NWV1" s="5"/>
      <c r="NWW1" s="5"/>
      <c r="NWX1" s="5"/>
      <c r="NWY1" s="5"/>
      <c r="NWZ1" s="5"/>
      <c r="NXA1" s="5"/>
      <c r="NXB1" s="5"/>
      <c r="NXC1" s="5"/>
      <c r="NXD1" s="5"/>
      <c r="NXE1" s="5"/>
      <c r="NXF1" s="5"/>
      <c r="NXG1" s="5"/>
      <c r="NXH1" s="5"/>
      <c r="NXI1" s="5"/>
      <c r="NXJ1" s="5"/>
      <c r="NXK1" s="5"/>
      <c r="NXL1" s="5"/>
      <c r="NXM1" s="5"/>
      <c r="NXN1" s="5"/>
      <c r="NXO1" s="5"/>
      <c r="NXP1" s="5"/>
      <c r="NXQ1" s="5"/>
      <c r="NXR1" s="5"/>
      <c r="NXS1" s="5"/>
      <c r="NXT1" s="5"/>
      <c r="NXU1" s="5"/>
      <c r="NXV1" s="5"/>
      <c r="NXW1" s="5"/>
      <c r="NXX1" s="5"/>
      <c r="NXY1" s="5"/>
      <c r="NXZ1" s="5"/>
      <c r="NYA1" s="5"/>
      <c r="NYB1" s="5"/>
      <c r="NYC1" s="5"/>
      <c r="NYD1" s="5"/>
      <c r="NYE1" s="5"/>
      <c r="NYF1" s="5"/>
      <c r="NYG1" s="5"/>
      <c r="NYH1" s="5"/>
      <c r="NYI1" s="5"/>
      <c r="NYJ1" s="5"/>
      <c r="NYK1" s="5"/>
      <c r="NYL1" s="5"/>
      <c r="NYM1" s="5"/>
      <c r="NYN1" s="5"/>
      <c r="NYO1" s="5"/>
      <c r="NYP1" s="5"/>
      <c r="NYQ1" s="5"/>
      <c r="NYR1" s="5"/>
      <c r="NYS1" s="5"/>
      <c r="NYT1" s="5"/>
      <c r="NYU1" s="5"/>
      <c r="NYV1" s="5"/>
      <c r="NYW1" s="5"/>
      <c r="NYX1" s="5"/>
      <c r="NYY1" s="5"/>
      <c r="NYZ1" s="5"/>
      <c r="NZA1" s="5"/>
      <c r="NZB1" s="5"/>
      <c r="NZC1" s="5"/>
      <c r="NZD1" s="5"/>
      <c r="NZE1" s="5"/>
      <c r="NZF1" s="5"/>
      <c r="NZG1" s="5"/>
      <c r="NZH1" s="5"/>
      <c r="NZI1" s="5"/>
      <c r="NZJ1" s="5"/>
      <c r="NZK1" s="5"/>
      <c r="NZL1" s="5"/>
      <c r="NZM1" s="5"/>
      <c r="NZN1" s="5"/>
      <c r="NZO1" s="5"/>
      <c r="NZP1" s="5"/>
      <c r="NZQ1" s="5"/>
      <c r="NZR1" s="5"/>
      <c r="NZS1" s="5"/>
      <c r="NZT1" s="5"/>
      <c r="NZU1" s="5"/>
      <c r="NZV1" s="5"/>
      <c r="NZW1" s="5"/>
      <c r="NZX1" s="5"/>
      <c r="NZY1" s="5"/>
      <c r="NZZ1" s="5"/>
      <c r="OAA1" s="5"/>
      <c r="OAB1" s="5"/>
      <c r="OAC1" s="5"/>
      <c r="OAD1" s="5"/>
      <c r="OAE1" s="5"/>
      <c r="OAF1" s="5"/>
      <c r="OAG1" s="5"/>
      <c r="OAH1" s="5"/>
      <c r="OAI1" s="5"/>
      <c r="OAJ1" s="5"/>
      <c r="OAK1" s="5"/>
      <c r="OAL1" s="5"/>
      <c r="OAM1" s="5"/>
      <c r="OAN1" s="5"/>
      <c r="OAO1" s="5"/>
      <c r="OAP1" s="5"/>
      <c r="OAQ1" s="5"/>
      <c r="OAR1" s="5"/>
      <c r="OAS1" s="5"/>
      <c r="OAT1" s="5"/>
      <c r="OAU1" s="5"/>
      <c r="OAV1" s="5"/>
      <c r="OAW1" s="5"/>
      <c r="OAX1" s="5"/>
      <c r="OAY1" s="5"/>
      <c r="OAZ1" s="5"/>
      <c r="OBA1" s="5"/>
      <c r="OBB1" s="5"/>
      <c r="OBC1" s="5"/>
      <c r="OBD1" s="5"/>
      <c r="OBE1" s="5"/>
      <c r="OBF1" s="5"/>
      <c r="OBG1" s="5"/>
      <c r="OBH1" s="5"/>
      <c r="OBI1" s="5"/>
      <c r="OBJ1" s="5"/>
      <c r="OBK1" s="5"/>
      <c r="OBL1" s="5"/>
      <c r="OBM1" s="5"/>
      <c r="OBN1" s="5"/>
      <c r="OBO1" s="5"/>
      <c r="OBP1" s="5"/>
      <c r="OBQ1" s="5"/>
      <c r="OBR1" s="5"/>
      <c r="OBS1" s="5"/>
      <c r="OBT1" s="5"/>
      <c r="OBU1" s="5"/>
      <c r="OBV1" s="5"/>
      <c r="OBW1" s="5"/>
      <c r="OBX1" s="5"/>
      <c r="OBY1" s="5"/>
      <c r="OBZ1" s="5"/>
      <c r="OCA1" s="5"/>
      <c r="OCB1" s="5"/>
      <c r="OCC1" s="5"/>
      <c r="OCD1" s="5"/>
      <c r="OCE1" s="5"/>
      <c r="OCF1" s="5"/>
      <c r="OCG1" s="5"/>
      <c r="OCH1" s="5"/>
      <c r="OCI1" s="5"/>
      <c r="OCJ1" s="5"/>
      <c r="OCK1" s="5"/>
      <c r="OCL1" s="5"/>
      <c r="OCM1" s="5"/>
      <c r="OCN1" s="5"/>
      <c r="OCO1" s="5"/>
      <c r="OCP1" s="5"/>
      <c r="OCQ1" s="5"/>
      <c r="OCR1" s="5"/>
      <c r="OCS1" s="5"/>
      <c r="OCT1" s="5"/>
      <c r="OCU1" s="5"/>
      <c r="OCV1" s="5"/>
      <c r="OCW1" s="5"/>
      <c r="OCX1" s="5"/>
      <c r="OCY1" s="5"/>
      <c r="OCZ1" s="5"/>
      <c r="ODA1" s="5"/>
      <c r="ODB1" s="5"/>
      <c r="ODC1" s="5"/>
      <c r="ODD1" s="5"/>
      <c r="ODE1" s="5"/>
      <c r="ODF1" s="5"/>
      <c r="ODG1" s="5"/>
      <c r="ODH1" s="5"/>
      <c r="ODI1" s="5"/>
      <c r="ODJ1" s="5"/>
      <c r="ODK1" s="5"/>
      <c r="ODL1" s="5"/>
      <c r="ODM1" s="5"/>
      <c r="ODN1" s="5"/>
      <c r="ODO1" s="5"/>
      <c r="ODP1" s="5"/>
      <c r="ODQ1" s="5"/>
      <c r="ODR1" s="5"/>
      <c r="ODS1" s="5"/>
      <c r="ODT1" s="5"/>
      <c r="ODU1" s="5"/>
      <c r="ODV1" s="5"/>
      <c r="ODW1" s="5"/>
      <c r="ODX1" s="5"/>
      <c r="ODY1" s="5"/>
      <c r="ODZ1" s="5"/>
      <c r="OEA1" s="5"/>
      <c r="OEB1" s="5"/>
      <c r="OEC1" s="5"/>
      <c r="OED1" s="5"/>
      <c r="OEE1" s="5"/>
      <c r="OEF1" s="5"/>
      <c r="OEG1" s="5"/>
      <c r="OEH1" s="5"/>
      <c r="OEI1" s="5"/>
      <c r="OEJ1" s="5"/>
      <c r="OEK1" s="5"/>
      <c r="OEL1" s="5"/>
      <c r="OEM1" s="5"/>
      <c r="OEN1" s="5"/>
      <c r="OEO1" s="5"/>
      <c r="OEP1" s="5"/>
      <c r="OEQ1" s="5"/>
      <c r="OER1" s="5"/>
      <c r="OES1" s="5"/>
      <c r="OET1" s="5"/>
      <c r="OEU1" s="5"/>
      <c r="OEV1" s="5"/>
      <c r="OEW1" s="5"/>
      <c r="OEX1" s="5"/>
      <c r="OEY1" s="5"/>
      <c r="OEZ1" s="5"/>
      <c r="OFA1" s="5"/>
      <c r="OFB1" s="5"/>
      <c r="OFC1" s="5"/>
      <c r="OFD1" s="5"/>
      <c r="OFE1" s="5"/>
      <c r="OFF1" s="5"/>
      <c r="OFG1" s="5"/>
      <c r="OFH1" s="5"/>
      <c r="OFI1" s="5"/>
      <c r="OFJ1" s="5"/>
      <c r="OFK1" s="5"/>
      <c r="OFL1" s="5"/>
      <c r="OFM1" s="5"/>
      <c r="OFN1" s="5"/>
      <c r="OFO1" s="5"/>
      <c r="OFP1" s="5"/>
      <c r="OFQ1" s="5"/>
      <c r="OFR1" s="5"/>
      <c r="OFS1" s="5"/>
      <c r="OFT1" s="5"/>
      <c r="OFU1" s="5"/>
      <c r="OFV1" s="5"/>
      <c r="OFW1" s="5"/>
      <c r="OFX1" s="5"/>
      <c r="OFY1" s="5"/>
      <c r="OFZ1" s="5"/>
      <c r="OGA1" s="5"/>
      <c r="OGB1" s="5"/>
      <c r="OGC1" s="5"/>
      <c r="OGD1" s="5"/>
      <c r="OGE1" s="5"/>
      <c r="OGF1" s="5"/>
      <c r="OGG1" s="5"/>
      <c r="OGH1" s="5"/>
      <c r="OGI1" s="5"/>
      <c r="OGJ1" s="5"/>
      <c r="OGK1" s="5"/>
      <c r="OGL1" s="5"/>
      <c r="OGM1" s="5"/>
      <c r="OGN1" s="5"/>
      <c r="OGO1" s="5"/>
      <c r="OGP1" s="5"/>
      <c r="OGQ1" s="5"/>
      <c r="OGR1" s="5"/>
      <c r="OGS1" s="5"/>
      <c r="OGT1" s="5"/>
      <c r="OGU1" s="5"/>
      <c r="OGV1" s="5"/>
      <c r="OGW1" s="5"/>
      <c r="OGX1" s="5"/>
      <c r="OGY1" s="5"/>
      <c r="OGZ1" s="5"/>
      <c r="OHA1" s="5"/>
      <c r="OHB1" s="5"/>
      <c r="OHC1" s="5"/>
      <c r="OHD1" s="5"/>
      <c r="OHE1" s="5"/>
      <c r="OHF1" s="5"/>
      <c r="OHG1" s="5"/>
      <c r="OHH1" s="5"/>
      <c r="OHI1" s="5"/>
      <c r="OHJ1" s="5"/>
      <c r="OHK1" s="5"/>
      <c r="OHL1" s="5"/>
      <c r="OHM1" s="5"/>
      <c r="OHN1" s="5"/>
      <c r="OHO1" s="5"/>
      <c r="OHP1" s="5"/>
      <c r="OHQ1" s="5"/>
      <c r="OHR1" s="5"/>
      <c r="OHS1" s="5"/>
      <c r="OHT1" s="5"/>
      <c r="OHU1" s="5"/>
      <c r="OHV1" s="5"/>
      <c r="OHW1" s="5"/>
      <c r="OHX1" s="5"/>
      <c r="OHY1" s="5"/>
      <c r="OHZ1" s="5"/>
      <c r="OIA1" s="5"/>
      <c r="OIB1" s="5"/>
      <c r="OIC1" s="5"/>
      <c r="OID1" s="5"/>
      <c r="OIE1" s="5"/>
      <c r="OIF1" s="5"/>
      <c r="OIG1" s="5"/>
      <c r="OIH1" s="5"/>
      <c r="OII1" s="5"/>
      <c r="OIJ1" s="5"/>
      <c r="OIK1" s="5"/>
      <c r="OIL1" s="5"/>
      <c r="OIM1" s="5"/>
      <c r="OIN1" s="5"/>
      <c r="OIO1" s="5"/>
      <c r="OIP1" s="5"/>
      <c r="OIQ1" s="5"/>
      <c r="OIR1" s="5"/>
      <c r="OIS1" s="5"/>
      <c r="OIT1" s="5"/>
      <c r="OIU1" s="5"/>
      <c r="OIV1" s="5"/>
      <c r="OIW1" s="5"/>
      <c r="OIX1" s="5"/>
      <c r="OIY1" s="5"/>
      <c r="OIZ1" s="5"/>
      <c r="OJA1" s="5"/>
      <c r="OJB1" s="5"/>
      <c r="OJC1" s="5"/>
      <c r="OJD1" s="5"/>
      <c r="OJE1" s="5"/>
      <c r="OJF1" s="5"/>
      <c r="OJG1" s="5"/>
      <c r="OJH1" s="5"/>
      <c r="OJI1" s="5"/>
      <c r="OJJ1" s="5"/>
      <c r="OJK1" s="5"/>
      <c r="OJL1" s="5"/>
      <c r="OJM1" s="5"/>
      <c r="OJN1" s="5"/>
      <c r="OJO1" s="5"/>
      <c r="OJP1" s="5"/>
      <c r="OJQ1" s="5"/>
      <c r="OJR1" s="5"/>
      <c r="OJS1" s="5"/>
      <c r="OJT1" s="5"/>
      <c r="OJU1" s="5"/>
      <c r="OJV1" s="5"/>
      <c r="OJW1" s="5"/>
      <c r="OJX1" s="5"/>
      <c r="OJY1" s="5"/>
      <c r="OJZ1" s="5"/>
      <c r="OKA1" s="5"/>
      <c r="OKB1" s="5"/>
      <c r="OKC1" s="5"/>
      <c r="OKD1" s="5"/>
      <c r="OKE1" s="5"/>
      <c r="OKF1" s="5"/>
      <c r="OKG1" s="5"/>
      <c r="OKH1" s="5"/>
      <c r="OKI1" s="5"/>
      <c r="OKJ1" s="5"/>
      <c r="OKK1" s="5"/>
      <c r="OKL1" s="5"/>
      <c r="OKM1" s="5"/>
      <c r="OKN1" s="5"/>
      <c r="OKO1" s="5"/>
      <c r="OKP1" s="5"/>
      <c r="OKQ1" s="5"/>
      <c r="OKR1" s="5"/>
      <c r="OKS1" s="5"/>
      <c r="OKT1" s="5"/>
      <c r="OKU1" s="5"/>
      <c r="OKV1" s="5"/>
      <c r="OKW1" s="5"/>
      <c r="OKX1" s="5"/>
      <c r="OKY1" s="5"/>
      <c r="OKZ1" s="5"/>
      <c r="OLA1" s="5"/>
      <c r="OLB1" s="5"/>
      <c r="OLC1" s="5"/>
      <c r="OLD1" s="5"/>
      <c r="OLE1" s="5"/>
      <c r="OLF1" s="5"/>
      <c r="OLG1" s="5"/>
      <c r="OLH1" s="5"/>
      <c r="OLI1" s="5"/>
      <c r="OLJ1" s="5"/>
      <c r="OLK1" s="5"/>
      <c r="OLL1" s="5"/>
      <c r="OLM1" s="5"/>
      <c r="OLN1" s="5"/>
      <c r="OLO1" s="5"/>
      <c r="OLP1" s="5"/>
      <c r="OLQ1" s="5"/>
      <c r="OLR1" s="5"/>
      <c r="OLS1" s="5"/>
      <c r="OLT1" s="5"/>
      <c r="OLU1" s="5"/>
      <c r="OLV1" s="5"/>
      <c r="OLW1" s="5"/>
      <c r="OLX1" s="5"/>
      <c r="OLY1" s="5"/>
      <c r="OLZ1" s="5"/>
      <c r="OMA1" s="5"/>
      <c r="OMB1" s="5"/>
      <c r="OMC1" s="5"/>
      <c r="OMD1" s="5"/>
      <c r="OME1" s="5"/>
      <c r="OMF1" s="5"/>
      <c r="OMG1" s="5"/>
      <c r="OMH1" s="5"/>
      <c r="OMI1" s="5"/>
      <c r="OMJ1" s="5"/>
      <c r="OMK1" s="5"/>
      <c r="OML1" s="5"/>
      <c r="OMM1" s="5"/>
      <c r="OMN1" s="5"/>
      <c r="OMO1" s="5"/>
      <c r="OMP1" s="5"/>
      <c r="OMQ1" s="5"/>
      <c r="OMR1" s="5"/>
      <c r="OMS1" s="5"/>
      <c r="OMT1" s="5"/>
      <c r="OMU1" s="5"/>
      <c r="OMV1" s="5"/>
      <c r="OMW1" s="5"/>
      <c r="OMX1" s="5"/>
      <c r="OMY1" s="5"/>
      <c r="OMZ1" s="5"/>
      <c r="ONA1" s="5"/>
      <c r="ONB1" s="5"/>
      <c r="ONC1" s="5"/>
      <c r="OND1" s="5"/>
      <c r="ONE1" s="5"/>
      <c r="ONF1" s="5"/>
      <c r="ONG1" s="5"/>
      <c r="ONH1" s="5"/>
      <c r="ONI1" s="5"/>
      <c r="ONJ1" s="5"/>
      <c r="ONK1" s="5"/>
      <c r="ONL1" s="5"/>
      <c r="ONM1" s="5"/>
      <c r="ONN1" s="5"/>
      <c r="ONO1" s="5"/>
      <c r="ONP1" s="5"/>
      <c r="ONQ1" s="5"/>
      <c r="ONR1" s="5"/>
      <c r="ONS1" s="5"/>
      <c r="ONT1" s="5"/>
      <c r="ONU1" s="5"/>
      <c r="ONV1" s="5"/>
      <c r="ONW1" s="5"/>
      <c r="ONX1" s="5"/>
      <c r="ONY1" s="5"/>
      <c r="ONZ1" s="5"/>
      <c r="OOA1" s="5"/>
      <c r="OOB1" s="5"/>
      <c r="OOC1" s="5"/>
      <c r="OOD1" s="5"/>
      <c r="OOE1" s="5"/>
      <c r="OOF1" s="5"/>
      <c r="OOG1" s="5"/>
      <c r="OOH1" s="5"/>
      <c r="OOI1" s="5"/>
      <c r="OOJ1" s="5"/>
      <c r="OOK1" s="5"/>
      <c r="OOL1" s="5"/>
      <c r="OOM1" s="5"/>
      <c r="OON1" s="5"/>
      <c r="OOO1" s="5"/>
      <c r="OOP1" s="5"/>
      <c r="OOQ1" s="5"/>
      <c r="OOR1" s="5"/>
      <c r="OOS1" s="5"/>
      <c r="OOT1" s="5"/>
      <c r="OOU1" s="5"/>
      <c r="OOV1" s="5"/>
      <c r="OOW1" s="5"/>
      <c r="OOX1" s="5"/>
      <c r="OOY1" s="5"/>
      <c r="OOZ1" s="5"/>
      <c r="OPA1" s="5"/>
      <c r="OPB1" s="5"/>
      <c r="OPC1" s="5"/>
      <c r="OPD1" s="5"/>
      <c r="OPE1" s="5"/>
      <c r="OPF1" s="5"/>
      <c r="OPG1" s="5"/>
      <c r="OPH1" s="5"/>
      <c r="OPI1" s="5"/>
      <c r="OPJ1" s="5"/>
      <c r="OPK1" s="5"/>
      <c r="OPL1" s="5"/>
      <c r="OPM1" s="5"/>
      <c r="OPN1" s="5"/>
      <c r="OPO1" s="5"/>
      <c r="OPP1" s="5"/>
      <c r="OPQ1" s="5"/>
      <c r="OPR1" s="5"/>
      <c r="OPS1" s="5"/>
      <c r="OPT1" s="5"/>
      <c r="OPU1" s="5"/>
      <c r="OPV1" s="5"/>
      <c r="OPW1" s="5"/>
      <c r="OPX1" s="5"/>
      <c r="OPY1" s="5"/>
      <c r="OPZ1" s="5"/>
      <c r="OQA1" s="5"/>
      <c r="OQB1" s="5"/>
      <c r="OQC1" s="5"/>
      <c r="OQD1" s="5"/>
      <c r="OQE1" s="5"/>
      <c r="OQF1" s="5"/>
      <c r="OQG1" s="5"/>
      <c r="OQH1" s="5"/>
      <c r="OQI1" s="5"/>
      <c r="OQJ1" s="5"/>
      <c r="OQK1" s="5"/>
      <c r="OQL1" s="5"/>
      <c r="OQM1" s="5"/>
      <c r="OQN1" s="5"/>
      <c r="OQO1" s="5"/>
      <c r="OQP1" s="5"/>
      <c r="OQQ1" s="5"/>
      <c r="OQR1" s="5"/>
      <c r="OQS1" s="5"/>
      <c r="OQT1" s="5"/>
      <c r="OQU1" s="5"/>
      <c r="OQV1" s="5"/>
      <c r="OQW1" s="5"/>
      <c r="OQX1" s="5"/>
      <c r="OQY1" s="5"/>
      <c r="OQZ1" s="5"/>
      <c r="ORA1" s="5"/>
      <c r="ORB1" s="5"/>
      <c r="ORC1" s="5"/>
      <c r="ORD1" s="5"/>
      <c r="ORE1" s="5"/>
      <c r="ORF1" s="5"/>
      <c r="ORG1" s="5"/>
      <c r="ORH1" s="5"/>
      <c r="ORI1" s="5"/>
      <c r="ORJ1" s="5"/>
      <c r="ORK1" s="5"/>
      <c r="ORL1" s="5"/>
      <c r="ORM1" s="5"/>
      <c r="ORN1" s="5"/>
      <c r="ORO1" s="5"/>
      <c r="ORP1" s="5"/>
      <c r="ORQ1" s="5"/>
      <c r="ORR1" s="5"/>
      <c r="ORS1" s="5"/>
      <c r="ORT1" s="5"/>
      <c r="ORU1" s="5"/>
      <c r="ORV1" s="5"/>
      <c r="ORW1" s="5"/>
      <c r="ORX1" s="5"/>
      <c r="ORY1" s="5"/>
      <c r="ORZ1" s="5"/>
      <c r="OSA1" s="5"/>
      <c r="OSB1" s="5"/>
      <c r="OSC1" s="5"/>
      <c r="OSD1" s="5"/>
      <c r="OSE1" s="5"/>
      <c r="OSF1" s="5"/>
      <c r="OSG1" s="5"/>
      <c r="OSH1" s="5"/>
      <c r="OSI1" s="5"/>
      <c r="OSJ1" s="5"/>
      <c r="OSK1" s="5"/>
      <c r="OSL1" s="5"/>
      <c r="OSM1" s="5"/>
      <c r="OSN1" s="5"/>
      <c r="OSO1" s="5"/>
      <c r="OSP1" s="5"/>
      <c r="OSQ1" s="5"/>
      <c r="OSR1" s="5"/>
      <c r="OSS1" s="5"/>
      <c r="OST1" s="5"/>
      <c r="OSU1" s="5"/>
      <c r="OSV1" s="5"/>
      <c r="OSW1" s="5"/>
      <c r="OSX1" s="5"/>
      <c r="OSY1" s="5"/>
      <c r="OSZ1" s="5"/>
      <c r="OTA1" s="5"/>
      <c r="OTB1" s="5"/>
      <c r="OTC1" s="5"/>
      <c r="OTD1" s="5"/>
      <c r="OTE1" s="5"/>
      <c r="OTF1" s="5"/>
      <c r="OTG1" s="5"/>
      <c r="OTH1" s="5"/>
      <c r="OTI1" s="5"/>
      <c r="OTJ1" s="5"/>
      <c r="OTK1" s="5"/>
      <c r="OTL1" s="5"/>
      <c r="OTM1" s="5"/>
      <c r="OTN1" s="5"/>
      <c r="OTO1" s="5"/>
      <c r="OTP1" s="5"/>
      <c r="OTQ1" s="5"/>
      <c r="OTR1" s="5"/>
      <c r="OTS1" s="5"/>
      <c r="OTT1" s="5"/>
      <c r="OTU1" s="5"/>
      <c r="OTV1" s="5"/>
      <c r="OTW1" s="5"/>
      <c r="OTX1" s="5"/>
      <c r="OTY1" s="5"/>
      <c r="OTZ1" s="5"/>
      <c r="OUA1" s="5"/>
      <c r="OUB1" s="5"/>
      <c r="OUC1" s="5"/>
      <c r="OUD1" s="5"/>
      <c r="OUE1" s="5"/>
      <c r="OUF1" s="5"/>
      <c r="OUG1" s="5"/>
      <c r="OUH1" s="5"/>
      <c r="OUI1" s="5"/>
      <c r="OUJ1" s="5"/>
      <c r="OUK1" s="5"/>
      <c r="OUL1" s="5"/>
      <c r="OUM1" s="5"/>
      <c r="OUN1" s="5"/>
      <c r="OUO1" s="5"/>
      <c r="OUP1" s="5"/>
      <c r="OUQ1" s="5"/>
      <c r="OUR1" s="5"/>
      <c r="OUS1" s="5"/>
      <c r="OUT1" s="5"/>
      <c r="OUU1" s="5"/>
      <c r="OUV1" s="5"/>
      <c r="OUW1" s="5"/>
      <c r="OUX1" s="5"/>
      <c r="OUY1" s="5"/>
      <c r="OUZ1" s="5"/>
      <c r="OVA1" s="5"/>
      <c r="OVB1" s="5"/>
      <c r="OVC1" s="5"/>
      <c r="OVD1" s="5"/>
      <c r="OVE1" s="5"/>
      <c r="OVF1" s="5"/>
      <c r="OVG1" s="5"/>
      <c r="OVH1" s="5"/>
      <c r="OVI1" s="5"/>
      <c r="OVJ1" s="5"/>
      <c r="OVK1" s="5"/>
      <c r="OVL1" s="5"/>
      <c r="OVM1" s="5"/>
      <c r="OVN1" s="5"/>
      <c r="OVO1" s="5"/>
      <c r="OVP1" s="5"/>
      <c r="OVQ1" s="5"/>
      <c r="OVR1" s="5"/>
      <c r="OVS1" s="5"/>
      <c r="OVT1" s="5"/>
      <c r="OVU1" s="5"/>
      <c r="OVV1" s="5"/>
      <c r="OVW1" s="5"/>
      <c r="OVX1" s="5"/>
      <c r="OVY1" s="5"/>
      <c r="OVZ1" s="5"/>
      <c r="OWA1" s="5"/>
      <c r="OWB1" s="5"/>
      <c r="OWC1" s="5"/>
      <c r="OWD1" s="5"/>
      <c r="OWE1" s="5"/>
      <c r="OWF1" s="5"/>
      <c r="OWG1" s="5"/>
      <c r="OWH1" s="5"/>
      <c r="OWI1" s="5"/>
      <c r="OWJ1" s="5"/>
      <c r="OWK1" s="5"/>
      <c r="OWL1" s="5"/>
      <c r="OWM1" s="5"/>
      <c r="OWN1" s="5"/>
      <c r="OWO1" s="5"/>
      <c r="OWP1" s="5"/>
      <c r="OWQ1" s="5"/>
      <c r="OWR1" s="5"/>
      <c r="OWS1" s="5"/>
      <c r="OWT1" s="5"/>
      <c r="OWU1" s="5"/>
      <c r="OWV1" s="5"/>
      <c r="OWW1" s="5"/>
      <c r="OWX1" s="5"/>
      <c r="OWY1" s="5"/>
      <c r="OWZ1" s="5"/>
      <c r="OXA1" s="5"/>
      <c r="OXB1" s="5"/>
      <c r="OXC1" s="5"/>
      <c r="OXD1" s="5"/>
      <c r="OXE1" s="5"/>
      <c r="OXF1" s="5"/>
      <c r="OXG1" s="5"/>
      <c r="OXH1" s="5"/>
      <c r="OXI1" s="5"/>
      <c r="OXJ1" s="5"/>
      <c r="OXK1" s="5"/>
      <c r="OXL1" s="5"/>
      <c r="OXM1" s="5"/>
      <c r="OXN1" s="5"/>
      <c r="OXO1" s="5"/>
      <c r="OXP1" s="5"/>
      <c r="OXQ1" s="5"/>
      <c r="OXR1" s="5"/>
      <c r="OXS1" s="5"/>
      <c r="OXT1" s="5"/>
      <c r="OXU1" s="5"/>
      <c r="OXV1" s="5"/>
      <c r="OXW1" s="5"/>
      <c r="OXX1" s="5"/>
      <c r="OXY1" s="5"/>
      <c r="OXZ1" s="5"/>
      <c r="OYA1" s="5"/>
      <c r="OYB1" s="5"/>
      <c r="OYC1" s="5"/>
      <c r="OYD1" s="5"/>
      <c r="OYE1" s="5"/>
      <c r="OYF1" s="5"/>
      <c r="OYG1" s="5"/>
      <c r="OYH1" s="5"/>
      <c r="OYI1" s="5"/>
      <c r="OYJ1" s="5"/>
      <c r="OYK1" s="5"/>
      <c r="OYL1" s="5"/>
      <c r="OYM1" s="5"/>
      <c r="OYN1" s="5"/>
      <c r="OYO1" s="5"/>
      <c r="OYP1" s="5"/>
      <c r="OYQ1" s="5"/>
      <c r="OYR1" s="5"/>
      <c r="OYS1" s="5"/>
      <c r="OYT1" s="5"/>
      <c r="OYU1" s="5"/>
      <c r="OYV1" s="5"/>
      <c r="OYW1" s="5"/>
      <c r="OYX1" s="5"/>
      <c r="OYY1" s="5"/>
      <c r="OYZ1" s="5"/>
      <c r="OZA1" s="5"/>
      <c r="OZB1" s="5"/>
      <c r="OZC1" s="5"/>
      <c r="OZD1" s="5"/>
      <c r="OZE1" s="5"/>
      <c r="OZF1" s="5"/>
      <c r="OZG1" s="5"/>
      <c r="OZH1" s="5"/>
      <c r="OZI1" s="5"/>
      <c r="OZJ1" s="5"/>
      <c r="OZK1" s="5"/>
      <c r="OZL1" s="5"/>
      <c r="OZM1" s="5"/>
      <c r="OZN1" s="5"/>
      <c r="OZO1" s="5"/>
      <c r="OZP1" s="5"/>
      <c r="OZQ1" s="5"/>
      <c r="OZR1" s="5"/>
      <c r="OZS1" s="5"/>
      <c r="OZT1" s="5"/>
      <c r="OZU1" s="5"/>
      <c r="OZV1" s="5"/>
      <c r="OZW1" s="5"/>
      <c r="OZX1" s="5"/>
      <c r="OZY1" s="5"/>
      <c r="OZZ1" s="5"/>
      <c r="PAA1" s="5"/>
      <c r="PAB1" s="5"/>
      <c r="PAC1" s="5"/>
      <c r="PAD1" s="5"/>
      <c r="PAE1" s="5"/>
      <c r="PAF1" s="5"/>
      <c r="PAG1" s="5"/>
      <c r="PAH1" s="5"/>
      <c r="PAI1" s="5"/>
      <c r="PAJ1" s="5"/>
      <c r="PAK1" s="5"/>
      <c r="PAL1" s="5"/>
      <c r="PAM1" s="5"/>
      <c r="PAN1" s="5"/>
      <c r="PAO1" s="5"/>
      <c r="PAP1" s="5"/>
      <c r="PAQ1" s="5"/>
      <c r="PAR1" s="5"/>
      <c r="PAS1" s="5"/>
      <c r="PAT1" s="5"/>
      <c r="PAU1" s="5"/>
      <c r="PAV1" s="5"/>
      <c r="PAW1" s="5"/>
      <c r="PAX1" s="5"/>
      <c r="PAY1" s="5"/>
      <c r="PAZ1" s="5"/>
      <c r="PBA1" s="5"/>
      <c r="PBB1" s="5"/>
      <c r="PBC1" s="5"/>
      <c r="PBD1" s="5"/>
      <c r="PBE1" s="5"/>
      <c r="PBF1" s="5"/>
      <c r="PBG1" s="5"/>
      <c r="PBH1" s="5"/>
      <c r="PBI1" s="5"/>
      <c r="PBJ1" s="5"/>
      <c r="PBK1" s="5"/>
      <c r="PBL1" s="5"/>
      <c r="PBM1" s="5"/>
      <c r="PBN1" s="5"/>
      <c r="PBO1" s="5"/>
      <c r="PBP1" s="5"/>
      <c r="PBQ1" s="5"/>
      <c r="PBR1" s="5"/>
      <c r="PBS1" s="5"/>
      <c r="PBT1" s="5"/>
      <c r="PBU1" s="5"/>
      <c r="PBV1" s="5"/>
      <c r="PBW1" s="5"/>
      <c r="PBX1" s="5"/>
      <c r="PBY1" s="5"/>
      <c r="PBZ1" s="5"/>
      <c r="PCA1" s="5"/>
      <c r="PCB1" s="5"/>
      <c r="PCC1" s="5"/>
      <c r="PCD1" s="5"/>
      <c r="PCE1" s="5"/>
      <c r="PCF1" s="5"/>
      <c r="PCG1" s="5"/>
      <c r="PCH1" s="5"/>
      <c r="PCI1" s="5"/>
      <c r="PCJ1" s="5"/>
      <c r="PCK1" s="5"/>
      <c r="PCL1" s="5"/>
      <c r="PCM1" s="5"/>
      <c r="PCN1" s="5"/>
      <c r="PCO1" s="5"/>
      <c r="PCP1" s="5"/>
      <c r="PCQ1" s="5"/>
      <c r="PCR1" s="5"/>
      <c r="PCS1" s="5"/>
      <c r="PCT1" s="5"/>
      <c r="PCU1" s="5"/>
      <c r="PCV1" s="5"/>
      <c r="PCW1" s="5"/>
      <c r="PCX1" s="5"/>
      <c r="PCY1" s="5"/>
      <c r="PCZ1" s="5"/>
      <c r="PDA1" s="5"/>
      <c r="PDB1" s="5"/>
      <c r="PDC1" s="5"/>
      <c r="PDD1" s="5"/>
      <c r="PDE1" s="5"/>
      <c r="PDF1" s="5"/>
      <c r="PDG1" s="5"/>
      <c r="PDH1" s="5"/>
      <c r="PDI1" s="5"/>
      <c r="PDJ1" s="5"/>
      <c r="PDK1" s="5"/>
      <c r="PDL1" s="5"/>
      <c r="PDM1" s="5"/>
      <c r="PDN1" s="5"/>
      <c r="PDO1" s="5"/>
      <c r="PDP1" s="5"/>
      <c r="PDQ1" s="5"/>
      <c r="PDR1" s="5"/>
      <c r="PDS1" s="5"/>
      <c r="PDT1" s="5"/>
      <c r="PDU1" s="5"/>
      <c r="PDV1" s="5"/>
      <c r="PDW1" s="5"/>
      <c r="PDX1" s="5"/>
      <c r="PDY1" s="5"/>
      <c r="PDZ1" s="5"/>
      <c r="PEA1" s="5"/>
      <c r="PEB1" s="5"/>
      <c r="PEC1" s="5"/>
      <c r="PED1" s="5"/>
      <c r="PEE1" s="5"/>
      <c r="PEF1" s="5"/>
      <c r="PEG1" s="5"/>
      <c r="PEH1" s="5"/>
      <c r="PEI1" s="5"/>
      <c r="PEJ1" s="5"/>
      <c r="PEK1" s="5"/>
      <c r="PEL1" s="5"/>
      <c r="PEM1" s="5"/>
      <c r="PEN1" s="5"/>
      <c r="PEO1" s="5"/>
      <c r="PEP1" s="5"/>
      <c r="PEQ1" s="5"/>
      <c r="PER1" s="5"/>
      <c r="PES1" s="5"/>
      <c r="PET1" s="5"/>
      <c r="PEU1" s="5"/>
      <c r="PEV1" s="5"/>
      <c r="PEW1" s="5"/>
      <c r="PEX1" s="5"/>
      <c r="PEY1" s="5"/>
      <c r="PEZ1" s="5"/>
      <c r="PFA1" s="5"/>
      <c r="PFB1" s="5"/>
      <c r="PFC1" s="5"/>
      <c r="PFD1" s="5"/>
      <c r="PFE1" s="5"/>
      <c r="PFF1" s="5"/>
      <c r="PFG1" s="5"/>
      <c r="PFH1" s="5"/>
      <c r="PFI1" s="5"/>
      <c r="PFJ1" s="5"/>
      <c r="PFK1" s="5"/>
      <c r="PFL1" s="5"/>
      <c r="PFM1" s="5"/>
      <c r="PFN1" s="5"/>
      <c r="PFO1" s="5"/>
      <c r="PFP1" s="5"/>
      <c r="PFQ1" s="5"/>
      <c r="PFR1" s="5"/>
      <c r="PFS1" s="5"/>
      <c r="PFT1" s="5"/>
      <c r="PFU1" s="5"/>
      <c r="PFV1" s="5"/>
      <c r="PFW1" s="5"/>
      <c r="PFX1" s="5"/>
      <c r="PFY1" s="5"/>
      <c r="PFZ1" s="5"/>
      <c r="PGA1" s="5"/>
      <c r="PGB1" s="5"/>
      <c r="PGC1" s="5"/>
      <c r="PGD1" s="5"/>
      <c r="PGE1" s="5"/>
      <c r="PGF1" s="5"/>
      <c r="PGG1" s="5"/>
      <c r="PGH1" s="5"/>
      <c r="PGI1" s="5"/>
      <c r="PGJ1" s="5"/>
      <c r="PGK1" s="5"/>
      <c r="PGL1" s="5"/>
      <c r="PGM1" s="5"/>
      <c r="PGN1" s="5"/>
      <c r="PGO1" s="5"/>
      <c r="PGP1" s="5"/>
      <c r="PGQ1" s="5"/>
      <c r="PGR1" s="5"/>
      <c r="PGS1" s="5"/>
      <c r="PGT1" s="5"/>
      <c r="PGU1" s="5"/>
      <c r="PGV1" s="5"/>
      <c r="PGW1" s="5"/>
      <c r="PGX1" s="5"/>
      <c r="PGY1" s="5"/>
      <c r="PGZ1" s="5"/>
      <c r="PHA1" s="5"/>
      <c r="PHB1" s="5"/>
      <c r="PHC1" s="5"/>
      <c r="PHD1" s="5"/>
      <c r="PHE1" s="5"/>
      <c r="PHF1" s="5"/>
      <c r="PHG1" s="5"/>
      <c r="PHH1" s="5"/>
      <c r="PHI1" s="5"/>
      <c r="PHJ1" s="5"/>
      <c r="PHK1" s="5"/>
      <c r="PHL1" s="5"/>
      <c r="PHM1" s="5"/>
      <c r="PHN1" s="5"/>
      <c r="PHO1" s="5"/>
      <c r="PHP1" s="5"/>
      <c r="PHQ1" s="5"/>
      <c r="PHR1" s="5"/>
      <c r="PHS1" s="5"/>
      <c r="PHT1" s="5"/>
      <c r="PHU1" s="5"/>
      <c r="PHV1" s="5"/>
      <c r="PHW1" s="5"/>
      <c r="PHX1" s="5"/>
      <c r="PHY1" s="5"/>
      <c r="PHZ1" s="5"/>
      <c r="PIA1" s="5"/>
      <c r="PIB1" s="5"/>
      <c r="PIC1" s="5"/>
      <c r="PID1" s="5"/>
      <c r="PIE1" s="5"/>
      <c r="PIF1" s="5"/>
      <c r="PIG1" s="5"/>
      <c r="PIH1" s="5"/>
      <c r="PII1" s="5"/>
      <c r="PIJ1" s="5"/>
      <c r="PIK1" s="5"/>
      <c r="PIL1" s="5"/>
      <c r="PIM1" s="5"/>
      <c r="PIN1" s="5"/>
      <c r="PIO1" s="5"/>
      <c r="PIP1" s="5"/>
      <c r="PIQ1" s="5"/>
      <c r="PIR1" s="5"/>
      <c r="PIS1" s="5"/>
      <c r="PIT1" s="5"/>
      <c r="PIU1" s="5"/>
      <c r="PIV1" s="5"/>
      <c r="PIW1" s="5"/>
      <c r="PIX1" s="5"/>
      <c r="PIY1" s="5"/>
      <c r="PIZ1" s="5"/>
      <c r="PJA1" s="5"/>
      <c r="PJB1" s="5"/>
      <c r="PJC1" s="5"/>
      <c r="PJD1" s="5"/>
      <c r="PJE1" s="5"/>
      <c r="PJF1" s="5"/>
      <c r="PJG1" s="5"/>
      <c r="PJH1" s="5"/>
      <c r="PJI1" s="5"/>
      <c r="PJJ1" s="5"/>
      <c r="PJK1" s="5"/>
      <c r="PJL1" s="5"/>
      <c r="PJM1" s="5"/>
      <c r="PJN1" s="5"/>
      <c r="PJO1" s="5"/>
      <c r="PJP1" s="5"/>
      <c r="PJQ1" s="5"/>
      <c r="PJR1" s="5"/>
      <c r="PJS1" s="5"/>
      <c r="PJT1" s="5"/>
      <c r="PJU1" s="5"/>
      <c r="PJV1" s="5"/>
      <c r="PJW1" s="5"/>
      <c r="PJX1" s="5"/>
      <c r="PJY1" s="5"/>
      <c r="PJZ1" s="5"/>
      <c r="PKA1" s="5"/>
      <c r="PKB1" s="5"/>
      <c r="PKC1" s="5"/>
      <c r="PKD1" s="5"/>
      <c r="PKE1" s="5"/>
      <c r="PKF1" s="5"/>
      <c r="PKG1" s="5"/>
      <c r="PKH1" s="5"/>
      <c r="PKI1" s="5"/>
      <c r="PKJ1" s="5"/>
      <c r="PKK1" s="5"/>
      <c r="PKL1" s="5"/>
      <c r="PKM1" s="5"/>
      <c r="PKN1" s="5"/>
      <c r="PKO1" s="5"/>
      <c r="PKP1" s="5"/>
      <c r="PKQ1" s="5"/>
      <c r="PKR1" s="5"/>
      <c r="PKS1" s="5"/>
      <c r="PKT1" s="5"/>
      <c r="PKU1" s="5"/>
      <c r="PKV1" s="5"/>
      <c r="PKW1" s="5"/>
      <c r="PKX1" s="5"/>
      <c r="PKY1" s="5"/>
      <c r="PKZ1" s="5"/>
      <c r="PLA1" s="5"/>
      <c r="PLB1" s="5"/>
      <c r="PLC1" s="5"/>
      <c r="PLD1" s="5"/>
      <c r="PLE1" s="5"/>
      <c r="PLF1" s="5"/>
      <c r="PLG1" s="5"/>
      <c r="PLH1" s="5"/>
      <c r="PLI1" s="5"/>
      <c r="PLJ1" s="5"/>
      <c r="PLK1" s="5"/>
      <c r="PLL1" s="5"/>
      <c r="PLM1" s="5"/>
      <c r="PLN1" s="5"/>
      <c r="PLO1" s="5"/>
      <c r="PLP1" s="5"/>
      <c r="PLQ1" s="5"/>
      <c r="PLR1" s="5"/>
      <c r="PLS1" s="5"/>
      <c r="PLT1" s="5"/>
      <c r="PLU1" s="5"/>
      <c r="PLV1" s="5"/>
      <c r="PLW1" s="5"/>
      <c r="PLX1" s="5"/>
      <c r="PLY1" s="5"/>
      <c r="PLZ1" s="5"/>
      <c r="PMA1" s="5"/>
      <c r="PMB1" s="5"/>
      <c r="PMC1" s="5"/>
      <c r="PMD1" s="5"/>
      <c r="PME1" s="5"/>
      <c r="PMF1" s="5"/>
      <c r="PMG1" s="5"/>
      <c r="PMH1" s="5"/>
      <c r="PMI1" s="5"/>
      <c r="PMJ1" s="5"/>
      <c r="PMK1" s="5"/>
      <c r="PML1" s="5"/>
      <c r="PMM1" s="5"/>
      <c r="PMN1" s="5"/>
      <c r="PMO1" s="5"/>
      <c r="PMP1" s="5"/>
      <c r="PMQ1" s="5"/>
      <c r="PMR1" s="5"/>
      <c r="PMS1" s="5"/>
      <c r="PMT1" s="5"/>
      <c r="PMU1" s="5"/>
      <c r="PMV1" s="5"/>
      <c r="PMW1" s="5"/>
      <c r="PMX1" s="5"/>
      <c r="PMY1" s="5"/>
      <c r="PMZ1" s="5"/>
      <c r="PNA1" s="5"/>
      <c r="PNB1" s="5"/>
      <c r="PNC1" s="5"/>
      <c r="PND1" s="5"/>
      <c r="PNE1" s="5"/>
      <c r="PNF1" s="5"/>
      <c r="PNG1" s="5"/>
      <c r="PNH1" s="5"/>
      <c r="PNI1" s="5"/>
      <c r="PNJ1" s="5"/>
      <c r="PNK1" s="5"/>
      <c r="PNL1" s="5"/>
      <c r="PNM1" s="5"/>
      <c r="PNN1" s="5"/>
      <c r="PNO1" s="5"/>
      <c r="PNP1" s="5"/>
      <c r="PNQ1" s="5"/>
      <c r="PNR1" s="5"/>
      <c r="PNS1" s="5"/>
      <c r="PNT1" s="5"/>
      <c r="PNU1" s="5"/>
      <c r="PNV1" s="5"/>
      <c r="PNW1" s="5"/>
      <c r="PNX1" s="5"/>
      <c r="PNY1" s="5"/>
      <c r="PNZ1" s="5"/>
      <c r="POA1" s="5"/>
      <c r="POB1" s="5"/>
      <c r="POC1" s="5"/>
      <c r="POD1" s="5"/>
      <c r="POE1" s="5"/>
      <c r="POF1" s="5"/>
      <c r="POG1" s="5"/>
      <c r="POH1" s="5"/>
      <c r="POI1" s="5"/>
      <c r="POJ1" s="5"/>
      <c r="POK1" s="5"/>
      <c r="POL1" s="5"/>
      <c r="POM1" s="5"/>
      <c r="PON1" s="5"/>
      <c r="POO1" s="5"/>
      <c r="POP1" s="5"/>
      <c r="POQ1" s="5"/>
      <c r="POR1" s="5"/>
      <c r="POS1" s="5"/>
      <c r="POT1" s="5"/>
      <c r="POU1" s="5"/>
      <c r="POV1" s="5"/>
      <c r="POW1" s="5"/>
      <c r="POX1" s="5"/>
      <c r="POY1" s="5"/>
      <c r="POZ1" s="5"/>
      <c r="PPA1" s="5"/>
      <c r="PPB1" s="5"/>
      <c r="PPC1" s="5"/>
      <c r="PPD1" s="5"/>
      <c r="PPE1" s="5"/>
      <c r="PPF1" s="5"/>
      <c r="PPG1" s="5"/>
      <c r="PPH1" s="5"/>
      <c r="PPI1" s="5"/>
      <c r="PPJ1" s="5"/>
      <c r="PPK1" s="5"/>
      <c r="PPL1" s="5"/>
      <c r="PPM1" s="5"/>
      <c r="PPN1" s="5"/>
      <c r="PPO1" s="5"/>
      <c r="PPP1" s="5"/>
      <c r="PPQ1" s="5"/>
      <c r="PPR1" s="5"/>
      <c r="PPS1" s="5"/>
      <c r="PPT1" s="5"/>
      <c r="PPU1" s="5"/>
      <c r="PPV1" s="5"/>
      <c r="PPW1" s="5"/>
      <c r="PPX1" s="5"/>
      <c r="PPY1" s="5"/>
      <c r="PPZ1" s="5"/>
      <c r="PQA1" s="5"/>
      <c r="PQB1" s="5"/>
      <c r="PQC1" s="5"/>
      <c r="PQD1" s="5"/>
      <c r="PQE1" s="5"/>
      <c r="PQF1" s="5"/>
      <c r="PQG1" s="5"/>
      <c r="PQH1" s="5"/>
      <c r="PQI1" s="5"/>
      <c r="PQJ1" s="5"/>
      <c r="PQK1" s="5"/>
      <c r="PQL1" s="5"/>
      <c r="PQM1" s="5"/>
      <c r="PQN1" s="5"/>
      <c r="PQO1" s="5"/>
      <c r="PQP1" s="5"/>
      <c r="PQQ1" s="5"/>
      <c r="PQR1" s="5"/>
      <c r="PQS1" s="5"/>
      <c r="PQT1" s="5"/>
      <c r="PQU1" s="5"/>
      <c r="PQV1" s="5"/>
      <c r="PQW1" s="5"/>
      <c r="PQX1" s="5"/>
      <c r="PQY1" s="5"/>
      <c r="PQZ1" s="5"/>
      <c r="PRA1" s="5"/>
      <c r="PRB1" s="5"/>
      <c r="PRC1" s="5"/>
      <c r="PRD1" s="5"/>
      <c r="PRE1" s="5"/>
      <c r="PRF1" s="5"/>
      <c r="PRG1" s="5"/>
      <c r="PRH1" s="5"/>
      <c r="PRI1" s="5"/>
      <c r="PRJ1" s="5"/>
      <c r="PRK1" s="5"/>
      <c r="PRL1" s="5"/>
      <c r="PRM1" s="5"/>
      <c r="PRN1" s="5"/>
      <c r="PRO1" s="5"/>
      <c r="PRP1" s="5"/>
      <c r="PRQ1" s="5"/>
      <c r="PRR1" s="5"/>
      <c r="PRS1" s="5"/>
      <c r="PRT1" s="5"/>
      <c r="PRU1" s="5"/>
      <c r="PRV1" s="5"/>
      <c r="PRW1" s="5"/>
      <c r="PRX1" s="5"/>
      <c r="PRY1" s="5"/>
      <c r="PRZ1" s="5"/>
      <c r="PSA1" s="5"/>
      <c r="PSB1" s="5"/>
      <c r="PSC1" s="5"/>
      <c r="PSD1" s="5"/>
      <c r="PSE1" s="5"/>
      <c r="PSF1" s="5"/>
      <c r="PSG1" s="5"/>
      <c r="PSH1" s="5"/>
      <c r="PSI1" s="5"/>
      <c r="PSJ1" s="5"/>
      <c r="PSK1" s="5"/>
      <c r="PSL1" s="5"/>
      <c r="PSM1" s="5"/>
      <c r="PSN1" s="5"/>
      <c r="PSO1" s="5"/>
      <c r="PSP1" s="5"/>
      <c r="PSQ1" s="5"/>
      <c r="PSR1" s="5"/>
      <c r="PSS1" s="5"/>
      <c r="PST1" s="5"/>
      <c r="PSU1" s="5"/>
      <c r="PSV1" s="5"/>
      <c r="PSW1" s="5"/>
      <c r="PSX1" s="5"/>
      <c r="PSY1" s="5"/>
      <c r="PSZ1" s="5"/>
      <c r="PTA1" s="5"/>
      <c r="PTB1" s="5"/>
      <c r="PTC1" s="5"/>
      <c r="PTD1" s="5"/>
      <c r="PTE1" s="5"/>
      <c r="PTF1" s="5"/>
      <c r="PTG1" s="5"/>
      <c r="PTH1" s="5"/>
      <c r="PTI1" s="5"/>
      <c r="PTJ1" s="5"/>
      <c r="PTK1" s="5"/>
      <c r="PTL1" s="5"/>
      <c r="PTM1" s="5"/>
      <c r="PTN1" s="5"/>
      <c r="PTO1" s="5"/>
      <c r="PTP1" s="5"/>
      <c r="PTQ1" s="5"/>
      <c r="PTR1" s="5"/>
      <c r="PTS1" s="5"/>
      <c r="PTT1" s="5"/>
      <c r="PTU1" s="5"/>
      <c r="PTV1" s="5"/>
      <c r="PTW1" s="5"/>
      <c r="PTX1" s="5"/>
      <c r="PTY1" s="5"/>
      <c r="PTZ1" s="5"/>
      <c r="PUA1" s="5"/>
      <c r="PUB1" s="5"/>
      <c r="PUC1" s="5"/>
      <c r="PUD1" s="5"/>
      <c r="PUE1" s="5"/>
      <c r="PUF1" s="5"/>
      <c r="PUG1" s="5"/>
      <c r="PUH1" s="5"/>
      <c r="PUI1" s="5"/>
      <c r="PUJ1" s="5"/>
      <c r="PUK1" s="5"/>
      <c r="PUL1" s="5"/>
      <c r="PUM1" s="5"/>
      <c r="PUN1" s="5"/>
      <c r="PUO1" s="5"/>
      <c r="PUP1" s="5"/>
      <c r="PUQ1" s="5"/>
      <c r="PUR1" s="5"/>
      <c r="PUS1" s="5"/>
      <c r="PUT1" s="5"/>
      <c r="PUU1" s="5"/>
      <c r="PUV1" s="5"/>
      <c r="PUW1" s="5"/>
      <c r="PUX1" s="5"/>
      <c r="PUY1" s="5"/>
      <c r="PUZ1" s="5"/>
      <c r="PVA1" s="5"/>
      <c r="PVB1" s="5"/>
      <c r="PVC1" s="5"/>
      <c r="PVD1" s="5"/>
      <c r="PVE1" s="5"/>
      <c r="PVF1" s="5"/>
      <c r="PVG1" s="5"/>
      <c r="PVH1" s="5"/>
      <c r="PVI1" s="5"/>
      <c r="PVJ1" s="5"/>
      <c r="PVK1" s="5"/>
      <c r="PVL1" s="5"/>
      <c r="PVM1" s="5"/>
      <c r="PVN1" s="5"/>
      <c r="PVO1" s="5"/>
      <c r="PVP1" s="5"/>
      <c r="PVQ1" s="5"/>
      <c r="PVR1" s="5"/>
      <c r="PVS1" s="5"/>
      <c r="PVT1" s="5"/>
      <c r="PVU1" s="5"/>
      <c r="PVV1" s="5"/>
      <c r="PVW1" s="5"/>
      <c r="PVX1" s="5"/>
      <c r="PVY1" s="5"/>
      <c r="PVZ1" s="5"/>
      <c r="PWA1" s="5"/>
      <c r="PWB1" s="5"/>
      <c r="PWC1" s="5"/>
      <c r="PWD1" s="5"/>
      <c r="PWE1" s="5"/>
      <c r="PWF1" s="5"/>
      <c r="PWG1" s="5"/>
      <c r="PWH1" s="5"/>
      <c r="PWI1" s="5"/>
      <c r="PWJ1" s="5"/>
      <c r="PWK1" s="5"/>
      <c r="PWL1" s="5"/>
      <c r="PWM1" s="5"/>
      <c r="PWN1" s="5"/>
      <c r="PWO1" s="5"/>
      <c r="PWP1" s="5"/>
      <c r="PWQ1" s="5"/>
      <c r="PWR1" s="5"/>
      <c r="PWS1" s="5"/>
      <c r="PWT1" s="5"/>
      <c r="PWU1" s="5"/>
      <c r="PWV1" s="5"/>
      <c r="PWW1" s="5"/>
      <c r="PWX1" s="5"/>
      <c r="PWY1" s="5"/>
      <c r="PWZ1" s="5"/>
      <c r="PXA1" s="5"/>
      <c r="PXB1" s="5"/>
      <c r="PXC1" s="5"/>
      <c r="PXD1" s="5"/>
      <c r="PXE1" s="5"/>
      <c r="PXF1" s="5"/>
      <c r="PXG1" s="5"/>
      <c r="PXH1" s="5"/>
      <c r="PXI1" s="5"/>
      <c r="PXJ1" s="5"/>
      <c r="PXK1" s="5"/>
      <c r="PXL1" s="5"/>
      <c r="PXM1" s="5"/>
      <c r="PXN1" s="5"/>
      <c r="PXO1" s="5"/>
      <c r="PXP1" s="5"/>
      <c r="PXQ1" s="5"/>
      <c r="PXR1" s="5"/>
      <c r="PXS1" s="5"/>
      <c r="PXT1" s="5"/>
      <c r="PXU1" s="5"/>
      <c r="PXV1" s="5"/>
      <c r="PXW1" s="5"/>
      <c r="PXX1" s="5"/>
      <c r="PXY1" s="5"/>
      <c r="PXZ1" s="5"/>
      <c r="PYA1" s="5"/>
      <c r="PYB1" s="5"/>
      <c r="PYC1" s="5"/>
      <c r="PYD1" s="5"/>
      <c r="PYE1" s="5"/>
      <c r="PYF1" s="5"/>
      <c r="PYG1" s="5"/>
      <c r="PYH1" s="5"/>
      <c r="PYI1" s="5"/>
      <c r="PYJ1" s="5"/>
      <c r="PYK1" s="5"/>
      <c r="PYL1" s="5"/>
      <c r="PYM1" s="5"/>
      <c r="PYN1" s="5"/>
      <c r="PYO1" s="5"/>
      <c r="PYP1" s="5"/>
      <c r="PYQ1" s="5"/>
      <c r="PYR1" s="5"/>
      <c r="PYS1" s="5"/>
      <c r="PYT1" s="5"/>
      <c r="PYU1" s="5"/>
      <c r="PYV1" s="5"/>
      <c r="PYW1" s="5"/>
      <c r="PYX1" s="5"/>
      <c r="PYY1" s="5"/>
      <c r="PYZ1" s="5"/>
      <c r="PZA1" s="5"/>
      <c r="PZB1" s="5"/>
      <c r="PZC1" s="5"/>
      <c r="PZD1" s="5"/>
      <c r="PZE1" s="5"/>
      <c r="PZF1" s="5"/>
      <c r="PZG1" s="5"/>
      <c r="PZH1" s="5"/>
      <c r="PZI1" s="5"/>
      <c r="PZJ1" s="5"/>
      <c r="PZK1" s="5"/>
      <c r="PZL1" s="5"/>
      <c r="PZM1" s="5"/>
      <c r="PZN1" s="5"/>
      <c r="PZO1" s="5"/>
      <c r="PZP1" s="5"/>
      <c r="PZQ1" s="5"/>
      <c r="PZR1" s="5"/>
      <c r="PZS1" s="5"/>
      <c r="PZT1" s="5"/>
      <c r="PZU1" s="5"/>
      <c r="PZV1" s="5"/>
      <c r="PZW1" s="5"/>
      <c r="PZX1" s="5"/>
      <c r="PZY1" s="5"/>
      <c r="PZZ1" s="5"/>
      <c r="QAA1" s="5"/>
      <c r="QAB1" s="5"/>
      <c r="QAC1" s="5"/>
      <c r="QAD1" s="5"/>
      <c r="QAE1" s="5"/>
      <c r="QAF1" s="5"/>
      <c r="QAG1" s="5"/>
      <c r="QAH1" s="5"/>
      <c r="QAI1" s="5"/>
      <c r="QAJ1" s="5"/>
      <c r="QAK1" s="5"/>
      <c r="QAL1" s="5"/>
      <c r="QAM1" s="5"/>
      <c r="QAN1" s="5"/>
      <c r="QAO1" s="5"/>
      <c r="QAP1" s="5"/>
      <c r="QAQ1" s="5"/>
      <c r="QAR1" s="5"/>
      <c r="QAS1" s="5"/>
      <c r="QAT1" s="5"/>
      <c r="QAU1" s="5"/>
      <c r="QAV1" s="5"/>
      <c r="QAW1" s="5"/>
      <c r="QAX1" s="5"/>
      <c r="QAY1" s="5"/>
      <c r="QAZ1" s="5"/>
      <c r="QBA1" s="5"/>
      <c r="QBB1" s="5"/>
      <c r="QBC1" s="5"/>
      <c r="QBD1" s="5"/>
      <c r="QBE1" s="5"/>
      <c r="QBF1" s="5"/>
      <c r="QBG1" s="5"/>
      <c r="QBH1" s="5"/>
      <c r="QBI1" s="5"/>
      <c r="QBJ1" s="5"/>
      <c r="QBK1" s="5"/>
      <c r="QBL1" s="5"/>
      <c r="QBM1" s="5"/>
      <c r="QBN1" s="5"/>
      <c r="QBO1" s="5"/>
      <c r="QBP1" s="5"/>
      <c r="QBQ1" s="5"/>
      <c r="QBR1" s="5"/>
      <c r="QBS1" s="5"/>
      <c r="QBT1" s="5"/>
      <c r="QBU1" s="5"/>
      <c r="QBV1" s="5"/>
      <c r="QBW1" s="5"/>
      <c r="QBX1" s="5"/>
      <c r="QBY1" s="5"/>
      <c r="QBZ1" s="5"/>
      <c r="QCA1" s="5"/>
      <c r="QCB1" s="5"/>
      <c r="QCC1" s="5"/>
      <c r="QCD1" s="5"/>
      <c r="QCE1" s="5"/>
      <c r="QCF1" s="5"/>
      <c r="QCG1" s="5"/>
      <c r="QCH1" s="5"/>
      <c r="QCI1" s="5"/>
      <c r="QCJ1" s="5"/>
      <c r="QCK1" s="5"/>
      <c r="QCL1" s="5"/>
      <c r="QCM1" s="5"/>
      <c r="QCN1" s="5"/>
      <c r="QCO1" s="5"/>
      <c r="QCP1" s="5"/>
      <c r="QCQ1" s="5"/>
      <c r="QCR1" s="5"/>
      <c r="QCS1" s="5"/>
      <c r="QCT1" s="5"/>
      <c r="QCU1" s="5"/>
      <c r="QCV1" s="5"/>
      <c r="QCW1" s="5"/>
      <c r="QCX1" s="5"/>
      <c r="QCY1" s="5"/>
      <c r="QCZ1" s="5"/>
      <c r="QDA1" s="5"/>
      <c r="QDB1" s="5"/>
      <c r="QDC1" s="5"/>
      <c r="QDD1" s="5"/>
      <c r="QDE1" s="5"/>
      <c r="QDF1" s="5"/>
      <c r="QDG1" s="5"/>
      <c r="QDH1" s="5"/>
      <c r="QDI1" s="5"/>
      <c r="QDJ1" s="5"/>
      <c r="QDK1" s="5"/>
      <c r="QDL1" s="5"/>
      <c r="QDM1" s="5"/>
      <c r="QDN1" s="5"/>
      <c r="QDO1" s="5"/>
      <c r="QDP1" s="5"/>
      <c r="QDQ1" s="5"/>
      <c r="QDR1" s="5"/>
      <c r="QDS1" s="5"/>
      <c r="QDT1" s="5"/>
      <c r="QDU1" s="5"/>
      <c r="QDV1" s="5"/>
      <c r="QDW1" s="5"/>
      <c r="QDX1" s="5"/>
      <c r="QDY1" s="5"/>
      <c r="QDZ1" s="5"/>
      <c r="QEA1" s="5"/>
      <c r="QEB1" s="5"/>
      <c r="QEC1" s="5"/>
      <c r="QED1" s="5"/>
      <c r="QEE1" s="5"/>
      <c r="QEF1" s="5"/>
      <c r="QEG1" s="5"/>
      <c r="QEH1" s="5"/>
      <c r="QEI1" s="5"/>
      <c r="QEJ1" s="5"/>
      <c r="QEK1" s="5"/>
      <c r="QEL1" s="5"/>
      <c r="QEM1" s="5"/>
      <c r="QEN1" s="5"/>
      <c r="QEO1" s="5"/>
      <c r="QEP1" s="5"/>
      <c r="QEQ1" s="5"/>
      <c r="QER1" s="5"/>
      <c r="QES1" s="5"/>
      <c r="QET1" s="5"/>
      <c r="QEU1" s="5"/>
      <c r="QEV1" s="5"/>
      <c r="QEW1" s="5"/>
      <c r="QEX1" s="5"/>
      <c r="QEY1" s="5"/>
      <c r="QEZ1" s="5"/>
      <c r="QFA1" s="5"/>
      <c r="QFB1" s="5"/>
      <c r="QFC1" s="5"/>
      <c r="QFD1" s="5"/>
      <c r="QFE1" s="5"/>
      <c r="QFF1" s="5"/>
      <c r="QFG1" s="5"/>
      <c r="QFH1" s="5"/>
      <c r="QFI1" s="5"/>
      <c r="QFJ1" s="5"/>
      <c r="QFK1" s="5"/>
      <c r="QFL1" s="5"/>
      <c r="QFM1" s="5"/>
      <c r="QFN1" s="5"/>
      <c r="QFO1" s="5"/>
      <c r="QFP1" s="5"/>
      <c r="QFQ1" s="5"/>
      <c r="QFR1" s="5"/>
      <c r="QFS1" s="5"/>
      <c r="QFT1" s="5"/>
      <c r="QFU1" s="5"/>
      <c r="QFV1" s="5"/>
      <c r="QFW1" s="5"/>
      <c r="QFX1" s="5"/>
      <c r="QFY1" s="5"/>
      <c r="QFZ1" s="5"/>
      <c r="QGA1" s="5"/>
      <c r="QGB1" s="5"/>
      <c r="QGC1" s="5"/>
      <c r="QGD1" s="5"/>
      <c r="QGE1" s="5"/>
      <c r="QGF1" s="5"/>
      <c r="QGG1" s="5"/>
      <c r="QGH1" s="5"/>
      <c r="QGI1" s="5"/>
      <c r="QGJ1" s="5"/>
      <c r="QGK1" s="5"/>
      <c r="QGL1" s="5"/>
      <c r="QGM1" s="5"/>
      <c r="QGN1" s="5"/>
      <c r="QGO1" s="5"/>
      <c r="QGP1" s="5"/>
      <c r="QGQ1" s="5"/>
      <c r="QGR1" s="5"/>
      <c r="QGS1" s="5"/>
      <c r="QGT1" s="5"/>
      <c r="QGU1" s="5"/>
      <c r="QGV1" s="5"/>
      <c r="QGW1" s="5"/>
      <c r="QGX1" s="5"/>
      <c r="QGY1" s="5"/>
      <c r="QGZ1" s="5"/>
      <c r="QHA1" s="5"/>
      <c r="QHB1" s="5"/>
      <c r="QHC1" s="5"/>
      <c r="QHD1" s="5"/>
      <c r="QHE1" s="5"/>
      <c r="QHF1" s="5"/>
      <c r="QHG1" s="5"/>
      <c r="QHH1" s="5"/>
      <c r="QHI1" s="5"/>
      <c r="QHJ1" s="5"/>
      <c r="QHK1" s="5"/>
      <c r="QHL1" s="5"/>
      <c r="QHM1" s="5"/>
      <c r="QHN1" s="5"/>
      <c r="QHO1" s="5"/>
      <c r="QHP1" s="5"/>
      <c r="QHQ1" s="5"/>
      <c r="QHR1" s="5"/>
      <c r="QHS1" s="5"/>
      <c r="QHT1" s="5"/>
      <c r="QHU1" s="5"/>
      <c r="QHV1" s="5"/>
      <c r="QHW1" s="5"/>
      <c r="QHX1" s="5"/>
      <c r="QHY1" s="5"/>
      <c r="QHZ1" s="5"/>
      <c r="QIA1" s="5"/>
      <c r="QIB1" s="5"/>
      <c r="QIC1" s="5"/>
      <c r="QID1" s="5"/>
      <c r="QIE1" s="5"/>
      <c r="QIF1" s="5"/>
      <c r="QIG1" s="5"/>
      <c r="QIH1" s="5"/>
      <c r="QII1" s="5"/>
      <c r="QIJ1" s="5"/>
      <c r="QIK1" s="5"/>
      <c r="QIL1" s="5"/>
      <c r="QIM1" s="5"/>
      <c r="QIN1" s="5"/>
      <c r="QIO1" s="5"/>
      <c r="QIP1" s="5"/>
      <c r="QIQ1" s="5"/>
      <c r="QIR1" s="5"/>
      <c r="QIS1" s="5"/>
      <c r="QIT1" s="5"/>
      <c r="QIU1" s="5"/>
      <c r="QIV1" s="5"/>
      <c r="QIW1" s="5"/>
      <c r="QIX1" s="5"/>
      <c r="QIY1" s="5"/>
      <c r="QIZ1" s="5"/>
      <c r="QJA1" s="5"/>
      <c r="QJB1" s="5"/>
      <c r="QJC1" s="5"/>
      <c r="QJD1" s="5"/>
      <c r="QJE1" s="5"/>
      <c r="QJF1" s="5"/>
      <c r="QJG1" s="5"/>
      <c r="QJH1" s="5"/>
      <c r="QJI1" s="5"/>
      <c r="QJJ1" s="5"/>
      <c r="QJK1" s="5"/>
      <c r="QJL1" s="5"/>
      <c r="QJM1" s="5"/>
      <c r="QJN1" s="5"/>
      <c r="QJO1" s="5"/>
      <c r="QJP1" s="5"/>
      <c r="QJQ1" s="5"/>
      <c r="QJR1" s="5"/>
      <c r="QJS1" s="5"/>
      <c r="QJT1" s="5"/>
      <c r="QJU1" s="5"/>
      <c r="QJV1" s="5"/>
      <c r="QJW1" s="5"/>
      <c r="QJX1" s="5"/>
      <c r="QJY1" s="5"/>
      <c r="QJZ1" s="5"/>
      <c r="QKA1" s="5"/>
      <c r="QKB1" s="5"/>
      <c r="QKC1" s="5"/>
      <c r="QKD1" s="5"/>
      <c r="QKE1" s="5"/>
      <c r="QKF1" s="5"/>
      <c r="QKG1" s="5"/>
      <c r="QKH1" s="5"/>
      <c r="QKI1" s="5"/>
      <c r="QKJ1" s="5"/>
      <c r="QKK1" s="5"/>
      <c r="QKL1" s="5"/>
      <c r="QKM1" s="5"/>
      <c r="QKN1" s="5"/>
      <c r="QKO1" s="5"/>
      <c r="QKP1" s="5"/>
      <c r="QKQ1" s="5"/>
      <c r="QKR1" s="5"/>
      <c r="QKS1" s="5"/>
      <c r="QKT1" s="5"/>
      <c r="QKU1" s="5"/>
      <c r="QKV1" s="5"/>
      <c r="QKW1" s="5"/>
      <c r="QKX1" s="5"/>
      <c r="QKY1" s="5"/>
      <c r="QKZ1" s="5"/>
      <c r="QLA1" s="5"/>
      <c r="QLB1" s="5"/>
      <c r="QLC1" s="5"/>
      <c r="QLD1" s="5"/>
      <c r="QLE1" s="5"/>
      <c r="QLF1" s="5"/>
      <c r="QLG1" s="5"/>
      <c r="QLH1" s="5"/>
      <c r="QLI1" s="5"/>
      <c r="QLJ1" s="5"/>
      <c r="QLK1" s="5"/>
      <c r="QLL1" s="5"/>
      <c r="QLM1" s="5"/>
      <c r="QLN1" s="5"/>
      <c r="QLO1" s="5"/>
      <c r="QLP1" s="5"/>
      <c r="QLQ1" s="5"/>
      <c r="QLR1" s="5"/>
      <c r="QLS1" s="5"/>
      <c r="QLT1" s="5"/>
      <c r="QLU1" s="5"/>
      <c r="QLV1" s="5"/>
      <c r="QLW1" s="5"/>
      <c r="QLX1" s="5"/>
      <c r="QLY1" s="5"/>
      <c r="QLZ1" s="5"/>
      <c r="QMA1" s="5"/>
      <c r="QMB1" s="5"/>
      <c r="QMC1" s="5"/>
      <c r="QMD1" s="5"/>
      <c r="QME1" s="5"/>
      <c r="QMF1" s="5"/>
      <c r="QMG1" s="5"/>
      <c r="QMH1" s="5"/>
      <c r="QMI1" s="5"/>
      <c r="QMJ1" s="5"/>
      <c r="QMK1" s="5"/>
      <c r="QML1" s="5"/>
      <c r="QMM1" s="5"/>
      <c r="QMN1" s="5"/>
      <c r="QMO1" s="5"/>
      <c r="QMP1" s="5"/>
      <c r="QMQ1" s="5"/>
      <c r="QMR1" s="5"/>
      <c r="QMS1" s="5"/>
      <c r="QMT1" s="5"/>
      <c r="QMU1" s="5"/>
      <c r="QMV1" s="5"/>
      <c r="QMW1" s="5"/>
      <c r="QMX1" s="5"/>
      <c r="QMY1" s="5"/>
      <c r="QMZ1" s="5"/>
      <c r="QNA1" s="5"/>
      <c r="QNB1" s="5"/>
      <c r="QNC1" s="5"/>
      <c r="QND1" s="5"/>
      <c r="QNE1" s="5"/>
      <c r="QNF1" s="5"/>
      <c r="QNG1" s="5"/>
      <c r="QNH1" s="5"/>
      <c r="QNI1" s="5"/>
      <c r="QNJ1" s="5"/>
      <c r="QNK1" s="5"/>
      <c r="QNL1" s="5"/>
      <c r="QNM1" s="5"/>
      <c r="QNN1" s="5"/>
      <c r="QNO1" s="5"/>
      <c r="QNP1" s="5"/>
      <c r="QNQ1" s="5"/>
      <c r="QNR1" s="5"/>
      <c r="QNS1" s="5"/>
      <c r="QNT1" s="5"/>
      <c r="QNU1" s="5"/>
      <c r="QNV1" s="5"/>
      <c r="QNW1" s="5"/>
      <c r="QNX1" s="5"/>
      <c r="QNY1" s="5"/>
      <c r="QNZ1" s="5"/>
      <c r="QOA1" s="5"/>
      <c r="QOB1" s="5"/>
      <c r="QOC1" s="5"/>
      <c r="QOD1" s="5"/>
      <c r="QOE1" s="5"/>
      <c r="QOF1" s="5"/>
      <c r="QOG1" s="5"/>
      <c r="QOH1" s="5"/>
      <c r="QOI1" s="5"/>
      <c r="QOJ1" s="5"/>
      <c r="QOK1" s="5"/>
      <c r="QOL1" s="5"/>
      <c r="QOM1" s="5"/>
      <c r="QON1" s="5"/>
      <c r="QOO1" s="5"/>
      <c r="QOP1" s="5"/>
      <c r="QOQ1" s="5"/>
      <c r="QOR1" s="5"/>
      <c r="QOS1" s="5"/>
      <c r="QOT1" s="5"/>
      <c r="QOU1" s="5"/>
      <c r="QOV1" s="5"/>
      <c r="QOW1" s="5"/>
      <c r="QOX1" s="5"/>
      <c r="QOY1" s="5"/>
      <c r="QOZ1" s="5"/>
      <c r="QPA1" s="5"/>
      <c r="QPB1" s="5"/>
      <c r="QPC1" s="5"/>
      <c r="QPD1" s="5"/>
      <c r="QPE1" s="5"/>
      <c r="QPF1" s="5"/>
      <c r="QPG1" s="5"/>
      <c r="QPH1" s="5"/>
      <c r="QPI1" s="5"/>
      <c r="QPJ1" s="5"/>
      <c r="QPK1" s="5"/>
      <c r="QPL1" s="5"/>
      <c r="QPM1" s="5"/>
      <c r="QPN1" s="5"/>
      <c r="QPO1" s="5"/>
      <c r="QPP1" s="5"/>
      <c r="QPQ1" s="5"/>
      <c r="QPR1" s="5"/>
      <c r="QPS1" s="5"/>
      <c r="QPT1" s="5"/>
      <c r="QPU1" s="5"/>
      <c r="QPV1" s="5"/>
      <c r="QPW1" s="5"/>
      <c r="QPX1" s="5"/>
      <c r="QPY1" s="5"/>
      <c r="QPZ1" s="5"/>
      <c r="QQA1" s="5"/>
      <c r="QQB1" s="5"/>
      <c r="QQC1" s="5"/>
      <c r="QQD1" s="5"/>
      <c r="QQE1" s="5"/>
      <c r="QQF1" s="5"/>
      <c r="QQG1" s="5"/>
      <c r="QQH1" s="5"/>
      <c r="QQI1" s="5"/>
      <c r="QQJ1" s="5"/>
      <c r="QQK1" s="5"/>
      <c r="QQL1" s="5"/>
      <c r="QQM1" s="5"/>
      <c r="QQN1" s="5"/>
      <c r="QQO1" s="5"/>
      <c r="QQP1" s="5"/>
      <c r="QQQ1" s="5"/>
      <c r="QQR1" s="5"/>
      <c r="QQS1" s="5"/>
      <c r="QQT1" s="5"/>
      <c r="QQU1" s="5"/>
      <c r="QQV1" s="5"/>
      <c r="QQW1" s="5"/>
      <c r="QQX1" s="5"/>
      <c r="QQY1" s="5"/>
      <c r="QQZ1" s="5"/>
      <c r="QRA1" s="5"/>
      <c r="QRB1" s="5"/>
      <c r="QRC1" s="5"/>
      <c r="QRD1" s="5"/>
      <c r="QRE1" s="5"/>
      <c r="QRF1" s="5"/>
      <c r="QRG1" s="5"/>
      <c r="QRH1" s="5"/>
      <c r="QRI1" s="5"/>
      <c r="QRJ1" s="5"/>
      <c r="QRK1" s="5"/>
      <c r="QRL1" s="5"/>
      <c r="QRM1" s="5"/>
      <c r="QRN1" s="5"/>
      <c r="QRO1" s="5"/>
      <c r="QRP1" s="5"/>
      <c r="QRQ1" s="5"/>
      <c r="QRR1" s="5"/>
      <c r="QRS1" s="5"/>
      <c r="QRT1" s="5"/>
      <c r="QRU1" s="5"/>
      <c r="QRV1" s="5"/>
      <c r="QRW1" s="5"/>
      <c r="QRX1" s="5"/>
      <c r="QRY1" s="5"/>
      <c r="QRZ1" s="5"/>
      <c r="QSA1" s="5"/>
      <c r="QSB1" s="5"/>
      <c r="QSC1" s="5"/>
      <c r="QSD1" s="5"/>
      <c r="QSE1" s="5"/>
      <c r="QSF1" s="5"/>
      <c r="QSG1" s="5"/>
      <c r="QSH1" s="5"/>
      <c r="QSI1" s="5"/>
      <c r="QSJ1" s="5"/>
      <c r="QSK1" s="5"/>
      <c r="QSL1" s="5"/>
      <c r="QSM1" s="5"/>
      <c r="QSN1" s="5"/>
      <c r="QSO1" s="5"/>
      <c r="QSP1" s="5"/>
      <c r="QSQ1" s="5"/>
      <c r="QSR1" s="5"/>
      <c r="QSS1" s="5"/>
      <c r="QST1" s="5"/>
      <c r="QSU1" s="5"/>
      <c r="QSV1" s="5"/>
      <c r="QSW1" s="5"/>
      <c r="QSX1" s="5"/>
      <c r="QSY1" s="5"/>
      <c r="QSZ1" s="5"/>
      <c r="QTA1" s="5"/>
      <c r="QTB1" s="5"/>
      <c r="QTC1" s="5"/>
      <c r="QTD1" s="5"/>
      <c r="QTE1" s="5"/>
      <c r="QTF1" s="5"/>
      <c r="QTG1" s="5"/>
      <c r="QTH1" s="5"/>
      <c r="QTI1" s="5"/>
      <c r="QTJ1" s="5"/>
      <c r="QTK1" s="5"/>
      <c r="QTL1" s="5"/>
      <c r="QTM1" s="5"/>
      <c r="QTN1" s="5"/>
      <c r="QTO1" s="5"/>
      <c r="QTP1" s="5"/>
      <c r="QTQ1" s="5"/>
      <c r="QTR1" s="5"/>
      <c r="QTS1" s="5"/>
      <c r="QTT1" s="5"/>
      <c r="QTU1" s="5"/>
      <c r="QTV1" s="5"/>
      <c r="QTW1" s="5"/>
      <c r="QTX1" s="5"/>
      <c r="QTY1" s="5"/>
      <c r="QTZ1" s="5"/>
      <c r="QUA1" s="5"/>
      <c r="QUB1" s="5"/>
      <c r="QUC1" s="5"/>
      <c r="QUD1" s="5"/>
      <c r="QUE1" s="5"/>
      <c r="QUF1" s="5"/>
      <c r="QUG1" s="5"/>
      <c r="QUH1" s="5"/>
      <c r="QUI1" s="5"/>
      <c r="QUJ1" s="5"/>
      <c r="QUK1" s="5"/>
      <c r="QUL1" s="5"/>
      <c r="QUM1" s="5"/>
      <c r="QUN1" s="5"/>
      <c r="QUO1" s="5"/>
      <c r="QUP1" s="5"/>
      <c r="QUQ1" s="5"/>
      <c r="QUR1" s="5"/>
      <c r="QUS1" s="5"/>
      <c r="QUT1" s="5"/>
      <c r="QUU1" s="5"/>
      <c r="QUV1" s="5"/>
      <c r="QUW1" s="5"/>
      <c r="QUX1" s="5"/>
      <c r="QUY1" s="5"/>
      <c r="QUZ1" s="5"/>
      <c r="QVA1" s="5"/>
      <c r="QVB1" s="5"/>
      <c r="QVC1" s="5"/>
      <c r="QVD1" s="5"/>
      <c r="QVE1" s="5"/>
      <c r="QVF1" s="5"/>
      <c r="QVG1" s="5"/>
      <c r="QVH1" s="5"/>
      <c r="QVI1" s="5"/>
      <c r="QVJ1" s="5"/>
      <c r="QVK1" s="5"/>
      <c r="QVL1" s="5"/>
      <c r="QVM1" s="5"/>
      <c r="QVN1" s="5"/>
      <c r="QVO1" s="5"/>
      <c r="QVP1" s="5"/>
      <c r="QVQ1" s="5"/>
      <c r="QVR1" s="5"/>
      <c r="QVS1" s="5"/>
      <c r="QVT1" s="5"/>
      <c r="QVU1" s="5"/>
      <c r="QVV1" s="5"/>
      <c r="QVW1" s="5"/>
      <c r="QVX1" s="5"/>
      <c r="QVY1" s="5"/>
      <c r="QVZ1" s="5"/>
      <c r="QWA1" s="5"/>
      <c r="QWB1" s="5"/>
      <c r="QWC1" s="5"/>
      <c r="QWD1" s="5"/>
      <c r="QWE1" s="5"/>
      <c r="QWF1" s="5"/>
      <c r="QWG1" s="5"/>
      <c r="QWH1" s="5"/>
      <c r="QWI1" s="5"/>
      <c r="QWJ1" s="5"/>
      <c r="QWK1" s="5"/>
      <c r="QWL1" s="5"/>
      <c r="QWM1" s="5"/>
      <c r="QWN1" s="5"/>
      <c r="QWO1" s="5"/>
      <c r="QWP1" s="5"/>
      <c r="QWQ1" s="5"/>
      <c r="QWR1" s="5"/>
      <c r="QWS1" s="5"/>
      <c r="QWT1" s="5"/>
      <c r="QWU1" s="5"/>
      <c r="QWV1" s="5"/>
      <c r="QWW1" s="5"/>
      <c r="QWX1" s="5"/>
      <c r="QWY1" s="5"/>
      <c r="QWZ1" s="5"/>
      <c r="QXA1" s="5"/>
      <c r="QXB1" s="5"/>
      <c r="QXC1" s="5"/>
      <c r="QXD1" s="5"/>
      <c r="QXE1" s="5"/>
      <c r="QXF1" s="5"/>
      <c r="QXG1" s="5"/>
      <c r="QXH1" s="5"/>
      <c r="QXI1" s="5"/>
      <c r="QXJ1" s="5"/>
      <c r="QXK1" s="5"/>
      <c r="QXL1" s="5"/>
      <c r="QXM1" s="5"/>
      <c r="QXN1" s="5"/>
      <c r="QXO1" s="5"/>
      <c r="QXP1" s="5"/>
      <c r="QXQ1" s="5"/>
      <c r="QXR1" s="5"/>
      <c r="QXS1" s="5"/>
      <c r="QXT1" s="5"/>
      <c r="QXU1" s="5"/>
      <c r="QXV1" s="5"/>
      <c r="QXW1" s="5"/>
      <c r="QXX1" s="5"/>
      <c r="QXY1" s="5"/>
      <c r="QXZ1" s="5"/>
      <c r="QYA1" s="5"/>
      <c r="QYB1" s="5"/>
      <c r="QYC1" s="5"/>
      <c r="QYD1" s="5"/>
      <c r="QYE1" s="5"/>
      <c r="QYF1" s="5"/>
      <c r="QYG1" s="5"/>
      <c r="QYH1" s="5"/>
      <c r="QYI1" s="5"/>
      <c r="QYJ1" s="5"/>
      <c r="QYK1" s="5"/>
      <c r="QYL1" s="5"/>
      <c r="QYM1" s="5"/>
      <c r="QYN1" s="5"/>
      <c r="QYO1" s="5"/>
      <c r="QYP1" s="5"/>
      <c r="QYQ1" s="5"/>
      <c r="QYR1" s="5"/>
      <c r="QYS1" s="5"/>
      <c r="QYT1" s="5"/>
      <c r="QYU1" s="5"/>
      <c r="QYV1" s="5"/>
      <c r="QYW1" s="5"/>
      <c r="QYX1" s="5"/>
      <c r="QYY1" s="5"/>
      <c r="QYZ1" s="5"/>
      <c r="QZA1" s="5"/>
      <c r="QZB1" s="5"/>
      <c r="QZC1" s="5"/>
      <c r="QZD1" s="5"/>
      <c r="QZE1" s="5"/>
      <c r="QZF1" s="5"/>
      <c r="QZG1" s="5"/>
      <c r="QZH1" s="5"/>
      <c r="QZI1" s="5"/>
      <c r="QZJ1" s="5"/>
      <c r="QZK1" s="5"/>
      <c r="QZL1" s="5"/>
      <c r="QZM1" s="5"/>
      <c r="QZN1" s="5"/>
      <c r="QZO1" s="5"/>
      <c r="QZP1" s="5"/>
      <c r="QZQ1" s="5"/>
      <c r="QZR1" s="5"/>
      <c r="QZS1" s="5"/>
      <c r="QZT1" s="5"/>
      <c r="QZU1" s="5"/>
      <c r="QZV1" s="5"/>
      <c r="QZW1" s="5"/>
      <c r="QZX1" s="5"/>
      <c r="QZY1" s="5"/>
      <c r="QZZ1" s="5"/>
      <c r="RAA1" s="5"/>
      <c r="RAB1" s="5"/>
      <c r="RAC1" s="5"/>
      <c r="RAD1" s="5"/>
      <c r="RAE1" s="5"/>
      <c r="RAF1" s="5"/>
      <c r="RAG1" s="5"/>
      <c r="RAH1" s="5"/>
      <c r="RAI1" s="5"/>
      <c r="RAJ1" s="5"/>
      <c r="RAK1" s="5"/>
      <c r="RAL1" s="5"/>
      <c r="RAM1" s="5"/>
      <c r="RAN1" s="5"/>
      <c r="RAO1" s="5"/>
      <c r="RAP1" s="5"/>
      <c r="RAQ1" s="5"/>
      <c r="RAR1" s="5"/>
      <c r="RAS1" s="5"/>
      <c r="RAT1" s="5"/>
      <c r="RAU1" s="5"/>
      <c r="RAV1" s="5"/>
      <c r="RAW1" s="5"/>
      <c r="RAX1" s="5"/>
      <c r="RAY1" s="5"/>
      <c r="RAZ1" s="5"/>
      <c r="RBA1" s="5"/>
      <c r="RBB1" s="5"/>
      <c r="RBC1" s="5"/>
      <c r="RBD1" s="5"/>
      <c r="RBE1" s="5"/>
      <c r="RBF1" s="5"/>
      <c r="RBG1" s="5"/>
      <c r="RBH1" s="5"/>
      <c r="RBI1" s="5"/>
      <c r="RBJ1" s="5"/>
      <c r="RBK1" s="5"/>
      <c r="RBL1" s="5"/>
      <c r="RBM1" s="5"/>
      <c r="RBN1" s="5"/>
      <c r="RBO1" s="5"/>
      <c r="RBP1" s="5"/>
      <c r="RBQ1" s="5"/>
      <c r="RBR1" s="5"/>
      <c r="RBS1" s="5"/>
      <c r="RBT1" s="5"/>
      <c r="RBU1" s="5"/>
      <c r="RBV1" s="5"/>
      <c r="RBW1" s="5"/>
      <c r="RBX1" s="5"/>
      <c r="RBY1" s="5"/>
      <c r="RBZ1" s="5"/>
      <c r="RCA1" s="5"/>
      <c r="RCB1" s="5"/>
      <c r="RCC1" s="5"/>
      <c r="RCD1" s="5"/>
      <c r="RCE1" s="5"/>
      <c r="RCF1" s="5"/>
      <c r="RCG1" s="5"/>
      <c r="RCH1" s="5"/>
      <c r="RCI1" s="5"/>
      <c r="RCJ1" s="5"/>
      <c r="RCK1" s="5"/>
      <c r="RCL1" s="5"/>
      <c r="RCM1" s="5"/>
      <c r="RCN1" s="5"/>
      <c r="RCO1" s="5"/>
      <c r="RCP1" s="5"/>
      <c r="RCQ1" s="5"/>
      <c r="RCR1" s="5"/>
      <c r="RCS1" s="5"/>
      <c r="RCT1" s="5"/>
      <c r="RCU1" s="5"/>
      <c r="RCV1" s="5"/>
      <c r="RCW1" s="5"/>
      <c r="RCX1" s="5"/>
      <c r="RCY1" s="5"/>
      <c r="RCZ1" s="5"/>
      <c r="RDA1" s="5"/>
      <c r="RDB1" s="5"/>
      <c r="RDC1" s="5"/>
      <c r="RDD1" s="5"/>
      <c r="RDE1" s="5"/>
      <c r="RDF1" s="5"/>
      <c r="RDG1" s="5"/>
      <c r="RDH1" s="5"/>
      <c r="RDI1" s="5"/>
      <c r="RDJ1" s="5"/>
      <c r="RDK1" s="5"/>
      <c r="RDL1" s="5"/>
      <c r="RDM1" s="5"/>
      <c r="RDN1" s="5"/>
      <c r="RDO1" s="5"/>
      <c r="RDP1" s="5"/>
      <c r="RDQ1" s="5"/>
      <c r="RDR1" s="5"/>
      <c r="RDS1" s="5"/>
      <c r="RDT1" s="5"/>
      <c r="RDU1" s="5"/>
      <c r="RDV1" s="5"/>
      <c r="RDW1" s="5"/>
      <c r="RDX1" s="5"/>
      <c r="RDY1" s="5"/>
      <c r="RDZ1" s="5"/>
      <c r="REA1" s="5"/>
      <c r="REB1" s="5"/>
      <c r="REC1" s="5"/>
      <c r="RED1" s="5"/>
      <c r="REE1" s="5"/>
      <c r="REF1" s="5"/>
      <c r="REG1" s="5"/>
      <c r="REH1" s="5"/>
      <c r="REI1" s="5"/>
      <c r="REJ1" s="5"/>
      <c r="REK1" s="5"/>
      <c r="REL1" s="5"/>
      <c r="REM1" s="5"/>
      <c r="REN1" s="5"/>
      <c r="REO1" s="5"/>
      <c r="REP1" s="5"/>
      <c r="REQ1" s="5"/>
      <c r="RER1" s="5"/>
      <c r="RES1" s="5"/>
      <c r="RET1" s="5"/>
      <c r="REU1" s="5"/>
      <c r="REV1" s="5"/>
      <c r="REW1" s="5"/>
      <c r="REX1" s="5"/>
      <c r="REY1" s="5"/>
      <c r="REZ1" s="5"/>
      <c r="RFA1" s="5"/>
      <c r="RFB1" s="5"/>
      <c r="RFC1" s="5"/>
      <c r="RFD1" s="5"/>
      <c r="RFE1" s="5"/>
      <c r="RFF1" s="5"/>
      <c r="RFG1" s="5"/>
      <c r="RFH1" s="5"/>
      <c r="RFI1" s="5"/>
      <c r="RFJ1" s="5"/>
      <c r="RFK1" s="5"/>
      <c r="RFL1" s="5"/>
      <c r="RFM1" s="5"/>
      <c r="RFN1" s="5"/>
      <c r="RFO1" s="5"/>
      <c r="RFP1" s="5"/>
      <c r="RFQ1" s="5"/>
      <c r="RFR1" s="5"/>
      <c r="RFS1" s="5"/>
      <c r="RFT1" s="5"/>
      <c r="RFU1" s="5"/>
      <c r="RFV1" s="5"/>
      <c r="RFW1" s="5"/>
      <c r="RFX1" s="5"/>
      <c r="RFY1" s="5"/>
      <c r="RFZ1" s="5"/>
      <c r="RGA1" s="5"/>
      <c r="RGB1" s="5"/>
      <c r="RGC1" s="5"/>
      <c r="RGD1" s="5"/>
      <c r="RGE1" s="5"/>
      <c r="RGF1" s="5"/>
      <c r="RGG1" s="5"/>
      <c r="RGH1" s="5"/>
      <c r="RGI1" s="5"/>
      <c r="RGJ1" s="5"/>
      <c r="RGK1" s="5"/>
      <c r="RGL1" s="5"/>
      <c r="RGM1" s="5"/>
      <c r="RGN1" s="5"/>
      <c r="RGO1" s="5"/>
      <c r="RGP1" s="5"/>
      <c r="RGQ1" s="5"/>
      <c r="RGR1" s="5"/>
      <c r="RGS1" s="5"/>
      <c r="RGT1" s="5"/>
      <c r="RGU1" s="5"/>
      <c r="RGV1" s="5"/>
      <c r="RGW1" s="5"/>
      <c r="RGX1" s="5"/>
      <c r="RGY1" s="5"/>
      <c r="RGZ1" s="5"/>
      <c r="RHA1" s="5"/>
      <c r="RHB1" s="5"/>
      <c r="RHC1" s="5"/>
      <c r="RHD1" s="5"/>
      <c r="RHE1" s="5"/>
      <c r="RHF1" s="5"/>
      <c r="RHG1" s="5"/>
      <c r="RHH1" s="5"/>
      <c r="RHI1" s="5"/>
      <c r="RHJ1" s="5"/>
      <c r="RHK1" s="5"/>
      <c r="RHL1" s="5"/>
      <c r="RHM1" s="5"/>
      <c r="RHN1" s="5"/>
      <c r="RHO1" s="5"/>
      <c r="RHP1" s="5"/>
      <c r="RHQ1" s="5"/>
      <c r="RHR1" s="5"/>
      <c r="RHS1" s="5"/>
      <c r="RHT1" s="5"/>
      <c r="RHU1" s="5"/>
      <c r="RHV1" s="5"/>
      <c r="RHW1" s="5"/>
      <c r="RHX1" s="5"/>
      <c r="RHY1" s="5"/>
      <c r="RHZ1" s="5"/>
      <c r="RIA1" s="5"/>
      <c r="RIB1" s="5"/>
      <c r="RIC1" s="5"/>
      <c r="RID1" s="5"/>
      <c r="RIE1" s="5"/>
      <c r="RIF1" s="5"/>
      <c r="RIG1" s="5"/>
      <c r="RIH1" s="5"/>
      <c r="RII1" s="5"/>
      <c r="RIJ1" s="5"/>
      <c r="RIK1" s="5"/>
      <c r="RIL1" s="5"/>
      <c r="RIM1" s="5"/>
      <c r="RIN1" s="5"/>
      <c r="RIO1" s="5"/>
      <c r="RIP1" s="5"/>
      <c r="RIQ1" s="5"/>
      <c r="RIR1" s="5"/>
      <c r="RIS1" s="5"/>
      <c r="RIT1" s="5"/>
      <c r="RIU1" s="5"/>
      <c r="RIV1" s="5"/>
      <c r="RIW1" s="5"/>
      <c r="RIX1" s="5"/>
      <c r="RIY1" s="5"/>
      <c r="RIZ1" s="5"/>
      <c r="RJA1" s="5"/>
      <c r="RJB1" s="5"/>
      <c r="RJC1" s="5"/>
      <c r="RJD1" s="5"/>
      <c r="RJE1" s="5"/>
      <c r="RJF1" s="5"/>
      <c r="RJG1" s="5"/>
      <c r="RJH1" s="5"/>
      <c r="RJI1" s="5"/>
      <c r="RJJ1" s="5"/>
      <c r="RJK1" s="5"/>
      <c r="RJL1" s="5"/>
      <c r="RJM1" s="5"/>
      <c r="RJN1" s="5"/>
      <c r="RJO1" s="5"/>
      <c r="RJP1" s="5"/>
      <c r="RJQ1" s="5"/>
      <c r="RJR1" s="5"/>
      <c r="RJS1" s="5"/>
      <c r="RJT1" s="5"/>
      <c r="RJU1" s="5"/>
      <c r="RJV1" s="5"/>
      <c r="RJW1" s="5"/>
      <c r="RJX1" s="5"/>
      <c r="RJY1" s="5"/>
      <c r="RJZ1" s="5"/>
      <c r="RKA1" s="5"/>
      <c r="RKB1" s="5"/>
      <c r="RKC1" s="5"/>
      <c r="RKD1" s="5"/>
      <c r="RKE1" s="5"/>
      <c r="RKF1" s="5"/>
      <c r="RKG1" s="5"/>
      <c r="RKH1" s="5"/>
      <c r="RKI1" s="5"/>
      <c r="RKJ1" s="5"/>
      <c r="RKK1" s="5"/>
      <c r="RKL1" s="5"/>
      <c r="RKM1" s="5"/>
      <c r="RKN1" s="5"/>
      <c r="RKO1" s="5"/>
      <c r="RKP1" s="5"/>
      <c r="RKQ1" s="5"/>
      <c r="RKR1" s="5"/>
      <c r="RKS1" s="5"/>
      <c r="RKT1" s="5"/>
      <c r="RKU1" s="5"/>
      <c r="RKV1" s="5"/>
      <c r="RKW1" s="5"/>
      <c r="RKX1" s="5"/>
      <c r="RKY1" s="5"/>
      <c r="RKZ1" s="5"/>
      <c r="RLA1" s="5"/>
      <c r="RLB1" s="5"/>
      <c r="RLC1" s="5"/>
      <c r="RLD1" s="5"/>
      <c r="RLE1" s="5"/>
      <c r="RLF1" s="5"/>
      <c r="RLG1" s="5"/>
      <c r="RLH1" s="5"/>
      <c r="RLI1" s="5"/>
      <c r="RLJ1" s="5"/>
      <c r="RLK1" s="5"/>
      <c r="RLL1" s="5"/>
      <c r="RLM1" s="5"/>
      <c r="RLN1" s="5"/>
      <c r="RLO1" s="5"/>
      <c r="RLP1" s="5"/>
      <c r="RLQ1" s="5"/>
      <c r="RLR1" s="5"/>
      <c r="RLS1" s="5"/>
      <c r="RLT1" s="5"/>
      <c r="RLU1" s="5"/>
      <c r="RLV1" s="5"/>
      <c r="RLW1" s="5"/>
      <c r="RLX1" s="5"/>
      <c r="RLY1" s="5"/>
      <c r="RLZ1" s="5"/>
      <c r="RMA1" s="5"/>
      <c r="RMB1" s="5"/>
      <c r="RMC1" s="5"/>
      <c r="RMD1" s="5"/>
      <c r="RME1" s="5"/>
      <c r="RMF1" s="5"/>
      <c r="RMG1" s="5"/>
      <c r="RMH1" s="5"/>
      <c r="RMI1" s="5"/>
      <c r="RMJ1" s="5"/>
      <c r="RMK1" s="5"/>
      <c r="RML1" s="5"/>
      <c r="RMM1" s="5"/>
      <c r="RMN1" s="5"/>
      <c r="RMO1" s="5"/>
      <c r="RMP1" s="5"/>
      <c r="RMQ1" s="5"/>
      <c r="RMR1" s="5"/>
      <c r="RMS1" s="5"/>
      <c r="RMT1" s="5"/>
      <c r="RMU1" s="5"/>
      <c r="RMV1" s="5"/>
      <c r="RMW1" s="5"/>
      <c r="RMX1" s="5"/>
      <c r="RMY1" s="5"/>
      <c r="RMZ1" s="5"/>
      <c r="RNA1" s="5"/>
      <c r="RNB1" s="5"/>
      <c r="RNC1" s="5"/>
      <c r="RND1" s="5"/>
      <c r="RNE1" s="5"/>
      <c r="RNF1" s="5"/>
      <c r="RNG1" s="5"/>
      <c r="RNH1" s="5"/>
      <c r="RNI1" s="5"/>
      <c r="RNJ1" s="5"/>
      <c r="RNK1" s="5"/>
      <c r="RNL1" s="5"/>
      <c r="RNM1" s="5"/>
      <c r="RNN1" s="5"/>
      <c r="RNO1" s="5"/>
      <c r="RNP1" s="5"/>
      <c r="RNQ1" s="5"/>
      <c r="RNR1" s="5"/>
      <c r="RNS1" s="5"/>
      <c r="RNT1" s="5"/>
      <c r="RNU1" s="5"/>
      <c r="RNV1" s="5"/>
      <c r="RNW1" s="5"/>
      <c r="RNX1" s="5"/>
      <c r="RNY1" s="5"/>
      <c r="RNZ1" s="5"/>
      <c r="ROA1" s="5"/>
      <c r="ROB1" s="5"/>
      <c r="ROC1" s="5"/>
      <c r="ROD1" s="5"/>
      <c r="ROE1" s="5"/>
      <c r="ROF1" s="5"/>
      <c r="ROG1" s="5"/>
      <c r="ROH1" s="5"/>
      <c r="ROI1" s="5"/>
      <c r="ROJ1" s="5"/>
      <c r="ROK1" s="5"/>
      <c r="ROL1" s="5"/>
      <c r="ROM1" s="5"/>
      <c r="RON1" s="5"/>
      <c r="ROO1" s="5"/>
      <c r="ROP1" s="5"/>
      <c r="ROQ1" s="5"/>
      <c r="ROR1" s="5"/>
      <c r="ROS1" s="5"/>
      <c r="ROT1" s="5"/>
      <c r="ROU1" s="5"/>
      <c r="ROV1" s="5"/>
      <c r="ROW1" s="5"/>
      <c r="ROX1" s="5"/>
      <c r="ROY1" s="5"/>
      <c r="ROZ1" s="5"/>
      <c r="RPA1" s="5"/>
      <c r="RPB1" s="5"/>
      <c r="RPC1" s="5"/>
      <c r="RPD1" s="5"/>
      <c r="RPE1" s="5"/>
      <c r="RPF1" s="5"/>
      <c r="RPG1" s="5"/>
      <c r="RPH1" s="5"/>
      <c r="RPI1" s="5"/>
      <c r="RPJ1" s="5"/>
      <c r="RPK1" s="5"/>
      <c r="RPL1" s="5"/>
      <c r="RPM1" s="5"/>
      <c r="RPN1" s="5"/>
      <c r="RPO1" s="5"/>
      <c r="RPP1" s="5"/>
      <c r="RPQ1" s="5"/>
      <c r="RPR1" s="5"/>
      <c r="RPS1" s="5"/>
      <c r="RPT1" s="5"/>
      <c r="RPU1" s="5"/>
      <c r="RPV1" s="5"/>
      <c r="RPW1" s="5"/>
      <c r="RPX1" s="5"/>
      <c r="RPY1" s="5"/>
      <c r="RPZ1" s="5"/>
      <c r="RQA1" s="5"/>
      <c r="RQB1" s="5"/>
      <c r="RQC1" s="5"/>
      <c r="RQD1" s="5"/>
      <c r="RQE1" s="5"/>
      <c r="RQF1" s="5"/>
      <c r="RQG1" s="5"/>
      <c r="RQH1" s="5"/>
      <c r="RQI1" s="5"/>
      <c r="RQJ1" s="5"/>
      <c r="RQK1" s="5"/>
      <c r="RQL1" s="5"/>
      <c r="RQM1" s="5"/>
      <c r="RQN1" s="5"/>
      <c r="RQO1" s="5"/>
      <c r="RQP1" s="5"/>
      <c r="RQQ1" s="5"/>
      <c r="RQR1" s="5"/>
      <c r="RQS1" s="5"/>
      <c r="RQT1" s="5"/>
      <c r="RQU1" s="5"/>
      <c r="RQV1" s="5"/>
      <c r="RQW1" s="5"/>
      <c r="RQX1" s="5"/>
      <c r="RQY1" s="5"/>
      <c r="RQZ1" s="5"/>
      <c r="RRA1" s="5"/>
      <c r="RRB1" s="5"/>
      <c r="RRC1" s="5"/>
      <c r="RRD1" s="5"/>
      <c r="RRE1" s="5"/>
      <c r="RRF1" s="5"/>
      <c r="RRG1" s="5"/>
      <c r="RRH1" s="5"/>
      <c r="RRI1" s="5"/>
      <c r="RRJ1" s="5"/>
      <c r="RRK1" s="5"/>
      <c r="RRL1" s="5"/>
      <c r="RRM1" s="5"/>
      <c r="RRN1" s="5"/>
      <c r="RRO1" s="5"/>
      <c r="RRP1" s="5"/>
      <c r="RRQ1" s="5"/>
      <c r="RRR1" s="5"/>
      <c r="RRS1" s="5"/>
      <c r="RRT1" s="5"/>
      <c r="RRU1" s="5"/>
      <c r="RRV1" s="5"/>
      <c r="RRW1" s="5"/>
      <c r="RRX1" s="5"/>
      <c r="RRY1" s="5"/>
      <c r="RRZ1" s="5"/>
      <c r="RSA1" s="5"/>
      <c r="RSB1" s="5"/>
      <c r="RSC1" s="5"/>
      <c r="RSD1" s="5"/>
      <c r="RSE1" s="5"/>
      <c r="RSF1" s="5"/>
      <c r="RSG1" s="5"/>
      <c r="RSH1" s="5"/>
      <c r="RSI1" s="5"/>
      <c r="RSJ1" s="5"/>
      <c r="RSK1" s="5"/>
      <c r="RSL1" s="5"/>
      <c r="RSM1" s="5"/>
      <c r="RSN1" s="5"/>
      <c r="RSO1" s="5"/>
      <c r="RSP1" s="5"/>
      <c r="RSQ1" s="5"/>
      <c r="RSR1" s="5"/>
      <c r="RSS1" s="5"/>
      <c r="RST1" s="5"/>
      <c r="RSU1" s="5"/>
      <c r="RSV1" s="5"/>
      <c r="RSW1" s="5"/>
      <c r="RSX1" s="5"/>
      <c r="RSY1" s="5"/>
      <c r="RSZ1" s="5"/>
      <c r="RTA1" s="5"/>
      <c r="RTB1" s="5"/>
      <c r="RTC1" s="5"/>
      <c r="RTD1" s="5"/>
      <c r="RTE1" s="5"/>
      <c r="RTF1" s="5"/>
      <c r="RTG1" s="5"/>
      <c r="RTH1" s="5"/>
      <c r="RTI1" s="5"/>
      <c r="RTJ1" s="5"/>
      <c r="RTK1" s="5"/>
      <c r="RTL1" s="5"/>
      <c r="RTM1" s="5"/>
      <c r="RTN1" s="5"/>
      <c r="RTO1" s="5"/>
      <c r="RTP1" s="5"/>
      <c r="RTQ1" s="5"/>
      <c r="RTR1" s="5"/>
      <c r="RTS1" s="5"/>
      <c r="RTT1" s="5"/>
      <c r="RTU1" s="5"/>
      <c r="RTV1" s="5"/>
      <c r="RTW1" s="5"/>
      <c r="RTX1" s="5"/>
      <c r="RTY1" s="5"/>
      <c r="RTZ1" s="5"/>
      <c r="RUA1" s="5"/>
      <c r="RUB1" s="5"/>
      <c r="RUC1" s="5"/>
      <c r="RUD1" s="5"/>
      <c r="RUE1" s="5"/>
      <c r="RUF1" s="5"/>
      <c r="RUG1" s="5"/>
      <c r="RUH1" s="5"/>
      <c r="RUI1" s="5"/>
      <c r="RUJ1" s="5"/>
      <c r="RUK1" s="5"/>
      <c r="RUL1" s="5"/>
      <c r="RUM1" s="5"/>
      <c r="RUN1" s="5"/>
      <c r="RUO1" s="5"/>
      <c r="RUP1" s="5"/>
      <c r="RUQ1" s="5"/>
      <c r="RUR1" s="5"/>
      <c r="RUS1" s="5"/>
      <c r="RUT1" s="5"/>
      <c r="RUU1" s="5"/>
      <c r="RUV1" s="5"/>
      <c r="RUW1" s="5"/>
      <c r="RUX1" s="5"/>
      <c r="RUY1" s="5"/>
      <c r="RUZ1" s="5"/>
      <c r="RVA1" s="5"/>
      <c r="RVB1" s="5"/>
      <c r="RVC1" s="5"/>
      <c r="RVD1" s="5"/>
      <c r="RVE1" s="5"/>
      <c r="RVF1" s="5"/>
      <c r="RVG1" s="5"/>
      <c r="RVH1" s="5"/>
      <c r="RVI1" s="5"/>
      <c r="RVJ1" s="5"/>
      <c r="RVK1" s="5"/>
      <c r="RVL1" s="5"/>
      <c r="RVM1" s="5"/>
      <c r="RVN1" s="5"/>
      <c r="RVO1" s="5"/>
      <c r="RVP1" s="5"/>
      <c r="RVQ1" s="5"/>
      <c r="RVR1" s="5"/>
      <c r="RVS1" s="5"/>
      <c r="RVT1" s="5"/>
      <c r="RVU1" s="5"/>
      <c r="RVV1" s="5"/>
      <c r="RVW1" s="5"/>
      <c r="RVX1" s="5"/>
      <c r="RVY1" s="5"/>
      <c r="RVZ1" s="5"/>
      <c r="RWA1" s="5"/>
      <c r="RWB1" s="5"/>
      <c r="RWC1" s="5"/>
      <c r="RWD1" s="5"/>
      <c r="RWE1" s="5"/>
      <c r="RWF1" s="5"/>
      <c r="RWG1" s="5"/>
      <c r="RWH1" s="5"/>
      <c r="RWI1" s="5"/>
      <c r="RWJ1" s="5"/>
      <c r="RWK1" s="5"/>
      <c r="RWL1" s="5"/>
      <c r="RWM1" s="5"/>
      <c r="RWN1" s="5"/>
      <c r="RWO1" s="5"/>
      <c r="RWP1" s="5"/>
      <c r="RWQ1" s="5"/>
      <c r="RWR1" s="5"/>
      <c r="RWS1" s="5"/>
      <c r="RWT1" s="5"/>
      <c r="RWU1" s="5"/>
      <c r="RWV1" s="5"/>
      <c r="RWW1" s="5"/>
      <c r="RWX1" s="5"/>
      <c r="RWY1" s="5"/>
      <c r="RWZ1" s="5"/>
      <c r="RXA1" s="5"/>
      <c r="RXB1" s="5"/>
      <c r="RXC1" s="5"/>
      <c r="RXD1" s="5"/>
      <c r="RXE1" s="5"/>
      <c r="RXF1" s="5"/>
      <c r="RXG1" s="5"/>
      <c r="RXH1" s="5"/>
      <c r="RXI1" s="5"/>
      <c r="RXJ1" s="5"/>
      <c r="RXK1" s="5"/>
      <c r="RXL1" s="5"/>
      <c r="RXM1" s="5"/>
      <c r="RXN1" s="5"/>
      <c r="RXO1" s="5"/>
      <c r="RXP1" s="5"/>
      <c r="RXQ1" s="5"/>
      <c r="RXR1" s="5"/>
      <c r="RXS1" s="5"/>
      <c r="RXT1" s="5"/>
      <c r="RXU1" s="5"/>
      <c r="RXV1" s="5"/>
      <c r="RXW1" s="5"/>
      <c r="RXX1" s="5"/>
      <c r="RXY1" s="5"/>
      <c r="RXZ1" s="5"/>
      <c r="RYA1" s="5"/>
      <c r="RYB1" s="5"/>
      <c r="RYC1" s="5"/>
      <c r="RYD1" s="5"/>
      <c r="RYE1" s="5"/>
      <c r="RYF1" s="5"/>
      <c r="RYG1" s="5"/>
      <c r="RYH1" s="5"/>
      <c r="RYI1" s="5"/>
      <c r="RYJ1" s="5"/>
      <c r="RYK1" s="5"/>
      <c r="RYL1" s="5"/>
      <c r="RYM1" s="5"/>
      <c r="RYN1" s="5"/>
      <c r="RYO1" s="5"/>
      <c r="RYP1" s="5"/>
      <c r="RYQ1" s="5"/>
      <c r="RYR1" s="5"/>
      <c r="RYS1" s="5"/>
      <c r="RYT1" s="5"/>
      <c r="RYU1" s="5"/>
      <c r="RYV1" s="5"/>
      <c r="RYW1" s="5"/>
      <c r="RYX1" s="5"/>
      <c r="RYY1" s="5"/>
      <c r="RYZ1" s="5"/>
      <c r="RZA1" s="5"/>
      <c r="RZB1" s="5"/>
      <c r="RZC1" s="5"/>
      <c r="RZD1" s="5"/>
      <c r="RZE1" s="5"/>
      <c r="RZF1" s="5"/>
      <c r="RZG1" s="5"/>
      <c r="RZH1" s="5"/>
      <c r="RZI1" s="5"/>
      <c r="RZJ1" s="5"/>
      <c r="RZK1" s="5"/>
      <c r="RZL1" s="5"/>
      <c r="RZM1" s="5"/>
      <c r="RZN1" s="5"/>
      <c r="RZO1" s="5"/>
      <c r="RZP1" s="5"/>
      <c r="RZQ1" s="5"/>
      <c r="RZR1" s="5"/>
      <c r="RZS1" s="5"/>
      <c r="RZT1" s="5"/>
      <c r="RZU1" s="5"/>
      <c r="RZV1" s="5"/>
      <c r="RZW1" s="5"/>
      <c r="RZX1" s="5"/>
      <c r="RZY1" s="5"/>
      <c r="RZZ1" s="5"/>
      <c r="SAA1" s="5"/>
      <c r="SAB1" s="5"/>
      <c r="SAC1" s="5"/>
      <c r="SAD1" s="5"/>
      <c r="SAE1" s="5"/>
      <c r="SAF1" s="5"/>
      <c r="SAG1" s="5"/>
      <c r="SAH1" s="5"/>
      <c r="SAI1" s="5"/>
      <c r="SAJ1" s="5"/>
      <c r="SAK1" s="5"/>
      <c r="SAL1" s="5"/>
      <c r="SAM1" s="5"/>
      <c r="SAN1" s="5"/>
      <c r="SAO1" s="5"/>
      <c r="SAP1" s="5"/>
      <c r="SAQ1" s="5"/>
      <c r="SAR1" s="5"/>
      <c r="SAS1" s="5"/>
      <c r="SAT1" s="5"/>
      <c r="SAU1" s="5"/>
      <c r="SAV1" s="5"/>
      <c r="SAW1" s="5"/>
      <c r="SAX1" s="5"/>
      <c r="SAY1" s="5"/>
      <c r="SAZ1" s="5"/>
      <c r="SBA1" s="5"/>
      <c r="SBB1" s="5"/>
      <c r="SBC1" s="5"/>
      <c r="SBD1" s="5"/>
      <c r="SBE1" s="5"/>
      <c r="SBF1" s="5"/>
      <c r="SBG1" s="5"/>
      <c r="SBH1" s="5"/>
      <c r="SBI1" s="5"/>
      <c r="SBJ1" s="5"/>
      <c r="SBK1" s="5"/>
      <c r="SBL1" s="5"/>
      <c r="SBM1" s="5"/>
      <c r="SBN1" s="5"/>
      <c r="SBO1" s="5"/>
      <c r="SBP1" s="5"/>
      <c r="SBQ1" s="5"/>
      <c r="SBR1" s="5"/>
      <c r="SBS1" s="5"/>
      <c r="SBT1" s="5"/>
      <c r="SBU1" s="5"/>
      <c r="SBV1" s="5"/>
      <c r="SBW1" s="5"/>
      <c r="SBX1" s="5"/>
      <c r="SBY1" s="5"/>
      <c r="SBZ1" s="5"/>
      <c r="SCA1" s="5"/>
      <c r="SCB1" s="5"/>
      <c r="SCC1" s="5"/>
      <c r="SCD1" s="5"/>
      <c r="SCE1" s="5"/>
      <c r="SCF1" s="5"/>
      <c r="SCG1" s="5"/>
      <c r="SCH1" s="5"/>
      <c r="SCI1" s="5"/>
      <c r="SCJ1" s="5"/>
      <c r="SCK1" s="5"/>
      <c r="SCL1" s="5"/>
      <c r="SCM1" s="5"/>
      <c r="SCN1" s="5"/>
      <c r="SCO1" s="5"/>
      <c r="SCP1" s="5"/>
      <c r="SCQ1" s="5"/>
      <c r="SCR1" s="5"/>
      <c r="SCS1" s="5"/>
      <c r="SCT1" s="5"/>
      <c r="SCU1" s="5"/>
      <c r="SCV1" s="5"/>
      <c r="SCW1" s="5"/>
      <c r="SCX1" s="5"/>
      <c r="SCY1" s="5"/>
      <c r="SCZ1" s="5"/>
      <c r="SDA1" s="5"/>
      <c r="SDB1" s="5"/>
      <c r="SDC1" s="5"/>
      <c r="SDD1" s="5"/>
      <c r="SDE1" s="5"/>
      <c r="SDF1" s="5"/>
      <c r="SDG1" s="5"/>
      <c r="SDH1" s="5"/>
      <c r="SDI1" s="5"/>
      <c r="SDJ1" s="5"/>
      <c r="SDK1" s="5"/>
      <c r="SDL1" s="5"/>
      <c r="SDM1" s="5"/>
      <c r="SDN1" s="5"/>
      <c r="SDO1" s="5"/>
      <c r="SDP1" s="5"/>
      <c r="SDQ1" s="5"/>
      <c r="SDR1" s="5"/>
      <c r="SDS1" s="5"/>
      <c r="SDT1" s="5"/>
      <c r="SDU1" s="5"/>
      <c r="SDV1" s="5"/>
      <c r="SDW1" s="5"/>
      <c r="SDX1" s="5"/>
      <c r="SDY1" s="5"/>
      <c r="SDZ1" s="5"/>
      <c r="SEA1" s="5"/>
      <c r="SEB1" s="5"/>
      <c r="SEC1" s="5"/>
      <c r="SED1" s="5"/>
      <c r="SEE1" s="5"/>
      <c r="SEF1" s="5"/>
      <c r="SEG1" s="5"/>
      <c r="SEH1" s="5"/>
      <c r="SEI1" s="5"/>
      <c r="SEJ1" s="5"/>
      <c r="SEK1" s="5"/>
      <c r="SEL1" s="5"/>
      <c r="SEM1" s="5"/>
      <c r="SEN1" s="5"/>
      <c r="SEO1" s="5"/>
      <c r="SEP1" s="5"/>
      <c r="SEQ1" s="5"/>
      <c r="SER1" s="5"/>
      <c r="SES1" s="5"/>
      <c r="SET1" s="5"/>
      <c r="SEU1" s="5"/>
      <c r="SEV1" s="5"/>
      <c r="SEW1" s="5"/>
      <c r="SEX1" s="5"/>
      <c r="SEY1" s="5"/>
      <c r="SEZ1" s="5"/>
      <c r="SFA1" s="5"/>
      <c r="SFB1" s="5"/>
      <c r="SFC1" s="5"/>
      <c r="SFD1" s="5"/>
      <c r="SFE1" s="5"/>
      <c r="SFF1" s="5"/>
      <c r="SFG1" s="5"/>
      <c r="SFH1" s="5"/>
      <c r="SFI1" s="5"/>
      <c r="SFJ1" s="5"/>
      <c r="SFK1" s="5"/>
      <c r="SFL1" s="5"/>
      <c r="SFM1" s="5"/>
      <c r="SFN1" s="5"/>
      <c r="SFO1" s="5"/>
      <c r="SFP1" s="5"/>
      <c r="SFQ1" s="5"/>
      <c r="SFR1" s="5"/>
      <c r="SFS1" s="5"/>
      <c r="SFT1" s="5"/>
      <c r="SFU1" s="5"/>
      <c r="SFV1" s="5"/>
      <c r="SFW1" s="5"/>
      <c r="SFX1" s="5"/>
      <c r="SFY1" s="5"/>
      <c r="SFZ1" s="5"/>
      <c r="SGA1" s="5"/>
      <c r="SGB1" s="5"/>
      <c r="SGC1" s="5"/>
      <c r="SGD1" s="5"/>
      <c r="SGE1" s="5"/>
      <c r="SGF1" s="5"/>
      <c r="SGG1" s="5"/>
      <c r="SGH1" s="5"/>
      <c r="SGI1" s="5"/>
      <c r="SGJ1" s="5"/>
      <c r="SGK1" s="5"/>
      <c r="SGL1" s="5"/>
      <c r="SGM1" s="5"/>
      <c r="SGN1" s="5"/>
      <c r="SGO1" s="5"/>
      <c r="SGP1" s="5"/>
      <c r="SGQ1" s="5"/>
      <c r="SGR1" s="5"/>
      <c r="SGS1" s="5"/>
      <c r="SGT1" s="5"/>
      <c r="SGU1" s="5"/>
      <c r="SGV1" s="5"/>
      <c r="SGW1" s="5"/>
      <c r="SGX1" s="5"/>
      <c r="SGY1" s="5"/>
      <c r="SGZ1" s="5"/>
      <c r="SHA1" s="5"/>
      <c r="SHB1" s="5"/>
      <c r="SHC1" s="5"/>
      <c r="SHD1" s="5"/>
      <c r="SHE1" s="5"/>
      <c r="SHF1" s="5"/>
      <c r="SHG1" s="5"/>
      <c r="SHH1" s="5"/>
      <c r="SHI1" s="5"/>
      <c r="SHJ1" s="5"/>
      <c r="SHK1" s="5"/>
      <c r="SHL1" s="5"/>
      <c r="SHM1" s="5"/>
      <c r="SHN1" s="5"/>
      <c r="SHO1" s="5"/>
      <c r="SHP1" s="5"/>
      <c r="SHQ1" s="5"/>
      <c r="SHR1" s="5"/>
      <c r="SHS1" s="5"/>
      <c r="SHT1" s="5"/>
      <c r="SHU1" s="5"/>
      <c r="SHV1" s="5"/>
      <c r="SHW1" s="5"/>
      <c r="SHX1" s="5"/>
      <c r="SHY1" s="5"/>
      <c r="SHZ1" s="5"/>
      <c r="SIA1" s="5"/>
      <c r="SIB1" s="5"/>
      <c r="SIC1" s="5"/>
      <c r="SID1" s="5"/>
      <c r="SIE1" s="5"/>
      <c r="SIF1" s="5"/>
      <c r="SIG1" s="5"/>
      <c r="SIH1" s="5"/>
      <c r="SII1" s="5"/>
      <c r="SIJ1" s="5"/>
      <c r="SIK1" s="5"/>
      <c r="SIL1" s="5"/>
      <c r="SIM1" s="5"/>
      <c r="SIN1" s="5"/>
      <c r="SIO1" s="5"/>
      <c r="SIP1" s="5"/>
      <c r="SIQ1" s="5"/>
      <c r="SIR1" s="5"/>
      <c r="SIS1" s="5"/>
      <c r="SIT1" s="5"/>
      <c r="SIU1" s="5"/>
      <c r="SIV1" s="5"/>
      <c r="SIW1" s="5"/>
      <c r="SIX1" s="5"/>
      <c r="SIY1" s="5"/>
      <c r="SIZ1" s="5"/>
      <c r="SJA1" s="5"/>
      <c r="SJB1" s="5"/>
      <c r="SJC1" s="5"/>
      <c r="SJD1" s="5"/>
      <c r="SJE1" s="5"/>
      <c r="SJF1" s="5"/>
      <c r="SJG1" s="5"/>
      <c r="SJH1" s="5"/>
      <c r="SJI1" s="5"/>
      <c r="SJJ1" s="5"/>
      <c r="SJK1" s="5"/>
      <c r="SJL1" s="5"/>
      <c r="SJM1" s="5"/>
      <c r="SJN1" s="5"/>
      <c r="SJO1" s="5"/>
      <c r="SJP1" s="5"/>
      <c r="SJQ1" s="5"/>
      <c r="SJR1" s="5"/>
      <c r="SJS1" s="5"/>
      <c r="SJT1" s="5"/>
      <c r="SJU1" s="5"/>
      <c r="SJV1" s="5"/>
      <c r="SJW1" s="5"/>
      <c r="SJX1" s="5"/>
      <c r="SJY1" s="5"/>
      <c r="SJZ1" s="5"/>
      <c r="SKA1" s="5"/>
      <c r="SKB1" s="5"/>
      <c r="SKC1" s="5"/>
      <c r="SKD1" s="5"/>
      <c r="SKE1" s="5"/>
      <c r="SKF1" s="5"/>
      <c r="SKG1" s="5"/>
      <c r="SKH1" s="5"/>
      <c r="SKI1" s="5"/>
      <c r="SKJ1" s="5"/>
      <c r="SKK1" s="5"/>
      <c r="SKL1" s="5"/>
      <c r="SKM1" s="5"/>
      <c r="SKN1" s="5"/>
      <c r="SKO1" s="5"/>
      <c r="SKP1" s="5"/>
      <c r="SKQ1" s="5"/>
      <c r="SKR1" s="5"/>
      <c r="SKS1" s="5"/>
      <c r="SKT1" s="5"/>
      <c r="SKU1" s="5"/>
      <c r="SKV1" s="5"/>
      <c r="SKW1" s="5"/>
      <c r="SKX1" s="5"/>
      <c r="SKY1" s="5"/>
      <c r="SKZ1" s="5"/>
      <c r="SLA1" s="5"/>
      <c r="SLB1" s="5"/>
      <c r="SLC1" s="5"/>
      <c r="SLD1" s="5"/>
      <c r="SLE1" s="5"/>
      <c r="SLF1" s="5"/>
      <c r="SLG1" s="5"/>
      <c r="SLH1" s="5"/>
      <c r="SLI1" s="5"/>
      <c r="SLJ1" s="5"/>
      <c r="SLK1" s="5"/>
      <c r="SLL1" s="5"/>
      <c r="SLM1" s="5"/>
      <c r="SLN1" s="5"/>
      <c r="SLO1" s="5"/>
      <c r="SLP1" s="5"/>
      <c r="SLQ1" s="5"/>
      <c r="SLR1" s="5"/>
      <c r="SLS1" s="5"/>
      <c r="SLT1" s="5"/>
      <c r="SLU1" s="5"/>
      <c r="SLV1" s="5"/>
      <c r="SLW1" s="5"/>
      <c r="SLX1" s="5"/>
      <c r="SLY1" s="5"/>
      <c r="SLZ1" s="5"/>
      <c r="SMA1" s="5"/>
      <c r="SMB1" s="5"/>
      <c r="SMC1" s="5"/>
      <c r="SMD1" s="5"/>
      <c r="SME1" s="5"/>
      <c r="SMF1" s="5"/>
      <c r="SMG1" s="5"/>
      <c r="SMH1" s="5"/>
      <c r="SMI1" s="5"/>
      <c r="SMJ1" s="5"/>
      <c r="SMK1" s="5"/>
      <c r="SML1" s="5"/>
      <c r="SMM1" s="5"/>
      <c r="SMN1" s="5"/>
      <c r="SMO1" s="5"/>
      <c r="SMP1" s="5"/>
      <c r="SMQ1" s="5"/>
      <c r="SMR1" s="5"/>
      <c r="SMS1" s="5"/>
      <c r="SMT1" s="5"/>
      <c r="SMU1" s="5"/>
      <c r="SMV1" s="5"/>
      <c r="SMW1" s="5"/>
      <c r="SMX1" s="5"/>
      <c r="SMY1" s="5"/>
      <c r="SMZ1" s="5"/>
      <c r="SNA1" s="5"/>
      <c r="SNB1" s="5"/>
      <c r="SNC1" s="5"/>
      <c r="SND1" s="5"/>
      <c r="SNE1" s="5"/>
      <c r="SNF1" s="5"/>
      <c r="SNG1" s="5"/>
      <c r="SNH1" s="5"/>
      <c r="SNI1" s="5"/>
      <c r="SNJ1" s="5"/>
      <c r="SNK1" s="5"/>
      <c r="SNL1" s="5"/>
      <c r="SNM1" s="5"/>
      <c r="SNN1" s="5"/>
      <c r="SNO1" s="5"/>
      <c r="SNP1" s="5"/>
      <c r="SNQ1" s="5"/>
      <c r="SNR1" s="5"/>
      <c r="SNS1" s="5"/>
      <c r="SNT1" s="5"/>
      <c r="SNU1" s="5"/>
      <c r="SNV1" s="5"/>
      <c r="SNW1" s="5"/>
      <c r="SNX1" s="5"/>
      <c r="SNY1" s="5"/>
      <c r="SNZ1" s="5"/>
      <c r="SOA1" s="5"/>
      <c r="SOB1" s="5"/>
      <c r="SOC1" s="5"/>
      <c r="SOD1" s="5"/>
      <c r="SOE1" s="5"/>
      <c r="SOF1" s="5"/>
      <c r="SOG1" s="5"/>
      <c r="SOH1" s="5"/>
      <c r="SOI1" s="5"/>
      <c r="SOJ1" s="5"/>
      <c r="SOK1" s="5"/>
      <c r="SOL1" s="5"/>
      <c r="SOM1" s="5"/>
      <c r="SON1" s="5"/>
      <c r="SOO1" s="5"/>
      <c r="SOP1" s="5"/>
      <c r="SOQ1" s="5"/>
      <c r="SOR1" s="5"/>
      <c r="SOS1" s="5"/>
      <c r="SOT1" s="5"/>
      <c r="SOU1" s="5"/>
      <c r="SOV1" s="5"/>
      <c r="SOW1" s="5"/>
      <c r="SOX1" s="5"/>
      <c r="SOY1" s="5"/>
      <c r="SOZ1" s="5"/>
      <c r="SPA1" s="5"/>
      <c r="SPB1" s="5"/>
      <c r="SPC1" s="5"/>
      <c r="SPD1" s="5"/>
      <c r="SPE1" s="5"/>
      <c r="SPF1" s="5"/>
      <c r="SPG1" s="5"/>
      <c r="SPH1" s="5"/>
      <c r="SPI1" s="5"/>
      <c r="SPJ1" s="5"/>
      <c r="SPK1" s="5"/>
      <c r="SPL1" s="5"/>
      <c r="SPM1" s="5"/>
      <c r="SPN1" s="5"/>
      <c r="SPO1" s="5"/>
      <c r="SPP1" s="5"/>
      <c r="SPQ1" s="5"/>
      <c r="SPR1" s="5"/>
      <c r="SPS1" s="5"/>
      <c r="SPT1" s="5"/>
      <c r="SPU1" s="5"/>
      <c r="SPV1" s="5"/>
      <c r="SPW1" s="5"/>
      <c r="SPX1" s="5"/>
      <c r="SPY1" s="5"/>
      <c r="SPZ1" s="5"/>
      <c r="SQA1" s="5"/>
      <c r="SQB1" s="5"/>
      <c r="SQC1" s="5"/>
      <c r="SQD1" s="5"/>
      <c r="SQE1" s="5"/>
      <c r="SQF1" s="5"/>
      <c r="SQG1" s="5"/>
      <c r="SQH1" s="5"/>
      <c r="SQI1" s="5"/>
      <c r="SQJ1" s="5"/>
      <c r="SQK1" s="5"/>
      <c r="SQL1" s="5"/>
      <c r="SQM1" s="5"/>
      <c r="SQN1" s="5"/>
      <c r="SQO1" s="5"/>
      <c r="SQP1" s="5"/>
      <c r="SQQ1" s="5"/>
      <c r="SQR1" s="5"/>
      <c r="SQS1" s="5"/>
      <c r="SQT1" s="5"/>
      <c r="SQU1" s="5"/>
      <c r="SQV1" s="5"/>
      <c r="SQW1" s="5"/>
      <c r="SQX1" s="5"/>
      <c r="SQY1" s="5"/>
      <c r="SQZ1" s="5"/>
      <c r="SRA1" s="5"/>
      <c r="SRB1" s="5"/>
      <c r="SRC1" s="5"/>
      <c r="SRD1" s="5"/>
      <c r="SRE1" s="5"/>
      <c r="SRF1" s="5"/>
      <c r="SRG1" s="5"/>
      <c r="SRH1" s="5"/>
      <c r="SRI1" s="5"/>
      <c r="SRJ1" s="5"/>
      <c r="SRK1" s="5"/>
      <c r="SRL1" s="5"/>
      <c r="SRM1" s="5"/>
      <c r="SRN1" s="5"/>
      <c r="SRO1" s="5"/>
      <c r="SRP1" s="5"/>
      <c r="SRQ1" s="5"/>
      <c r="SRR1" s="5"/>
      <c r="SRS1" s="5"/>
      <c r="SRT1" s="5"/>
      <c r="SRU1" s="5"/>
      <c r="SRV1" s="5"/>
      <c r="SRW1" s="5"/>
      <c r="SRX1" s="5"/>
      <c r="SRY1" s="5"/>
      <c r="SRZ1" s="5"/>
      <c r="SSA1" s="5"/>
      <c r="SSB1" s="5"/>
      <c r="SSC1" s="5"/>
      <c r="SSD1" s="5"/>
      <c r="SSE1" s="5"/>
      <c r="SSF1" s="5"/>
      <c r="SSG1" s="5"/>
      <c r="SSH1" s="5"/>
      <c r="SSI1" s="5"/>
      <c r="SSJ1" s="5"/>
      <c r="SSK1" s="5"/>
      <c r="SSL1" s="5"/>
      <c r="SSM1" s="5"/>
      <c r="SSN1" s="5"/>
      <c r="SSO1" s="5"/>
      <c r="SSP1" s="5"/>
      <c r="SSQ1" s="5"/>
      <c r="SSR1" s="5"/>
      <c r="SSS1" s="5"/>
      <c r="SST1" s="5"/>
      <c r="SSU1" s="5"/>
      <c r="SSV1" s="5"/>
      <c r="SSW1" s="5"/>
      <c r="SSX1" s="5"/>
      <c r="SSY1" s="5"/>
      <c r="SSZ1" s="5"/>
      <c r="STA1" s="5"/>
      <c r="STB1" s="5"/>
      <c r="STC1" s="5"/>
      <c r="STD1" s="5"/>
      <c r="STE1" s="5"/>
      <c r="STF1" s="5"/>
      <c r="STG1" s="5"/>
      <c r="STH1" s="5"/>
      <c r="STI1" s="5"/>
      <c r="STJ1" s="5"/>
      <c r="STK1" s="5"/>
      <c r="STL1" s="5"/>
      <c r="STM1" s="5"/>
      <c r="STN1" s="5"/>
      <c r="STO1" s="5"/>
      <c r="STP1" s="5"/>
      <c r="STQ1" s="5"/>
      <c r="STR1" s="5"/>
      <c r="STS1" s="5"/>
      <c r="STT1" s="5"/>
      <c r="STU1" s="5"/>
      <c r="STV1" s="5"/>
      <c r="STW1" s="5"/>
      <c r="STX1" s="5"/>
      <c r="STY1" s="5"/>
      <c r="STZ1" s="5"/>
      <c r="SUA1" s="5"/>
      <c r="SUB1" s="5"/>
      <c r="SUC1" s="5"/>
      <c r="SUD1" s="5"/>
      <c r="SUE1" s="5"/>
      <c r="SUF1" s="5"/>
      <c r="SUG1" s="5"/>
      <c r="SUH1" s="5"/>
      <c r="SUI1" s="5"/>
      <c r="SUJ1" s="5"/>
      <c r="SUK1" s="5"/>
      <c r="SUL1" s="5"/>
      <c r="SUM1" s="5"/>
      <c r="SUN1" s="5"/>
      <c r="SUO1" s="5"/>
      <c r="SUP1" s="5"/>
      <c r="SUQ1" s="5"/>
      <c r="SUR1" s="5"/>
      <c r="SUS1" s="5"/>
      <c r="SUT1" s="5"/>
      <c r="SUU1" s="5"/>
      <c r="SUV1" s="5"/>
      <c r="SUW1" s="5"/>
      <c r="SUX1" s="5"/>
      <c r="SUY1" s="5"/>
      <c r="SUZ1" s="5"/>
      <c r="SVA1" s="5"/>
      <c r="SVB1" s="5"/>
      <c r="SVC1" s="5"/>
      <c r="SVD1" s="5"/>
      <c r="SVE1" s="5"/>
      <c r="SVF1" s="5"/>
      <c r="SVG1" s="5"/>
      <c r="SVH1" s="5"/>
      <c r="SVI1" s="5"/>
      <c r="SVJ1" s="5"/>
      <c r="SVK1" s="5"/>
      <c r="SVL1" s="5"/>
      <c r="SVM1" s="5"/>
      <c r="SVN1" s="5"/>
      <c r="SVO1" s="5"/>
      <c r="SVP1" s="5"/>
      <c r="SVQ1" s="5"/>
      <c r="SVR1" s="5"/>
      <c r="SVS1" s="5"/>
      <c r="SVT1" s="5"/>
      <c r="SVU1" s="5"/>
      <c r="SVV1" s="5"/>
      <c r="SVW1" s="5"/>
      <c r="SVX1" s="5"/>
      <c r="SVY1" s="5"/>
      <c r="SVZ1" s="5"/>
      <c r="SWA1" s="5"/>
      <c r="SWB1" s="5"/>
      <c r="SWC1" s="5"/>
      <c r="SWD1" s="5"/>
      <c r="SWE1" s="5"/>
      <c r="SWF1" s="5"/>
      <c r="SWG1" s="5"/>
      <c r="SWH1" s="5"/>
      <c r="SWI1" s="5"/>
      <c r="SWJ1" s="5"/>
      <c r="SWK1" s="5"/>
      <c r="SWL1" s="5"/>
      <c r="SWM1" s="5"/>
      <c r="SWN1" s="5"/>
      <c r="SWO1" s="5"/>
      <c r="SWP1" s="5"/>
      <c r="SWQ1" s="5"/>
      <c r="SWR1" s="5"/>
      <c r="SWS1" s="5"/>
      <c r="SWT1" s="5"/>
      <c r="SWU1" s="5"/>
      <c r="SWV1" s="5"/>
      <c r="SWW1" s="5"/>
      <c r="SWX1" s="5"/>
      <c r="SWY1" s="5"/>
      <c r="SWZ1" s="5"/>
      <c r="SXA1" s="5"/>
      <c r="SXB1" s="5"/>
      <c r="SXC1" s="5"/>
      <c r="SXD1" s="5"/>
      <c r="SXE1" s="5"/>
      <c r="SXF1" s="5"/>
      <c r="SXG1" s="5"/>
      <c r="SXH1" s="5"/>
      <c r="SXI1" s="5"/>
      <c r="SXJ1" s="5"/>
      <c r="SXK1" s="5"/>
      <c r="SXL1" s="5"/>
      <c r="SXM1" s="5"/>
      <c r="SXN1" s="5"/>
      <c r="SXO1" s="5"/>
      <c r="SXP1" s="5"/>
      <c r="SXQ1" s="5"/>
      <c r="SXR1" s="5"/>
      <c r="SXS1" s="5"/>
      <c r="SXT1" s="5"/>
      <c r="SXU1" s="5"/>
      <c r="SXV1" s="5"/>
      <c r="SXW1" s="5"/>
      <c r="SXX1" s="5"/>
      <c r="SXY1" s="5"/>
      <c r="SXZ1" s="5"/>
      <c r="SYA1" s="5"/>
      <c r="SYB1" s="5"/>
      <c r="SYC1" s="5"/>
      <c r="SYD1" s="5"/>
      <c r="SYE1" s="5"/>
      <c r="SYF1" s="5"/>
      <c r="SYG1" s="5"/>
      <c r="SYH1" s="5"/>
      <c r="SYI1" s="5"/>
      <c r="SYJ1" s="5"/>
      <c r="SYK1" s="5"/>
      <c r="SYL1" s="5"/>
      <c r="SYM1" s="5"/>
      <c r="SYN1" s="5"/>
      <c r="SYO1" s="5"/>
      <c r="SYP1" s="5"/>
      <c r="SYQ1" s="5"/>
      <c r="SYR1" s="5"/>
      <c r="SYS1" s="5"/>
      <c r="SYT1" s="5"/>
      <c r="SYU1" s="5"/>
      <c r="SYV1" s="5"/>
      <c r="SYW1" s="5"/>
      <c r="SYX1" s="5"/>
      <c r="SYY1" s="5"/>
      <c r="SYZ1" s="5"/>
      <c r="SZA1" s="5"/>
      <c r="SZB1" s="5"/>
      <c r="SZC1" s="5"/>
      <c r="SZD1" s="5"/>
      <c r="SZE1" s="5"/>
      <c r="SZF1" s="5"/>
      <c r="SZG1" s="5"/>
      <c r="SZH1" s="5"/>
      <c r="SZI1" s="5"/>
      <c r="SZJ1" s="5"/>
      <c r="SZK1" s="5"/>
      <c r="SZL1" s="5"/>
      <c r="SZM1" s="5"/>
      <c r="SZN1" s="5"/>
      <c r="SZO1" s="5"/>
      <c r="SZP1" s="5"/>
      <c r="SZQ1" s="5"/>
      <c r="SZR1" s="5"/>
      <c r="SZS1" s="5"/>
      <c r="SZT1" s="5"/>
      <c r="SZU1" s="5"/>
      <c r="SZV1" s="5"/>
      <c r="SZW1" s="5"/>
      <c r="SZX1" s="5"/>
      <c r="SZY1" s="5"/>
      <c r="SZZ1" s="5"/>
      <c r="TAA1" s="5"/>
      <c r="TAB1" s="5"/>
      <c r="TAC1" s="5"/>
      <c r="TAD1" s="5"/>
      <c r="TAE1" s="5"/>
      <c r="TAF1" s="5"/>
      <c r="TAG1" s="5"/>
      <c r="TAH1" s="5"/>
      <c r="TAI1" s="5"/>
      <c r="TAJ1" s="5"/>
      <c r="TAK1" s="5"/>
      <c r="TAL1" s="5"/>
      <c r="TAM1" s="5"/>
      <c r="TAN1" s="5"/>
      <c r="TAO1" s="5"/>
      <c r="TAP1" s="5"/>
      <c r="TAQ1" s="5"/>
      <c r="TAR1" s="5"/>
      <c r="TAS1" s="5"/>
      <c r="TAT1" s="5"/>
      <c r="TAU1" s="5"/>
      <c r="TAV1" s="5"/>
      <c r="TAW1" s="5"/>
      <c r="TAX1" s="5"/>
      <c r="TAY1" s="5"/>
      <c r="TAZ1" s="5"/>
      <c r="TBA1" s="5"/>
      <c r="TBB1" s="5"/>
      <c r="TBC1" s="5"/>
      <c r="TBD1" s="5"/>
      <c r="TBE1" s="5"/>
      <c r="TBF1" s="5"/>
      <c r="TBG1" s="5"/>
      <c r="TBH1" s="5"/>
      <c r="TBI1" s="5"/>
      <c r="TBJ1" s="5"/>
      <c r="TBK1" s="5"/>
      <c r="TBL1" s="5"/>
      <c r="TBM1" s="5"/>
      <c r="TBN1" s="5"/>
      <c r="TBO1" s="5"/>
      <c r="TBP1" s="5"/>
      <c r="TBQ1" s="5"/>
      <c r="TBR1" s="5"/>
      <c r="TBS1" s="5"/>
      <c r="TBT1" s="5"/>
      <c r="TBU1" s="5"/>
      <c r="TBV1" s="5"/>
      <c r="TBW1" s="5"/>
      <c r="TBX1" s="5"/>
      <c r="TBY1" s="5"/>
      <c r="TBZ1" s="5"/>
      <c r="TCA1" s="5"/>
      <c r="TCB1" s="5"/>
      <c r="TCC1" s="5"/>
      <c r="TCD1" s="5"/>
      <c r="TCE1" s="5"/>
      <c r="TCF1" s="5"/>
      <c r="TCG1" s="5"/>
      <c r="TCH1" s="5"/>
      <c r="TCI1" s="5"/>
      <c r="TCJ1" s="5"/>
      <c r="TCK1" s="5"/>
      <c r="TCL1" s="5"/>
      <c r="TCM1" s="5"/>
      <c r="TCN1" s="5"/>
      <c r="TCO1" s="5"/>
      <c r="TCP1" s="5"/>
      <c r="TCQ1" s="5"/>
      <c r="TCR1" s="5"/>
      <c r="TCS1" s="5"/>
      <c r="TCT1" s="5"/>
      <c r="TCU1" s="5"/>
      <c r="TCV1" s="5"/>
      <c r="TCW1" s="5"/>
      <c r="TCX1" s="5"/>
      <c r="TCY1" s="5"/>
      <c r="TCZ1" s="5"/>
      <c r="TDA1" s="5"/>
      <c r="TDB1" s="5"/>
      <c r="TDC1" s="5"/>
      <c r="TDD1" s="5"/>
      <c r="TDE1" s="5"/>
      <c r="TDF1" s="5"/>
      <c r="TDG1" s="5"/>
      <c r="TDH1" s="5"/>
      <c r="TDI1" s="5"/>
      <c r="TDJ1" s="5"/>
      <c r="TDK1" s="5"/>
      <c r="TDL1" s="5"/>
      <c r="TDM1" s="5"/>
      <c r="TDN1" s="5"/>
      <c r="TDO1" s="5"/>
      <c r="TDP1" s="5"/>
      <c r="TDQ1" s="5"/>
      <c r="TDR1" s="5"/>
      <c r="TDS1" s="5"/>
      <c r="TDT1" s="5"/>
      <c r="TDU1" s="5"/>
      <c r="TDV1" s="5"/>
      <c r="TDW1" s="5"/>
      <c r="TDX1" s="5"/>
      <c r="TDY1" s="5"/>
      <c r="TDZ1" s="5"/>
      <c r="TEA1" s="5"/>
      <c r="TEB1" s="5"/>
      <c r="TEC1" s="5"/>
      <c r="TED1" s="5"/>
      <c r="TEE1" s="5"/>
      <c r="TEF1" s="5"/>
      <c r="TEG1" s="5"/>
      <c r="TEH1" s="5"/>
      <c r="TEI1" s="5"/>
      <c r="TEJ1" s="5"/>
      <c r="TEK1" s="5"/>
      <c r="TEL1" s="5"/>
      <c r="TEM1" s="5"/>
      <c r="TEN1" s="5"/>
      <c r="TEO1" s="5"/>
      <c r="TEP1" s="5"/>
      <c r="TEQ1" s="5"/>
      <c r="TER1" s="5"/>
      <c r="TES1" s="5"/>
      <c r="TET1" s="5"/>
      <c r="TEU1" s="5"/>
      <c r="TEV1" s="5"/>
      <c r="TEW1" s="5"/>
      <c r="TEX1" s="5"/>
      <c r="TEY1" s="5"/>
      <c r="TEZ1" s="5"/>
      <c r="TFA1" s="5"/>
      <c r="TFB1" s="5"/>
      <c r="TFC1" s="5"/>
      <c r="TFD1" s="5"/>
      <c r="TFE1" s="5"/>
      <c r="TFF1" s="5"/>
      <c r="TFG1" s="5"/>
      <c r="TFH1" s="5"/>
      <c r="TFI1" s="5"/>
      <c r="TFJ1" s="5"/>
      <c r="TFK1" s="5"/>
      <c r="TFL1" s="5"/>
      <c r="TFM1" s="5"/>
      <c r="TFN1" s="5"/>
      <c r="TFO1" s="5"/>
      <c r="TFP1" s="5"/>
      <c r="TFQ1" s="5"/>
      <c r="TFR1" s="5"/>
      <c r="TFS1" s="5"/>
      <c r="TFT1" s="5"/>
      <c r="TFU1" s="5"/>
      <c r="TFV1" s="5"/>
      <c r="TFW1" s="5"/>
      <c r="TFX1" s="5"/>
      <c r="TFY1" s="5"/>
      <c r="TFZ1" s="5"/>
      <c r="TGA1" s="5"/>
      <c r="TGB1" s="5"/>
      <c r="TGC1" s="5"/>
      <c r="TGD1" s="5"/>
      <c r="TGE1" s="5"/>
      <c r="TGF1" s="5"/>
      <c r="TGG1" s="5"/>
      <c r="TGH1" s="5"/>
      <c r="TGI1" s="5"/>
      <c r="TGJ1" s="5"/>
      <c r="TGK1" s="5"/>
      <c r="TGL1" s="5"/>
      <c r="TGM1" s="5"/>
      <c r="TGN1" s="5"/>
      <c r="TGO1" s="5"/>
      <c r="TGP1" s="5"/>
      <c r="TGQ1" s="5"/>
      <c r="TGR1" s="5"/>
      <c r="TGS1" s="5"/>
      <c r="TGT1" s="5"/>
      <c r="TGU1" s="5"/>
      <c r="TGV1" s="5"/>
      <c r="TGW1" s="5"/>
      <c r="TGX1" s="5"/>
      <c r="TGY1" s="5"/>
      <c r="TGZ1" s="5"/>
      <c r="THA1" s="5"/>
      <c r="THB1" s="5"/>
      <c r="THC1" s="5"/>
      <c r="THD1" s="5"/>
      <c r="THE1" s="5"/>
      <c r="THF1" s="5"/>
      <c r="THG1" s="5"/>
      <c r="THH1" s="5"/>
      <c r="THI1" s="5"/>
      <c r="THJ1" s="5"/>
      <c r="THK1" s="5"/>
      <c r="THL1" s="5"/>
      <c r="THM1" s="5"/>
      <c r="THN1" s="5"/>
      <c r="THO1" s="5"/>
      <c r="THP1" s="5"/>
      <c r="THQ1" s="5"/>
      <c r="THR1" s="5"/>
      <c r="THS1" s="5"/>
      <c r="THT1" s="5"/>
      <c r="THU1" s="5"/>
      <c r="THV1" s="5"/>
      <c r="THW1" s="5"/>
      <c r="THX1" s="5"/>
      <c r="THY1" s="5"/>
      <c r="THZ1" s="5"/>
      <c r="TIA1" s="5"/>
      <c r="TIB1" s="5"/>
      <c r="TIC1" s="5"/>
      <c r="TID1" s="5"/>
      <c r="TIE1" s="5"/>
      <c r="TIF1" s="5"/>
      <c r="TIG1" s="5"/>
      <c r="TIH1" s="5"/>
      <c r="TII1" s="5"/>
      <c r="TIJ1" s="5"/>
      <c r="TIK1" s="5"/>
      <c r="TIL1" s="5"/>
      <c r="TIM1" s="5"/>
      <c r="TIN1" s="5"/>
      <c r="TIO1" s="5"/>
      <c r="TIP1" s="5"/>
      <c r="TIQ1" s="5"/>
      <c r="TIR1" s="5"/>
      <c r="TIS1" s="5"/>
      <c r="TIT1" s="5"/>
      <c r="TIU1" s="5"/>
      <c r="TIV1" s="5"/>
      <c r="TIW1" s="5"/>
      <c r="TIX1" s="5"/>
      <c r="TIY1" s="5"/>
      <c r="TIZ1" s="5"/>
      <c r="TJA1" s="5"/>
      <c r="TJB1" s="5"/>
      <c r="TJC1" s="5"/>
      <c r="TJD1" s="5"/>
      <c r="TJE1" s="5"/>
      <c r="TJF1" s="5"/>
      <c r="TJG1" s="5"/>
      <c r="TJH1" s="5"/>
      <c r="TJI1" s="5"/>
      <c r="TJJ1" s="5"/>
      <c r="TJK1" s="5"/>
      <c r="TJL1" s="5"/>
      <c r="TJM1" s="5"/>
      <c r="TJN1" s="5"/>
      <c r="TJO1" s="5"/>
      <c r="TJP1" s="5"/>
      <c r="TJQ1" s="5"/>
      <c r="TJR1" s="5"/>
      <c r="TJS1" s="5"/>
      <c r="TJT1" s="5"/>
      <c r="TJU1" s="5"/>
      <c r="TJV1" s="5"/>
      <c r="TJW1" s="5"/>
      <c r="TJX1" s="5"/>
      <c r="TJY1" s="5"/>
      <c r="TJZ1" s="5"/>
      <c r="TKA1" s="5"/>
      <c r="TKB1" s="5"/>
      <c r="TKC1" s="5"/>
      <c r="TKD1" s="5"/>
      <c r="TKE1" s="5"/>
      <c r="TKF1" s="5"/>
      <c r="TKG1" s="5"/>
      <c r="TKH1" s="5"/>
      <c r="TKI1" s="5"/>
      <c r="TKJ1" s="5"/>
      <c r="TKK1" s="5"/>
      <c r="TKL1" s="5"/>
      <c r="TKM1" s="5"/>
      <c r="TKN1" s="5"/>
      <c r="TKO1" s="5"/>
      <c r="TKP1" s="5"/>
      <c r="TKQ1" s="5"/>
      <c r="TKR1" s="5"/>
      <c r="TKS1" s="5"/>
      <c r="TKT1" s="5"/>
      <c r="TKU1" s="5"/>
      <c r="TKV1" s="5"/>
      <c r="TKW1" s="5"/>
      <c r="TKX1" s="5"/>
      <c r="TKY1" s="5"/>
      <c r="TKZ1" s="5"/>
      <c r="TLA1" s="5"/>
      <c r="TLB1" s="5"/>
      <c r="TLC1" s="5"/>
      <c r="TLD1" s="5"/>
      <c r="TLE1" s="5"/>
      <c r="TLF1" s="5"/>
      <c r="TLG1" s="5"/>
      <c r="TLH1" s="5"/>
      <c r="TLI1" s="5"/>
      <c r="TLJ1" s="5"/>
      <c r="TLK1" s="5"/>
      <c r="TLL1" s="5"/>
      <c r="TLM1" s="5"/>
      <c r="TLN1" s="5"/>
      <c r="TLO1" s="5"/>
      <c r="TLP1" s="5"/>
      <c r="TLQ1" s="5"/>
      <c r="TLR1" s="5"/>
      <c r="TLS1" s="5"/>
      <c r="TLT1" s="5"/>
      <c r="TLU1" s="5"/>
      <c r="TLV1" s="5"/>
      <c r="TLW1" s="5"/>
      <c r="TLX1" s="5"/>
      <c r="TLY1" s="5"/>
      <c r="TLZ1" s="5"/>
      <c r="TMA1" s="5"/>
      <c r="TMB1" s="5"/>
      <c r="TMC1" s="5"/>
      <c r="TMD1" s="5"/>
      <c r="TME1" s="5"/>
      <c r="TMF1" s="5"/>
      <c r="TMG1" s="5"/>
      <c r="TMH1" s="5"/>
      <c r="TMI1" s="5"/>
      <c r="TMJ1" s="5"/>
      <c r="TMK1" s="5"/>
      <c r="TML1" s="5"/>
      <c r="TMM1" s="5"/>
      <c r="TMN1" s="5"/>
      <c r="TMO1" s="5"/>
      <c r="TMP1" s="5"/>
      <c r="TMQ1" s="5"/>
      <c r="TMR1" s="5"/>
      <c r="TMS1" s="5"/>
      <c r="TMT1" s="5"/>
      <c r="TMU1" s="5"/>
      <c r="TMV1" s="5"/>
      <c r="TMW1" s="5"/>
      <c r="TMX1" s="5"/>
      <c r="TMY1" s="5"/>
      <c r="TMZ1" s="5"/>
      <c r="TNA1" s="5"/>
      <c r="TNB1" s="5"/>
      <c r="TNC1" s="5"/>
      <c r="TND1" s="5"/>
      <c r="TNE1" s="5"/>
      <c r="TNF1" s="5"/>
      <c r="TNG1" s="5"/>
      <c r="TNH1" s="5"/>
      <c r="TNI1" s="5"/>
      <c r="TNJ1" s="5"/>
      <c r="TNK1" s="5"/>
      <c r="TNL1" s="5"/>
      <c r="TNM1" s="5"/>
      <c r="TNN1" s="5"/>
      <c r="TNO1" s="5"/>
      <c r="TNP1" s="5"/>
      <c r="TNQ1" s="5"/>
      <c r="TNR1" s="5"/>
      <c r="TNS1" s="5"/>
      <c r="TNT1" s="5"/>
      <c r="TNU1" s="5"/>
      <c r="TNV1" s="5"/>
      <c r="TNW1" s="5"/>
      <c r="TNX1" s="5"/>
      <c r="TNY1" s="5"/>
      <c r="TNZ1" s="5"/>
      <c r="TOA1" s="5"/>
      <c r="TOB1" s="5"/>
      <c r="TOC1" s="5"/>
      <c r="TOD1" s="5"/>
      <c r="TOE1" s="5"/>
      <c r="TOF1" s="5"/>
      <c r="TOG1" s="5"/>
      <c r="TOH1" s="5"/>
      <c r="TOI1" s="5"/>
      <c r="TOJ1" s="5"/>
      <c r="TOK1" s="5"/>
      <c r="TOL1" s="5"/>
      <c r="TOM1" s="5"/>
      <c r="TON1" s="5"/>
      <c r="TOO1" s="5"/>
      <c r="TOP1" s="5"/>
      <c r="TOQ1" s="5"/>
      <c r="TOR1" s="5"/>
      <c r="TOS1" s="5"/>
      <c r="TOT1" s="5"/>
      <c r="TOU1" s="5"/>
      <c r="TOV1" s="5"/>
      <c r="TOW1" s="5"/>
      <c r="TOX1" s="5"/>
      <c r="TOY1" s="5"/>
      <c r="TOZ1" s="5"/>
      <c r="TPA1" s="5"/>
      <c r="TPB1" s="5"/>
      <c r="TPC1" s="5"/>
      <c r="TPD1" s="5"/>
      <c r="TPE1" s="5"/>
      <c r="TPF1" s="5"/>
      <c r="TPG1" s="5"/>
      <c r="TPH1" s="5"/>
      <c r="TPI1" s="5"/>
      <c r="TPJ1" s="5"/>
      <c r="TPK1" s="5"/>
      <c r="TPL1" s="5"/>
      <c r="TPM1" s="5"/>
      <c r="TPN1" s="5"/>
      <c r="TPO1" s="5"/>
      <c r="TPP1" s="5"/>
      <c r="TPQ1" s="5"/>
      <c r="TPR1" s="5"/>
      <c r="TPS1" s="5"/>
      <c r="TPT1" s="5"/>
      <c r="TPU1" s="5"/>
      <c r="TPV1" s="5"/>
      <c r="TPW1" s="5"/>
      <c r="TPX1" s="5"/>
      <c r="TPY1" s="5"/>
      <c r="TPZ1" s="5"/>
      <c r="TQA1" s="5"/>
      <c r="TQB1" s="5"/>
      <c r="TQC1" s="5"/>
      <c r="TQD1" s="5"/>
      <c r="TQE1" s="5"/>
      <c r="TQF1" s="5"/>
      <c r="TQG1" s="5"/>
      <c r="TQH1" s="5"/>
      <c r="TQI1" s="5"/>
      <c r="TQJ1" s="5"/>
      <c r="TQK1" s="5"/>
      <c r="TQL1" s="5"/>
      <c r="TQM1" s="5"/>
      <c r="TQN1" s="5"/>
      <c r="TQO1" s="5"/>
      <c r="TQP1" s="5"/>
      <c r="TQQ1" s="5"/>
      <c r="TQR1" s="5"/>
      <c r="TQS1" s="5"/>
      <c r="TQT1" s="5"/>
      <c r="TQU1" s="5"/>
      <c r="TQV1" s="5"/>
      <c r="TQW1" s="5"/>
      <c r="TQX1" s="5"/>
      <c r="TQY1" s="5"/>
      <c r="TQZ1" s="5"/>
      <c r="TRA1" s="5"/>
      <c r="TRB1" s="5"/>
      <c r="TRC1" s="5"/>
      <c r="TRD1" s="5"/>
      <c r="TRE1" s="5"/>
      <c r="TRF1" s="5"/>
      <c r="TRG1" s="5"/>
      <c r="TRH1" s="5"/>
      <c r="TRI1" s="5"/>
      <c r="TRJ1" s="5"/>
      <c r="TRK1" s="5"/>
      <c r="TRL1" s="5"/>
      <c r="TRM1" s="5"/>
      <c r="TRN1" s="5"/>
      <c r="TRO1" s="5"/>
      <c r="TRP1" s="5"/>
      <c r="TRQ1" s="5"/>
      <c r="TRR1" s="5"/>
      <c r="TRS1" s="5"/>
      <c r="TRT1" s="5"/>
      <c r="TRU1" s="5"/>
      <c r="TRV1" s="5"/>
      <c r="TRW1" s="5"/>
      <c r="TRX1" s="5"/>
      <c r="TRY1" s="5"/>
      <c r="TRZ1" s="5"/>
      <c r="TSA1" s="5"/>
      <c r="TSB1" s="5"/>
      <c r="TSC1" s="5"/>
      <c r="TSD1" s="5"/>
      <c r="TSE1" s="5"/>
      <c r="TSF1" s="5"/>
      <c r="TSG1" s="5"/>
      <c r="TSH1" s="5"/>
      <c r="TSI1" s="5"/>
      <c r="TSJ1" s="5"/>
      <c r="TSK1" s="5"/>
      <c r="TSL1" s="5"/>
      <c r="TSM1" s="5"/>
      <c r="TSN1" s="5"/>
      <c r="TSO1" s="5"/>
      <c r="TSP1" s="5"/>
      <c r="TSQ1" s="5"/>
      <c r="TSR1" s="5"/>
      <c r="TSS1" s="5"/>
      <c r="TST1" s="5"/>
      <c r="TSU1" s="5"/>
      <c r="TSV1" s="5"/>
      <c r="TSW1" s="5"/>
      <c r="TSX1" s="5"/>
      <c r="TSY1" s="5"/>
      <c r="TSZ1" s="5"/>
      <c r="TTA1" s="5"/>
      <c r="TTB1" s="5"/>
      <c r="TTC1" s="5"/>
      <c r="TTD1" s="5"/>
      <c r="TTE1" s="5"/>
      <c r="TTF1" s="5"/>
      <c r="TTG1" s="5"/>
      <c r="TTH1" s="5"/>
      <c r="TTI1" s="5"/>
      <c r="TTJ1" s="5"/>
      <c r="TTK1" s="5"/>
      <c r="TTL1" s="5"/>
      <c r="TTM1" s="5"/>
      <c r="TTN1" s="5"/>
      <c r="TTO1" s="5"/>
      <c r="TTP1" s="5"/>
      <c r="TTQ1" s="5"/>
      <c r="TTR1" s="5"/>
      <c r="TTS1" s="5"/>
      <c r="TTT1" s="5"/>
      <c r="TTU1" s="5"/>
      <c r="TTV1" s="5"/>
      <c r="TTW1" s="5"/>
      <c r="TTX1" s="5"/>
      <c r="TTY1" s="5"/>
      <c r="TTZ1" s="5"/>
      <c r="TUA1" s="5"/>
      <c r="TUB1" s="5"/>
      <c r="TUC1" s="5"/>
      <c r="TUD1" s="5"/>
      <c r="TUE1" s="5"/>
      <c r="TUF1" s="5"/>
      <c r="TUG1" s="5"/>
      <c r="TUH1" s="5"/>
      <c r="TUI1" s="5"/>
      <c r="TUJ1" s="5"/>
      <c r="TUK1" s="5"/>
      <c r="TUL1" s="5"/>
      <c r="TUM1" s="5"/>
      <c r="TUN1" s="5"/>
      <c r="TUO1" s="5"/>
      <c r="TUP1" s="5"/>
      <c r="TUQ1" s="5"/>
      <c r="TUR1" s="5"/>
      <c r="TUS1" s="5"/>
      <c r="TUT1" s="5"/>
      <c r="TUU1" s="5"/>
      <c r="TUV1" s="5"/>
      <c r="TUW1" s="5"/>
      <c r="TUX1" s="5"/>
      <c r="TUY1" s="5"/>
      <c r="TUZ1" s="5"/>
      <c r="TVA1" s="5"/>
      <c r="TVB1" s="5"/>
      <c r="TVC1" s="5"/>
      <c r="TVD1" s="5"/>
      <c r="TVE1" s="5"/>
      <c r="TVF1" s="5"/>
      <c r="TVG1" s="5"/>
      <c r="TVH1" s="5"/>
      <c r="TVI1" s="5"/>
      <c r="TVJ1" s="5"/>
      <c r="TVK1" s="5"/>
      <c r="TVL1" s="5"/>
      <c r="TVM1" s="5"/>
      <c r="TVN1" s="5"/>
      <c r="TVO1" s="5"/>
      <c r="TVP1" s="5"/>
      <c r="TVQ1" s="5"/>
      <c r="TVR1" s="5"/>
      <c r="TVS1" s="5"/>
      <c r="TVT1" s="5"/>
      <c r="TVU1" s="5"/>
      <c r="TVV1" s="5"/>
      <c r="TVW1" s="5"/>
      <c r="TVX1" s="5"/>
      <c r="TVY1" s="5"/>
      <c r="TVZ1" s="5"/>
      <c r="TWA1" s="5"/>
      <c r="TWB1" s="5"/>
      <c r="TWC1" s="5"/>
      <c r="TWD1" s="5"/>
      <c r="TWE1" s="5"/>
      <c r="TWF1" s="5"/>
      <c r="TWG1" s="5"/>
      <c r="TWH1" s="5"/>
      <c r="TWI1" s="5"/>
      <c r="TWJ1" s="5"/>
      <c r="TWK1" s="5"/>
      <c r="TWL1" s="5"/>
      <c r="TWM1" s="5"/>
      <c r="TWN1" s="5"/>
      <c r="TWO1" s="5"/>
      <c r="TWP1" s="5"/>
      <c r="TWQ1" s="5"/>
      <c r="TWR1" s="5"/>
      <c r="TWS1" s="5"/>
      <c r="TWT1" s="5"/>
      <c r="TWU1" s="5"/>
      <c r="TWV1" s="5"/>
      <c r="TWW1" s="5"/>
      <c r="TWX1" s="5"/>
      <c r="TWY1" s="5"/>
      <c r="TWZ1" s="5"/>
      <c r="TXA1" s="5"/>
      <c r="TXB1" s="5"/>
      <c r="TXC1" s="5"/>
      <c r="TXD1" s="5"/>
      <c r="TXE1" s="5"/>
      <c r="TXF1" s="5"/>
      <c r="TXG1" s="5"/>
      <c r="TXH1" s="5"/>
      <c r="TXI1" s="5"/>
      <c r="TXJ1" s="5"/>
      <c r="TXK1" s="5"/>
      <c r="TXL1" s="5"/>
      <c r="TXM1" s="5"/>
      <c r="TXN1" s="5"/>
      <c r="TXO1" s="5"/>
      <c r="TXP1" s="5"/>
      <c r="TXQ1" s="5"/>
      <c r="TXR1" s="5"/>
      <c r="TXS1" s="5"/>
      <c r="TXT1" s="5"/>
      <c r="TXU1" s="5"/>
      <c r="TXV1" s="5"/>
      <c r="TXW1" s="5"/>
      <c r="TXX1" s="5"/>
      <c r="TXY1" s="5"/>
      <c r="TXZ1" s="5"/>
      <c r="TYA1" s="5"/>
      <c r="TYB1" s="5"/>
      <c r="TYC1" s="5"/>
      <c r="TYD1" s="5"/>
      <c r="TYE1" s="5"/>
      <c r="TYF1" s="5"/>
      <c r="TYG1" s="5"/>
      <c r="TYH1" s="5"/>
      <c r="TYI1" s="5"/>
      <c r="TYJ1" s="5"/>
      <c r="TYK1" s="5"/>
      <c r="TYL1" s="5"/>
      <c r="TYM1" s="5"/>
      <c r="TYN1" s="5"/>
      <c r="TYO1" s="5"/>
      <c r="TYP1" s="5"/>
      <c r="TYQ1" s="5"/>
      <c r="TYR1" s="5"/>
      <c r="TYS1" s="5"/>
      <c r="TYT1" s="5"/>
      <c r="TYU1" s="5"/>
      <c r="TYV1" s="5"/>
      <c r="TYW1" s="5"/>
      <c r="TYX1" s="5"/>
      <c r="TYY1" s="5"/>
      <c r="TYZ1" s="5"/>
      <c r="TZA1" s="5"/>
      <c r="TZB1" s="5"/>
      <c r="TZC1" s="5"/>
      <c r="TZD1" s="5"/>
      <c r="TZE1" s="5"/>
      <c r="TZF1" s="5"/>
      <c r="TZG1" s="5"/>
      <c r="TZH1" s="5"/>
      <c r="TZI1" s="5"/>
      <c r="TZJ1" s="5"/>
      <c r="TZK1" s="5"/>
      <c r="TZL1" s="5"/>
      <c r="TZM1" s="5"/>
      <c r="TZN1" s="5"/>
      <c r="TZO1" s="5"/>
      <c r="TZP1" s="5"/>
      <c r="TZQ1" s="5"/>
      <c r="TZR1" s="5"/>
      <c r="TZS1" s="5"/>
      <c r="TZT1" s="5"/>
      <c r="TZU1" s="5"/>
      <c r="TZV1" s="5"/>
      <c r="TZW1" s="5"/>
      <c r="TZX1" s="5"/>
      <c r="TZY1" s="5"/>
      <c r="TZZ1" s="5"/>
      <c r="UAA1" s="5"/>
      <c r="UAB1" s="5"/>
      <c r="UAC1" s="5"/>
      <c r="UAD1" s="5"/>
      <c r="UAE1" s="5"/>
      <c r="UAF1" s="5"/>
      <c r="UAG1" s="5"/>
      <c r="UAH1" s="5"/>
      <c r="UAI1" s="5"/>
      <c r="UAJ1" s="5"/>
      <c r="UAK1" s="5"/>
      <c r="UAL1" s="5"/>
      <c r="UAM1" s="5"/>
      <c r="UAN1" s="5"/>
      <c r="UAO1" s="5"/>
      <c r="UAP1" s="5"/>
      <c r="UAQ1" s="5"/>
      <c r="UAR1" s="5"/>
      <c r="UAS1" s="5"/>
      <c r="UAT1" s="5"/>
      <c r="UAU1" s="5"/>
      <c r="UAV1" s="5"/>
      <c r="UAW1" s="5"/>
      <c r="UAX1" s="5"/>
      <c r="UAY1" s="5"/>
      <c r="UAZ1" s="5"/>
      <c r="UBA1" s="5"/>
      <c r="UBB1" s="5"/>
      <c r="UBC1" s="5"/>
      <c r="UBD1" s="5"/>
      <c r="UBE1" s="5"/>
      <c r="UBF1" s="5"/>
      <c r="UBG1" s="5"/>
      <c r="UBH1" s="5"/>
      <c r="UBI1" s="5"/>
      <c r="UBJ1" s="5"/>
      <c r="UBK1" s="5"/>
      <c r="UBL1" s="5"/>
      <c r="UBM1" s="5"/>
      <c r="UBN1" s="5"/>
      <c r="UBO1" s="5"/>
      <c r="UBP1" s="5"/>
      <c r="UBQ1" s="5"/>
      <c r="UBR1" s="5"/>
      <c r="UBS1" s="5"/>
      <c r="UBT1" s="5"/>
      <c r="UBU1" s="5"/>
      <c r="UBV1" s="5"/>
      <c r="UBW1" s="5"/>
      <c r="UBX1" s="5"/>
      <c r="UBY1" s="5"/>
      <c r="UBZ1" s="5"/>
      <c r="UCA1" s="5"/>
      <c r="UCB1" s="5"/>
      <c r="UCC1" s="5"/>
      <c r="UCD1" s="5"/>
      <c r="UCE1" s="5"/>
      <c r="UCF1" s="5"/>
      <c r="UCG1" s="5"/>
      <c r="UCH1" s="5"/>
      <c r="UCI1" s="5"/>
      <c r="UCJ1" s="5"/>
      <c r="UCK1" s="5"/>
      <c r="UCL1" s="5"/>
      <c r="UCM1" s="5"/>
      <c r="UCN1" s="5"/>
      <c r="UCO1" s="5"/>
      <c r="UCP1" s="5"/>
      <c r="UCQ1" s="5"/>
      <c r="UCR1" s="5"/>
      <c r="UCS1" s="5"/>
      <c r="UCT1" s="5"/>
      <c r="UCU1" s="5"/>
      <c r="UCV1" s="5"/>
      <c r="UCW1" s="5"/>
      <c r="UCX1" s="5"/>
      <c r="UCY1" s="5"/>
      <c r="UCZ1" s="5"/>
      <c r="UDA1" s="5"/>
      <c r="UDB1" s="5"/>
      <c r="UDC1" s="5"/>
      <c r="UDD1" s="5"/>
      <c r="UDE1" s="5"/>
      <c r="UDF1" s="5"/>
      <c r="UDG1" s="5"/>
      <c r="UDH1" s="5"/>
      <c r="UDI1" s="5"/>
      <c r="UDJ1" s="5"/>
      <c r="UDK1" s="5"/>
      <c r="UDL1" s="5"/>
      <c r="UDM1" s="5"/>
      <c r="UDN1" s="5"/>
      <c r="UDO1" s="5"/>
      <c r="UDP1" s="5"/>
      <c r="UDQ1" s="5"/>
      <c r="UDR1" s="5"/>
      <c r="UDS1" s="5"/>
      <c r="UDT1" s="5"/>
      <c r="UDU1" s="5"/>
      <c r="UDV1" s="5"/>
      <c r="UDW1" s="5"/>
      <c r="UDX1" s="5"/>
      <c r="UDY1" s="5"/>
      <c r="UDZ1" s="5"/>
      <c r="UEA1" s="5"/>
      <c r="UEB1" s="5"/>
      <c r="UEC1" s="5"/>
      <c r="UED1" s="5"/>
      <c r="UEE1" s="5"/>
      <c r="UEF1" s="5"/>
      <c r="UEG1" s="5"/>
      <c r="UEH1" s="5"/>
      <c r="UEI1" s="5"/>
      <c r="UEJ1" s="5"/>
      <c r="UEK1" s="5"/>
      <c r="UEL1" s="5"/>
      <c r="UEM1" s="5"/>
      <c r="UEN1" s="5"/>
      <c r="UEO1" s="5"/>
      <c r="UEP1" s="5"/>
      <c r="UEQ1" s="5"/>
      <c r="UER1" s="5"/>
      <c r="UES1" s="5"/>
      <c r="UET1" s="5"/>
      <c r="UEU1" s="5"/>
      <c r="UEV1" s="5"/>
      <c r="UEW1" s="5"/>
      <c r="UEX1" s="5"/>
      <c r="UEY1" s="5"/>
      <c r="UEZ1" s="5"/>
      <c r="UFA1" s="5"/>
      <c r="UFB1" s="5"/>
      <c r="UFC1" s="5"/>
      <c r="UFD1" s="5"/>
      <c r="UFE1" s="5"/>
      <c r="UFF1" s="5"/>
      <c r="UFG1" s="5"/>
      <c r="UFH1" s="5"/>
      <c r="UFI1" s="5"/>
      <c r="UFJ1" s="5"/>
      <c r="UFK1" s="5"/>
      <c r="UFL1" s="5"/>
      <c r="UFM1" s="5"/>
      <c r="UFN1" s="5"/>
      <c r="UFO1" s="5"/>
      <c r="UFP1" s="5"/>
      <c r="UFQ1" s="5"/>
      <c r="UFR1" s="5"/>
      <c r="UFS1" s="5"/>
      <c r="UFT1" s="5"/>
      <c r="UFU1" s="5"/>
      <c r="UFV1" s="5"/>
      <c r="UFW1" s="5"/>
      <c r="UFX1" s="5"/>
      <c r="UFY1" s="5"/>
      <c r="UFZ1" s="5"/>
      <c r="UGA1" s="5"/>
      <c r="UGB1" s="5"/>
      <c r="UGC1" s="5"/>
      <c r="UGD1" s="5"/>
      <c r="UGE1" s="5"/>
      <c r="UGF1" s="5"/>
      <c r="UGG1" s="5"/>
      <c r="UGH1" s="5"/>
      <c r="UGI1" s="5"/>
      <c r="UGJ1" s="5"/>
      <c r="UGK1" s="5"/>
      <c r="UGL1" s="5"/>
      <c r="UGM1" s="5"/>
      <c r="UGN1" s="5"/>
      <c r="UGO1" s="5"/>
      <c r="UGP1" s="5"/>
      <c r="UGQ1" s="5"/>
      <c r="UGR1" s="5"/>
      <c r="UGS1" s="5"/>
      <c r="UGT1" s="5"/>
      <c r="UGU1" s="5"/>
      <c r="UGV1" s="5"/>
      <c r="UGW1" s="5"/>
      <c r="UGX1" s="5"/>
      <c r="UGY1" s="5"/>
      <c r="UGZ1" s="5"/>
      <c r="UHA1" s="5"/>
      <c r="UHB1" s="5"/>
      <c r="UHC1" s="5"/>
      <c r="UHD1" s="5"/>
      <c r="UHE1" s="5"/>
      <c r="UHF1" s="5"/>
      <c r="UHG1" s="5"/>
      <c r="UHH1" s="5"/>
      <c r="UHI1" s="5"/>
      <c r="UHJ1" s="5"/>
      <c r="UHK1" s="5"/>
      <c r="UHL1" s="5"/>
      <c r="UHM1" s="5"/>
      <c r="UHN1" s="5"/>
      <c r="UHO1" s="5"/>
      <c r="UHP1" s="5"/>
      <c r="UHQ1" s="5"/>
      <c r="UHR1" s="5"/>
      <c r="UHS1" s="5"/>
      <c r="UHT1" s="5"/>
      <c r="UHU1" s="5"/>
      <c r="UHV1" s="5"/>
      <c r="UHW1" s="5"/>
      <c r="UHX1" s="5"/>
      <c r="UHY1" s="5"/>
      <c r="UHZ1" s="5"/>
      <c r="UIA1" s="5"/>
      <c r="UIB1" s="5"/>
      <c r="UIC1" s="5"/>
      <c r="UID1" s="5"/>
      <c r="UIE1" s="5"/>
      <c r="UIF1" s="5"/>
      <c r="UIG1" s="5"/>
      <c r="UIH1" s="5"/>
      <c r="UII1" s="5"/>
      <c r="UIJ1" s="5"/>
      <c r="UIK1" s="5"/>
      <c r="UIL1" s="5"/>
      <c r="UIM1" s="5"/>
      <c r="UIN1" s="5"/>
      <c r="UIO1" s="5"/>
      <c r="UIP1" s="5"/>
      <c r="UIQ1" s="5"/>
      <c r="UIR1" s="5"/>
      <c r="UIS1" s="5"/>
      <c r="UIT1" s="5"/>
      <c r="UIU1" s="5"/>
      <c r="UIV1" s="5"/>
      <c r="UIW1" s="5"/>
      <c r="UIX1" s="5"/>
      <c r="UIY1" s="5"/>
      <c r="UIZ1" s="5"/>
      <c r="UJA1" s="5"/>
      <c r="UJB1" s="5"/>
      <c r="UJC1" s="5"/>
      <c r="UJD1" s="5"/>
      <c r="UJE1" s="5"/>
      <c r="UJF1" s="5"/>
      <c r="UJG1" s="5"/>
      <c r="UJH1" s="5"/>
      <c r="UJI1" s="5"/>
      <c r="UJJ1" s="5"/>
      <c r="UJK1" s="5"/>
      <c r="UJL1" s="5"/>
      <c r="UJM1" s="5"/>
      <c r="UJN1" s="5"/>
      <c r="UJO1" s="5"/>
      <c r="UJP1" s="5"/>
      <c r="UJQ1" s="5"/>
      <c r="UJR1" s="5"/>
      <c r="UJS1" s="5"/>
      <c r="UJT1" s="5"/>
      <c r="UJU1" s="5"/>
      <c r="UJV1" s="5"/>
      <c r="UJW1" s="5"/>
      <c r="UJX1" s="5"/>
      <c r="UJY1" s="5"/>
      <c r="UJZ1" s="5"/>
      <c r="UKA1" s="5"/>
      <c r="UKB1" s="5"/>
      <c r="UKC1" s="5"/>
      <c r="UKD1" s="5"/>
      <c r="UKE1" s="5"/>
      <c r="UKF1" s="5"/>
      <c r="UKG1" s="5"/>
      <c r="UKH1" s="5"/>
      <c r="UKI1" s="5"/>
      <c r="UKJ1" s="5"/>
      <c r="UKK1" s="5"/>
      <c r="UKL1" s="5"/>
      <c r="UKM1" s="5"/>
      <c r="UKN1" s="5"/>
      <c r="UKO1" s="5"/>
      <c r="UKP1" s="5"/>
      <c r="UKQ1" s="5"/>
      <c r="UKR1" s="5"/>
      <c r="UKS1" s="5"/>
      <c r="UKT1" s="5"/>
      <c r="UKU1" s="5"/>
      <c r="UKV1" s="5"/>
      <c r="UKW1" s="5"/>
      <c r="UKX1" s="5"/>
      <c r="UKY1" s="5"/>
      <c r="UKZ1" s="5"/>
      <c r="ULA1" s="5"/>
      <c r="ULB1" s="5"/>
      <c r="ULC1" s="5"/>
      <c r="ULD1" s="5"/>
      <c r="ULE1" s="5"/>
      <c r="ULF1" s="5"/>
      <c r="ULG1" s="5"/>
      <c r="ULH1" s="5"/>
      <c r="ULI1" s="5"/>
      <c r="ULJ1" s="5"/>
      <c r="ULK1" s="5"/>
      <c r="ULL1" s="5"/>
      <c r="ULM1" s="5"/>
      <c r="ULN1" s="5"/>
      <c r="ULO1" s="5"/>
      <c r="ULP1" s="5"/>
      <c r="ULQ1" s="5"/>
      <c r="ULR1" s="5"/>
      <c r="ULS1" s="5"/>
      <c r="ULT1" s="5"/>
      <c r="ULU1" s="5"/>
      <c r="ULV1" s="5"/>
      <c r="ULW1" s="5"/>
      <c r="ULX1" s="5"/>
      <c r="ULY1" s="5"/>
      <c r="ULZ1" s="5"/>
      <c r="UMA1" s="5"/>
      <c r="UMB1" s="5"/>
      <c r="UMC1" s="5"/>
      <c r="UMD1" s="5"/>
      <c r="UME1" s="5"/>
      <c r="UMF1" s="5"/>
      <c r="UMG1" s="5"/>
      <c r="UMH1" s="5"/>
      <c r="UMI1" s="5"/>
      <c r="UMJ1" s="5"/>
      <c r="UMK1" s="5"/>
      <c r="UML1" s="5"/>
      <c r="UMM1" s="5"/>
      <c r="UMN1" s="5"/>
      <c r="UMO1" s="5"/>
      <c r="UMP1" s="5"/>
      <c r="UMQ1" s="5"/>
      <c r="UMR1" s="5"/>
      <c r="UMS1" s="5"/>
      <c r="UMT1" s="5"/>
      <c r="UMU1" s="5"/>
      <c r="UMV1" s="5"/>
      <c r="UMW1" s="5"/>
      <c r="UMX1" s="5"/>
      <c r="UMY1" s="5"/>
      <c r="UMZ1" s="5"/>
      <c r="UNA1" s="5"/>
      <c r="UNB1" s="5"/>
      <c r="UNC1" s="5"/>
      <c r="UND1" s="5"/>
      <c r="UNE1" s="5"/>
      <c r="UNF1" s="5"/>
      <c r="UNG1" s="5"/>
      <c r="UNH1" s="5"/>
      <c r="UNI1" s="5"/>
      <c r="UNJ1" s="5"/>
      <c r="UNK1" s="5"/>
      <c r="UNL1" s="5"/>
      <c r="UNM1" s="5"/>
      <c r="UNN1" s="5"/>
      <c r="UNO1" s="5"/>
      <c r="UNP1" s="5"/>
      <c r="UNQ1" s="5"/>
      <c r="UNR1" s="5"/>
      <c r="UNS1" s="5"/>
      <c r="UNT1" s="5"/>
      <c r="UNU1" s="5"/>
      <c r="UNV1" s="5"/>
      <c r="UNW1" s="5"/>
      <c r="UNX1" s="5"/>
      <c r="UNY1" s="5"/>
      <c r="UNZ1" s="5"/>
      <c r="UOA1" s="5"/>
      <c r="UOB1" s="5"/>
      <c r="UOC1" s="5"/>
      <c r="UOD1" s="5"/>
      <c r="UOE1" s="5"/>
      <c r="UOF1" s="5"/>
      <c r="UOG1" s="5"/>
      <c r="UOH1" s="5"/>
      <c r="UOI1" s="5"/>
      <c r="UOJ1" s="5"/>
      <c r="UOK1" s="5"/>
      <c r="UOL1" s="5"/>
      <c r="UOM1" s="5"/>
      <c r="UON1" s="5"/>
      <c r="UOO1" s="5"/>
      <c r="UOP1" s="5"/>
      <c r="UOQ1" s="5"/>
      <c r="UOR1" s="5"/>
      <c r="UOS1" s="5"/>
      <c r="UOT1" s="5"/>
      <c r="UOU1" s="5"/>
      <c r="UOV1" s="5"/>
      <c r="UOW1" s="5"/>
      <c r="UOX1" s="5"/>
      <c r="UOY1" s="5"/>
      <c r="UOZ1" s="5"/>
      <c r="UPA1" s="5"/>
      <c r="UPB1" s="5"/>
      <c r="UPC1" s="5"/>
      <c r="UPD1" s="5"/>
      <c r="UPE1" s="5"/>
      <c r="UPF1" s="5"/>
      <c r="UPG1" s="5"/>
      <c r="UPH1" s="5"/>
      <c r="UPI1" s="5"/>
      <c r="UPJ1" s="5"/>
      <c r="UPK1" s="5"/>
      <c r="UPL1" s="5"/>
      <c r="UPM1" s="5"/>
      <c r="UPN1" s="5"/>
      <c r="UPO1" s="5"/>
      <c r="UPP1" s="5"/>
      <c r="UPQ1" s="5"/>
      <c r="UPR1" s="5"/>
      <c r="UPS1" s="5"/>
      <c r="UPT1" s="5"/>
      <c r="UPU1" s="5"/>
      <c r="UPV1" s="5"/>
      <c r="UPW1" s="5"/>
      <c r="UPX1" s="5"/>
      <c r="UPY1" s="5"/>
      <c r="UPZ1" s="5"/>
      <c r="UQA1" s="5"/>
      <c r="UQB1" s="5"/>
      <c r="UQC1" s="5"/>
      <c r="UQD1" s="5"/>
      <c r="UQE1" s="5"/>
      <c r="UQF1" s="5"/>
      <c r="UQG1" s="5"/>
      <c r="UQH1" s="5"/>
      <c r="UQI1" s="5"/>
      <c r="UQJ1" s="5"/>
      <c r="UQK1" s="5"/>
      <c r="UQL1" s="5"/>
      <c r="UQM1" s="5"/>
      <c r="UQN1" s="5"/>
      <c r="UQO1" s="5"/>
      <c r="UQP1" s="5"/>
      <c r="UQQ1" s="5"/>
      <c r="UQR1" s="5"/>
      <c r="UQS1" s="5"/>
      <c r="UQT1" s="5"/>
      <c r="UQU1" s="5"/>
      <c r="UQV1" s="5"/>
      <c r="UQW1" s="5"/>
      <c r="UQX1" s="5"/>
      <c r="UQY1" s="5"/>
      <c r="UQZ1" s="5"/>
      <c r="URA1" s="5"/>
      <c r="URB1" s="5"/>
      <c r="URC1" s="5"/>
      <c r="URD1" s="5"/>
      <c r="URE1" s="5"/>
      <c r="URF1" s="5"/>
      <c r="URG1" s="5"/>
      <c r="URH1" s="5"/>
      <c r="URI1" s="5"/>
      <c r="URJ1" s="5"/>
      <c r="URK1" s="5"/>
      <c r="URL1" s="5"/>
      <c r="URM1" s="5"/>
      <c r="URN1" s="5"/>
      <c r="URO1" s="5"/>
      <c r="URP1" s="5"/>
      <c r="URQ1" s="5"/>
      <c r="URR1" s="5"/>
      <c r="URS1" s="5"/>
      <c r="URT1" s="5"/>
      <c r="URU1" s="5"/>
      <c r="URV1" s="5"/>
      <c r="URW1" s="5"/>
      <c r="URX1" s="5"/>
      <c r="URY1" s="5"/>
      <c r="URZ1" s="5"/>
      <c r="USA1" s="5"/>
      <c r="USB1" s="5"/>
      <c r="USC1" s="5"/>
      <c r="USD1" s="5"/>
      <c r="USE1" s="5"/>
      <c r="USF1" s="5"/>
      <c r="USG1" s="5"/>
      <c r="USH1" s="5"/>
      <c r="USI1" s="5"/>
      <c r="USJ1" s="5"/>
      <c r="USK1" s="5"/>
      <c r="USL1" s="5"/>
      <c r="USM1" s="5"/>
      <c r="USN1" s="5"/>
      <c r="USO1" s="5"/>
      <c r="USP1" s="5"/>
      <c r="USQ1" s="5"/>
      <c r="USR1" s="5"/>
      <c r="USS1" s="5"/>
      <c r="UST1" s="5"/>
      <c r="USU1" s="5"/>
      <c r="USV1" s="5"/>
      <c r="USW1" s="5"/>
      <c r="USX1" s="5"/>
      <c r="USY1" s="5"/>
      <c r="USZ1" s="5"/>
      <c r="UTA1" s="5"/>
      <c r="UTB1" s="5"/>
      <c r="UTC1" s="5"/>
      <c r="UTD1" s="5"/>
      <c r="UTE1" s="5"/>
      <c r="UTF1" s="5"/>
      <c r="UTG1" s="5"/>
      <c r="UTH1" s="5"/>
      <c r="UTI1" s="5"/>
      <c r="UTJ1" s="5"/>
      <c r="UTK1" s="5"/>
      <c r="UTL1" s="5"/>
      <c r="UTM1" s="5"/>
      <c r="UTN1" s="5"/>
      <c r="UTO1" s="5"/>
      <c r="UTP1" s="5"/>
      <c r="UTQ1" s="5"/>
      <c r="UTR1" s="5"/>
      <c r="UTS1" s="5"/>
      <c r="UTT1" s="5"/>
      <c r="UTU1" s="5"/>
      <c r="UTV1" s="5"/>
      <c r="UTW1" s="5"/>
      <c r="UTX1" s="5"/>
      <c r="UTY1" s="5"/>
      <c r="UTZ1" s="5"/>
      <c r="UUA1" s="5"/>
      <c r="UUB1" s="5"/>
      <c r="UUC1" s="5"/>
      <c r="UUD1" s="5"/>
      <c r="UUE1" s="5"/>
      <c r="UUF1" s="5"/>
      <c r="UUG1" s="5"/>
      <c r="UUH1" s="5"/>
      <c r="UUI1" s="5"/>
      <c r="UUJ1" s="5"/>
      <c r="UUK1" s="5"/>
      <c r="UUL1" s="5"/>
      <c r="UUM1" s="5"/>
      <c r="UUN1" s="5"/>
      <c r="UUO1" s="5"/>
      <c r="UUP1" s="5"/>
      <c r="UUQ1" s="5"/>
      <c r="UUR1" s="5"/>
      <c r="UUS1" s="5"/>
      <c r="UUT1" s="5"/>
      <c r="UUU1" s="5"/>
      <c r="UUV1" s="5"/>
      <c r="UUW1" s="5"/>
      <c r="UUX1" s="5"/>
      <c r="UUY1" s="5"/>
      <c r="UUZ1" s="5"/>
      <c r="UVA1" s="5"/>
      <c r="UVB1" s="5"/>
      <c r="UVC1" s="5"/>
      <c r="UVD1" s="5"/>
      <c r="UVE1" s="5"/>
      <c r="UVF1" s="5"/>
      <c r="UVG1" s="5"/>
      <c r="UVH1" s="5"/>
      <c r="UVI1" s="5"/>
      <c r="UVJ1" s="5"/>
      <c r="UVK1" s="5"/>
      <c r="UVL1" s="5"/>
      <c r="UVM1" s="5"/>
      <c r="UVN1" s="5"/>
      <c r="UVO1" s="5"/>
      <c r="UVP1" s="5"/>
      <c r="UVQ1" s="5"/>
      <c r="UVR1" s="5"/>
      <c r="UVS1" s="5"/>
      <c r="UVT1" s="5"/>
      <c r="UVU1" s="5"/>
      <c r="UVV1" s="5"/>
      <c r="UVW1" s="5"/>
      <c r="UVX1" s="5"/>
      <c r="UVY1" s="5"/>
      <c r="UVZ1" s="5"/>
      <c r="UWA1" s="5"/>
      <c r="UWB1" s="5"/>
      <c r="UWC1" s="5"/>
      <c r="UWD1" s="5"/>
      <c r="UWE1" s="5"/>
      <c r="UWF1" s="5"/>
      <c r="UWG1" s="5"/>
      <c r="UWH1" s="5"/>
      <c r="UWI1" s="5"/>
      <c r="UWJ1" s="5"/>
      <c r="UWK1" s="5"/>
      <c r="UWL1" s="5"/>
      <c r="UWM1" s="5"/>
      <c r="UWN1" s="5"/>
      <c r="UWO1" s="5"/>
      <c r="UWP1" s="5"/>
      <c r="UWQ1" s="5"/>
      <c r="UWR1" s="5"/>
      <c r="UWS1" s="5"/>
      <c r="UWT1" s="5"/>
      <c r="UWU1" s="5"/>
      <c r="UWV1" s="5"/>
      <c r="UWW1" s="5"/>
      <c r="UWX1" s="5"/>
      <c r="UWY1" s="5"/>
      <c r="UWZ1" s="5"/>
      <c r="UXA1" s="5"/>
      <c r="UXB1" s="5"/>
      <c r="UXC1" s="5"/>
      <c r="UXD1" s="5"/>
      <c r="UXE1" s="5"/>
      <c r="UXF1" s="5"/>
      <c r="UXG1" s="5"/>
      <c r="UXH1" s="5"/>
      <c r="UXI1" s="5"/>
      <c r="UXJ1" s="5"/>
      <c r="UXK1" s="5"/>
      <c r="UXL1" s="5"/>
      <c r="UXM1" s="5"/>
      <c r="UXN1" s="5"/>
      <c r="UXO1" s="5"/>
      <c r="UXP1" s="5"/>
      <c r="UXQ1" s="5"/>
      <c r="UXR1" s="5"/>
      <c r="UXS1" s="5"/>
      <c r="UXT1" s="5"/>
      <c r="UXU1" s="5"/>
      <c r="UXV1" s="5"/>
      <c r="UXW1" s="5"/>
      <c r="UXX1" s="5"/>
      <c r="UXY1" s="5"/>
      <c r="UXZ1" s="5"/>
      <c r="UYA1" s="5"/>
      <c r="UYB1" s="5"/>
      <c r="UYC1" s="5"/>
      <c r="UYD1" s="5"/>
      <c r="UYE1" s="5"/>
      <c r="UYF1" s="5"/>
      <c r="UYG1" s="5"/>
      <c r="UYH1" s="5"/>
      <c r="UYI1" s="5"/>
      <c r="UYJ1" s="5"/>
      <c r="UYK1" s="5"/>
      <c r="UYL1" s="5"/>
      <c r="UYM1" s="5"/>
      <c r="UYN1" s="5"/>
      <c r="UYO1" s="5"/>
      <c r="UYP1" s="5"/>
      <c r="UYQ1" s="5"/>
      <c r="UYR1" s="5"/>
      <c r="UYS1" s="5"/>
      <c r="UYT1" s="5"/>
      <c r="UYU1" s="5"/>
      <c r="UYV1" s="5"/>
      <c r="UYW1" s="5"/>
      <c r="UYX1" s="5"/>
      <c r="UYY1" s="5"/>
      <c r="UYZ1" s="5"/>
      <c r="UZA1" s="5"/>
      <c r="UZB1" s="5"/>
      <c r="UZC1" s="5"/>
      <c r="UZD1" s="5"/>
      <c r="UZE1" s="5"/>
      <c r="UZF1" s="5"/>
      <c r="UZG1" s="5"/>
      <c r="UZH1" s="5"/>
      <c r="UZI1" s="5"/>
      <c r="UZJ1" s="5"/>
      <c r="UZK1" s="5"/>
      <c r="UZL1" s="5"/>
      <c r="UZM1" s="5"/>
      <c r="UZN1" s="5"/>
      <c r="UZO1" s="5"/>
      <c r="UZP1" s="5"/>
      <c r="UZQ1" s="5"/>
      <c r="UZR1" s="5"/>
      <c r="UZS1" s="5"/>
      <c r="UZT1" s="5"/>
      <c r="UZU1" s="5"/>
      <c r="UZV1" s="5"/>
      <c r="UZW1" s="5"/>
      <c r="UZX1" s="5"/>
      <c r="UZY1" s="5"/>
      <c r="UZZ1" s="5"/>
      <c r="VAA1" s="5"/>
      <c r="VAB1" s="5"/>
      <c r="VAC1" s="5"/>
      <c r="VAD1" s="5"/>
      <c r="VAE1" s="5"/>
      <c r="VAF1" s="5"/>
      <c r="VAG1" s="5"/>
      <c r="VAH1" s="5"/>
      <c r="VAI1" s="5"/>
      <c r="VAJ1" s="5"/>
      <c r="VAK1" s="5"/>
      <c r="VAL1" s="5"/>
      <c r="VAM1" s="5"/>
      <c r="VAN1" s="5"/>
      <c r="VAO1" s="5"/>
      <c r="VAP1" s="5"/>
      <c r="VAQ1" s="5"/>
      <c r="VAR1" s="5"/>
      <c r="VAS1" s="5"/>
      <c r="VAT1" s="5"/>
      <c r="VAU1" s="5"/>
      <c r="VAV1" s="5"/>
      <c r="VAW1" s="5"/>
      <c r="VAX1" s="5"/>
      <c r="VAY1" s="5"/>
      <c r="VAZ1" s="5"/>
      <c r="VBA1" s="5"/>
      <c r="VBB1" s="5"/>
      <c r="VBC1" s="5"/>
      <c r="VBD1" s="5"/>
      <c r="VBE1" s="5"/>
      <c r="VBF1" s="5"/>
      <c r="VBG1" s="5"/>
      <c r="VBH1" s="5"/>
      <c r="VBI1" s="5"/>
      <c r="VBJ1" s="5"/>
      <c r="VBK1" s="5"/>
      <c r="VBL1" s="5"/>
      <c r="VBM1" s="5"/>
      <c r="VBN1" s="5"/>
      <c r="VBO1" s="5"/>
      <c r="VBP1" s="5"/>
      <c r="VBQ1" s="5"/>
      <c r="VBR1" s="5"/>
      <c r="VBS1" s="5"/>
      <c r="VBT1" s="5"/>
      <c r="VBU1" s="5"/>
      <c r="VBV1" s="5"/>
      <c r="VBW1" s="5"/>
      <c r="VBX1" s="5"/>
      <c r="VBY1" s="5"/>
      <c r="VBZ1" s="5"/>
      <c r="VCA1" s="5"/>
      <c r="VCB1" s="5"/>
      <c r="VCC1" s="5"/>
      <c r="VCD1" s="5"/>
      <c r="VCE1" s="5"/>
      <c r="VCF1" s="5"/>
      <c r="VCG1" s="5"/>
      <c r="VCH1" s="5"/>
      <c r="VCI1" s="5"/>
      <c r="VCJ1" s="5"/>
      <c r="VCK1" s="5"/>
      <c r="VCL1" s="5"/>
      <c r="VCM1" s="5"/>
      <c r="VCN1" s="5"/>
      <c r="VCO1" s="5"/>
      <c r="VCP1" s="5"/>
      <c r="VCQ1" s="5"/>
      <c r="VCR1" s="5"/>
      <c r="VCS1" s="5"/>
      <c r="VCT1" s="5"/>
      <c r="VCU1" s="5"/>
      <c r="VCV1" s="5"/>
      <c r="VCW1" s="5"/>
      <c r="VCX1" s="5"/>
      <c r="VCY1" s="5"/>
      <c r="VCZ1" s="5"/>
      <c r="VDA1" s="5"/>
      <c r="VDB1" s="5"/>
      <c r="VDC1" s="5"/>
      <c r="VDD1" s="5"/>
      <c r="VDE1" s="5"/>
      <c r="VDF1" s="5"/>
      <c r="VDG1" s="5"/>
      <c r="VDH1" s="5"/>
      <c r="VDI1" s="5"/>
      <c r="VDJ1" s="5"/>
      <c r="VDK1" s="5"/>
      <c r="VDL1" s="5"/>
      <c r="VDM1" s="5"/>
      <c r="VDN1" s="5"/>
      <c r="VDO1" s="5"/>
      <c r="VDP1" s="5"/>
      <c r="VDQ1" s="5"/>
      <c r="VDR1" s="5"/>
      <c r="VDS1" s="5"/>
      <c r="VDT1" s="5"/>
      <c r="VDU1" s="5"/>
      <c r="VDV1" s="5"/>
      <c r="VDW1" s="5"/>
      <c r="VDX1" s="5"/>
      <c r="VDY1" s="5"/>
      <c r="VDZ1" s="5"/>
      <c r="VEA1" s="5"/>
      <c r="VEB1" s="5"/>
      <c r="VEC1" s="5"/>
      <c r="VED1" s="5"/>
      <c r="VEE1" s="5"/>
      <c r="VEF1" s="5"/>
      <c r="VEG1" s="5"/>
      <c r="VEH1" s="5"/>
      <c r="VEI1" s="5"/>
      <c r="VEJ1" s="5"/>
      <c r="VEK1" s="5"/>
      <c r="VEL1" s="5"/>
      <c r="VEM1" s="5"/>
      <c r="VEN1" s="5"/>
      <c r="VEO1" s="5"/>
      <c r="VEP1" s="5"/>
      <c r="VEQ1" s="5"/>
      <c r="VER1" s="5"/>
      <c r="VES1" s="5"/>
      <c r="VET1" s="5"/>
      <c r="VEU1" s="5"/>
      <c r="VEV1" s="5"/>
      <c r="VEW1" s="5"/>
      <c r="VEX1" s="5"/>
      <c r="VEY1" s="5"/>
      <c r="VEZ1" s="5"/>
      <c r="VFA1" s="5"/>
      <c r="VFB1" s="5"/>
      <c r="VFC1" s="5"/>
      <c r="VFD1" s="5"/>
      <c r="VFE1" s="5"/>
      <c r="VFF1" s="5"/>
      <c r="VFG1" s="5"/>
      <c r="VFH1" s="5"/>
      <c r="VFI1" s="5"/>
      <c r="VFJ1" s="5"/>
      <c r="VFK1" s="5"/>
      <c r="VFL1" s="5"/>
      <c r="VFM1" s="5"/>
      <c r="VFN1" s="5"/>
      <c r="VFO1" s="5"/>
      <c r="VFP1" s="5"/>
      <c r="VFQ1" s="5"/>
      <c r="VFR1" s="5"/>
      <c r="VFS1" s="5"/>
      <c r="VFT1" s="5"/>
      <c r="VFU1" s="5"/>
      <c r="VFV1" s="5"/>
      <c r="VFW1" s="5"/>
      <c r="VFX1" s="5"/>
      <c r="VFY1" s="5"/>
      <c r="VFZ1" s="5"/>
      <c r="VGA1" s="5"/>
      <c r="VGB1" s="5"/>
      <c r="VGC1" s="5"/>
      <c r="VGD1" s="5"/>
      <c r="VGE1" s="5"/>
      <c r="VGF1" s="5"/>
      <c r="VGG1" s="5"/>
      <c r="VGH1" s="5"/>
      <c r="VGI1" s="5"/>
      <c r="VGJ1" s="5"/>
      <c r="VGK1" s="5"/>
      <c r="VGL1" s="5"/>
      <c r="VGM1" s="5"/>
      <c r="VGN1" s="5"/>
      <c r="VGO1" s="5"/>
      <c r="VGP1" s="5"/>
      <c r="VGQ1" s="5"/>
      <c r="VGR1" s="5"/>
      <c r="VGS1" s="5"/>
      <c r="VGT1" s="5"/>
      <c r="VGU1" s="5"/>
      <c r="VGV1" s="5"/>
      <c r="VGW1" s="5"/>
      <c r="VGX1" s="5"/>
      <c r="VGY1" s="5"/>
      <c r="VGZ1" s="5"/>
      <c r="VHA1" s="5"/>
      <c r="VHB1" s="5"/>
      <c r="VHC1" s="5"/>
      <c r="VHD1" s="5"/>
      <c r="VHE1" s="5"/>
      <c r="VHF1" s="5"/>
      <c r="VHG1" s="5"/>
      <c r="VHH1" s="5"/>
      <c r="VHI1" s="5"/>
      <c r="VHJ1" s="5"/>
      <c r="VHK1" s="5"/>
      <c r="VHL1" s="5"/>
      <c r="VHM1" s="5"/>
      <c r="VHN1" s="5"/>
      <c r="VHO1" s="5"/>
      <c r="VHP1" s="5"/>
      <c r="VHQ1" s="5"/>
      <c r="VHR1" s="5"/>
      <c r="VHS1" s="5"/>
      <c r="VHT1" s="5"/>
      <c r="VHU1" s="5"/>
      <c r="VHV1" s="5"/>
      <c r="VHW1" s="5"/>
      <c r="VHX1" s="5"/>
      <c r="VHY1" s="5"/>
      <c r="VHZ1" s="5"/>
      <c r="VIA1" s="5"/>
      <c r="VIB1" s="5"/>
      <c r="VIC1" s="5"/>
      <c r="VID1" s="5"/>
      <c r="VIE1" s="5"/>
      <c r="VIF1" s="5"/>
      <c r="VIG1" s="5"/>
      <c r="VIH1" s="5"/>
      <c r="VII1" s="5"/>
      <c r="VIJ1" s="5"/>
      <c r="VIK1" s="5"/>
      <c r="VIL1" s="5"/>
      <c r="VIM1" s="5"/>
      <c r="VIN1" s="5"/>
      <c r="VIO1" s="5"/>
      <c r="VIP1" s="5"/>
      <c r="VIQ1" s="5"/>
      <c r="VIR1" s="5"/>
      <c r="VIS1" s="5"/>
      <c r="VIT1" s="5"/>
      <c r="VIU1" s="5"/>
      <c r="VIV1" s="5"/>
      <c r="VIW1" s="5"/>
      <c r="VIX1" s="5"/>
      <c r="VIY1" s="5"/>
      <c r="VIZ1" s="5"/>
      <c r="VJA1" s="5"/>
      <c r="VJB1" s="5"/>
      <c r="VJC1" s="5"/>
      <c r="VJD1" s="5"/>
      <c r="VJE1" s="5"/>
      <c r="VJF1" s="5"/>
      <c r="VJG1" s="5"/>
      <c r="VJH1" s="5"/>
      <c r="VJI1" s="5"/>
      <c r="VJJ1" s="5"/>
      <c r="VJK1" s="5"/>
      <c r="VJL1" s="5"/>
      <c r="VJM1" s="5"/>
      <c r="VJN1" s="5"/>
      <c r="VJO1" s="5"/>
      <c r="VJP1" s="5"/>
      <c r="VJQ1" s="5"/>
      <c r="VJR1" s="5"/>
      <c r="VJS1" s="5"/>
      <c r="VJT1" s="5"/>
      <c r="VJU1" s="5"/>
      <c r="VJV1" s="5"/>
      <c r="VJW1" s="5"/>
      <c r="VJX1" s="5"/>
      <c r="VJY1" s="5"/>
      <c r="VJZ1" s="5"/>
      <c r="VKA1" s="5"/>
      <c r="VKB1" s="5"/>
      <c r="VKC1" s="5"/>
      <c r="VKD1" s="5"/>
      <c r="VKE1" s="5"/>
      <c r="VKF1" s="5"/>
      <c r="VKG1" s="5"/>
      <c r="VKH1" s="5"/>
      <c r="VKI1" s="5"/>
      <c r="VKJ1" s="5"/>
      <c r="VKK1" s="5"/>
      <c r="VKL1" s="5"/>
      <c r="VKM1" s="5"/>
      <c r="VKN1" s="5"/>
      <c r="VKO1" s="5"/>
      <c r="VKP1" s="5"/>
      <c r="VKQ1" s="5"/>
      <c r="VKR1" s="5"/>
      <c r="VKS1" s="5"/>
      <c r="VKT1" s="5"/>
      <c r="VKU1" s="5"/>
      <c r="VKV1" s="5"/>
      <c r="VKW1" s="5"/>
      <c r="VKX1" s="5"/>
      <c r="VKY1" s="5"/>
      <c r="VKZ1" s="5"/>
      <c r="VLA1" s="5"/>
      <c r="VLB1" s="5"/>
      <c r="VLC1" s="5"/>
      <c r="VLD1" s="5"/>
      <c r="VLE1" s="5"/>
      <c r="VLF1" s="5"/>
      <c r="VLG1" s="5"/>
      <c r="VLH1" s="5"/>
      <c r="VLI1" s="5"/>
      <c r="VLJ1" s="5"/>
      <c r="VLK1" s="5"/>
      <c r="VLL1" s="5"/>
      <c r="VLM1" s="5"/>
      <c r="VLN1" s="5"/>
      <c r="VLO1" s="5"/>
      <c r="VLP1" s="5"/>
      <c r="VLQ1" s="5"/>
      <c r="VLR1" s="5"/>
      <c r="VLS1" s="5"/>
      <c r="VLT1" s="5"/>
      <c r="VLU1" s="5"/>
      <c r="VLV1" s="5"/>
      <c r="VLW1" s="5"/>
      <c r="VLX1" s="5"/>
      <c r="VLY1" s="5"/>
      <c r="VLZ1" s="5"/>
      <c r="VMA1" s="5"/>
      <c r="VMB1" s="5"/>
      <c r="VMC1" s="5"/>
      <c r="VMD1" s="5"/>
      <c r="VME1" s="5"/>
      <c r="VMF1" s="5"/>
      <c r="VMG1" s="5"/>
      <c r="VMH1" s="5"/>
      <c r="VMI1" s="5"/>
      <c r="VMJ1" s="5"/>
      <c r="VMK1" s="5"/>
      <c r="VML1" s="5"/>
      <c r="VMM1" s="5"/>
      <c r="VMN1" s="5"/>
      <c r="VMO1" s="5"/>
      <c r="VMP1" s="5"/>
      <c r="VMQ1" s="5"/>
      <c r="VMR1" s="5"/>
      <c r="VMS1" s="5"/>
      <c r="VMT1" s="5"/>
      <c r="VMU1" s="5"/>
      <c r="VMV1" s="5"/>
      <c r="VMW1" s="5"/>
      <c r="VMX1" s="5"/>
      <c r="VMY1" s="5"/>
      <c r="VMZ1" s="5"/>
      <c r="VNA1" s="5"/>
      <c r="VNB1" s="5"/>
      <c r="VNC1" s="5"/>
      <c r="VND1" s="5"/>
      <c r="VNE1" s="5"/>
      <c r="VNF1" s="5"/>
      <c r="VNG1" s="5"/>
      <c r="VNH1" s="5"/>
      <c r="VNI1" s="5"/>
      <c r="VNJ1" s="5"/>
      <c r="VNK1" s="5"/>
      <c r="VNL1" s="5"/>
      <c r="VNM1" s="5"/>
      <c r="VNN1" s="5"/>
      <c r="VNO1" s="5"/>
      <c r="VNP1" s="5"/>
      <c r="VNQ1" s="5"/>
      <c r="VNR1" s="5"/>
      <c r="VNS1" s="5"/>
      <c r="VNT1" s="5"/>
      <c r="VNU1" s="5"/>
      <c r="VNV1" s="5"/>
      <c r="VNW1" s="5"/>
      <c r="VNX1" s="5"/>
      <c r="VNY1" s="5"/>
      <c r="VNZ1" s="5"/>
      <c r="VOA1" s="5"/>
      <c r="VOB1" s="5"/>
      <c r="VOC1" s="5"/>
      <c r="VOD1" s="5"/>
      <c r="VOE1" s="5"/>
      <c r="VOF1" s="5"/>
      <c r="VOG1" s="5"/>
      <c r="VOH1" s="5"/>
      <c r="VOI1" s="5"/>
      <c r="VOJ1" s="5"/>
      <c r="VOK1" s="5"/>
      <c r="VOL1" s="5"/>
      <c r="VOM1" s="5"/>
      <c r="VON1" s="5"/>
      <c r="VOO1" s="5"/>
      <c r="VOP1" s="5"/>
      <c r="VOQ1" s="5"/>
      <c r="VOR1" s="5"/>
      <c r="VOS1" s="5"/>
      <c r="VOT1" s="5"/>
      <c r="VOU1" s="5"/>
      <c r="VOV1" s="5"/>
      <c r="VOW1" s="5"/>
      <c r="VOX1" s="5"/>
      <c r="VOY1" s="5"/>
      <c r="VOZ1" s="5"/>
      <c r="VPA1" s="5"/>
      <c r="VPB1" s="5"/>
      <c r="VPC1" s="5"/>
      <c r="VPD1" s="5"/>
      <c r="VPE1" s="5"/>
      <c r="VPF1" s="5"/>
      <c r="VPG1" s="5"/>
      <c r="VPH1" s="5"/>
      <c r="VPI1" s="5"/>
      <c r="VPJ1" s="5"/>
      <c r="VPK1" s="5"/>
      <c r="VPL1" s="5"/>
      <c r="VPM1" s="5"/>
      <c r="VPN1" s="5"/>
      <c r="VPO1" s="5"/>
      <c r="VPP1" s="5"/>
      <c r="VPQ1" s="5"/>
      <c r="VPR1" s="5"/>
      <c r="VPS1" s="5"/>
      <c r="VPT1" s="5"/>
      <c r="VPU1" s="5"/>
      <c r="VPV1" s="5"/>
      <c r="VPW1" s="5"/>
      <c r="VPX1" s="5"/>
      <c r="VPY1" s="5"/>
      <c r="VPZ1" s="5"/>
      <c r="VQA1" s="5"/>
      <c r="VQB1" s="5"/>
      <c r="VQC1" s="5"/>
      <c r="VQD1" s="5"/>
      <c r="VQE1" s="5"/>
      <c r="VQF1" s="5"/>
      <c r="VQG1" s="5"/>
      <c r="VQH1" s="5"/>
      <c r="VQI1" s="5"/>
      <c r="VQJ1" s="5"/>
      <c r="VQK1" s="5"/>
      <c r="VQL1" s="5"/>
      <c r="VQM1" s="5"/>
      <c r="VQN1" s="5"/>
      <c r="VQO1" s="5"/>
      <c r="VQP1" s="5"/>
      <c r="VQQ1" s="5"/>
      <c r="VQR1" s="5"/>
      <c r="VQS1" s="5"/>
      <c r="VQT1" s="5"/>
      <c r="VQU1" s="5"/>
      <c r="VQV1" s="5"/>
      <c r="VQW1" s="5"/>
      <c r="VQX1" s="5"/>
      <c r="VQY1" s="5"/>
      <c r="VQZ1" s="5"/>
      <c r="VRA1" s="5"/>
      <c r="VRB1" s="5"/>
      <c r="VRC1" s="5"/>
      <c r="VRD1" s="5"/>
      <c r="VRE1" s="5"/>
      <c r="VRF1" s="5"/>
      <c r="VRG1" s="5"/>
      <c r="VRH1" s="5"/>
      <c r="VRI1" s="5"/>
      <c r="VRJ1" s="5"/>
      <c r="VRK1" s="5"/>
      <c r="VRL1" s="5"/>
      <c r="VRM1" s="5"/>
      <c r="VRN1" s="5"/>
      <c r="VRO1" s="5"/>
      <c r="VRP1" s="5"/>
      <c r="VRQ1" s="5"/>
      <c r="VRR1" s="5"/>
      <c r="VRS1" s="5"/>
      <c r="VRT1" s="5"/>
      <c r="VRU1" s="5"/>
      <c r="VRV1" s="5"/>
      <c r="VRW1" s="5"/>
      <c r="VRX1" s="5"/>
      <c r="VRY1" s="5"/>
      <c r="VRZ1" s="5"/>
      <c r="VSA1" s="5"/>
      <c r="VSB1" s="5"/>
      <c r="VSC1" s="5"/>
      <c r="VSD1" s="5"/>
      <c r="VSE1" s="5"/>
      <c r="VSF1" s="5"/>
      <c r="VSG1" s="5"/>
      <c r="VSH1" s="5"/>
      <c r="VSI1" s="5"/>
      <c r="VSJ1" s="5"/>
      <c r="VSK1" s="5"/>
      <c r="VSL1" s="5"/>
      <c r="VSM1" s="5"/>
      <c r="VSN1" s="5"/>
      <c r="VSO1" s="5"/>
      <c r="VSP1" s="5"/>
      <c r="VSQ1" s="5"/>
      <c r="VSR1" s="5"/>
      <c r="VSS1" s="5"/>
      <c r="VST1" s="5"/>
      <c r="VSU1" s="5"/>
      <c r="VSV1" s="5"/>
      <c r="VSW1" s="5"/>
      <c r="VSX1" s="5"/>
      <c r="VSY1" s="5"/>
      <c r="VSZ1" s="5"/>
      <c r="VTA1" s="5"/>
      <c r="VTB1" s="5"/>
      <c r="VTC1" s="5"/>
      <c r="VTD1" s="5"/>
      <c r="VTE1" s="5"/>
      <c r="VTF1" s="5"/>
      <c r="VTG1" s="5"/>
      <c r="VTH1" s="5"/>
      <c r="VTI1" s="5"/>
      <c r="VTJ1" s="5"/>
      <c r="VTK1" s="5"/>
      <c r="VTL1" s="5"/>
      <c r="VTM1" s="5"/>
      <c r="VTN1" s="5"/>
      <c r="VTO1" s="5"/>
      <c r="VTP1" s="5"/>
      <c r="VTQ1" s="5"/>
      <c r="VTR1" s="5"/>
      <c r="VTS1" s="5"/>
      <c r="VTT1" s="5"/>
      <c r="VTU1" s="5"/>
      <c r="VTV1" s="5"/>
      <c r="VTW1" s="5"/>
      <c r="VTX1" s="5"/>
      <c r="VTY1" s="5"/>
      <c r="VTZ1" s="5"/>
      <c r="VUA1" s="5"/>
      <c r="VUB1" s="5"/>
      <c r="VUC1" s="5"/>
      <c r="VUD1" s="5"/>
      <c r="VUE1" s="5"/>
      <c r="VUF1" s="5"/>
      <c r="VUG1" s="5"/>
      <c r="VUH1" s="5"/>
      <c r="VUI1" s="5"/>
      <c r="VUJ1" s="5"/>
      <c r="VUK1" s="5"/>
      <c r="VUL1" s="5"/>
      <c r="VUM1" s="5"/>
      <c r="VUN1" s="5"/>
      <c r="VUO1" s="5"/>
      <c r="VUP1" s="5"/>
      <c r="VUQ1" s="5"/>
      <c r="VUR1" s="5"/>
      <c r="VUS1" s="5"/>
      <c r="VUT1" s="5"/>
      <c r="VUU1" s="5"/>
      <c r="VUV1" s="5"/>
      <c r="VUW1" s="5"/>
      <c r="VUX1" s="5"/>
      <c r="VUY1" s="5"/>
      <c r="VUZ1" s="5"/>
      <c r="VVA1" s="5"/>
      <c r="VVB1" s="5"/>
      <c r="VVC1" s="5"/>
      <c r="VVD1" s="5"/>
      <c r="VVE1" s="5"/>
      <c r="VVF1" s="5"/>
      <c r="VVG1" s="5"/>
      <c r="VVH1" s="5"/>
      <c r="VVI1" s="5"/>
      <c r="VVJ1" s="5"/>
      <c r="VVK1" s="5"/>
      <c r="VVL1" s="5"/>
      <c r="VVM1" s="5"/>
      <c r="VVN1" s="5"/>
      <c r="VVO1" s="5"/>
      <c r="VVP1" s="5"/>
      <c r="VVQ1" s="5"/>
      <c r="VVR1" s="5"/>
      <c r="VVS1" s="5"/>
      <c r="VVT1" s="5"/>
      <c r="VVU1" s="5"/>
      <c r="VVV1" s="5"/>
      <c r="VVW1" s="5"/>
      <c r="VVX1" s="5"/>
      <c r="VVY1" s="5"/>
      <c r="VVZ1" s="5"/>
      <c r="VWA1" s="5"/>
      <c r="VWB1" s="5"/>
      <c r="VWC1" s="5"/>
      <c r="VWD1" s="5"/>
      <c r="VWE1" s="5"/>
      <c r="VWF1" s="5"/>
      <c r="VWG1" s="5"/>
      <c r="VWH1" s="5"/>
      <c r="VWI1" s="5"/>
      <c r="VWJ1" s="5"/>
      <c r="VWK1" s="5"/>
      <c r="VWL1" s="5"/>
      <c r="VWM1" s="5"/>
      <c r="VWN1" s="5"/>
      <c r="VWO1" s="5"/>
      <c r="VWP1" s="5"/>
      <c r="VWQ1" s="5"/>
      <c r="VWR1" s="5"/>
      <c r="VWS1" s="5"/>
      <c r="VWT1" s="5"/>
      <c r="VWU1" s="5"/>
      <c r="VWV1" s="5"/>
      <c r="VWW1" s="5"/>
      <c r="VWX1" s="5"/>
      <c r="VWY1" s="5"/>
      <c r="VWZ1" s="5"/>
      <c r="VXA1" s="5"/>
      <c r="VXB1" s="5"/>
      <c r="VXC1" s="5"/>
      <c r="VXD1" s="5"/>
      <c r="VXE1" s="5"/>
      <c r="VXF1" s="5"/>
      <c r="VXG1" s="5"/>
      <c r="VXH1" s="5"/>
      <c r="VXI1" s="5"/>
      <c r="VXJ1" s="5"/>
      <c r="VXK1" s="5"/>
      <c r="VXL1" s="5"/>
      <c r="VXM1" s="5"/>
      <c r="VXN1" s="5"/>
      <c r="VXO1" s="5"/>
      <c r="VXP1" s="5"/>
      <c r="VXQ1" s="5"/>
      <c r="VXR1" s="5"/>
      <c r="VXS1" s="5"/>
      <c r="VXT1" s="5"/>
      <c r="VXU1" s="5"/>
      <c r="VXV1" s="5"/>
      <c r="VXW1" s="5"/>
      <c r="VXX1" s="5"/>
      <c r="VXY1" s="5"/>
      <c r="VXZ1" s="5"/>
      <c r="VYA1" s="5"/>
      <c r="VYB1" s="5"/>
      <c r="VYC1" s="5"/>
      <c r="VYD1" s="5"/>
      <c r="VYE1" s="5"/>
      <c r="VYF1" s="5"/>
      <c r="VYG1" s="5"/>
      <c r="VYH1" s="5"/>
      <c r="VYI1" s="5"/>
      <c r="VYJ1" s="5"/>
      <c r="VYK1" s="5"/>
      <c r="VYL1" s="5"/>
      <c r="VYM1" s="5"/>
      <c r="VYN1" s="5"/>
      <c r="VYO1" s="5"/>
      <c r="VYP1" s="5"/>
      <c r="VYQ1" s="5"/>
      <c r="VYR1" s="5"/>
      <c r="VYS1" s="5"/>
      <c r="VYT1" s="5"/>
      <c r="VYU1" s="5"/>
      <c r="VYV1" s="5"/>
      <c r="VYW1" s="5"/>
      <c r="VYX1" s="5"/>
      <c r="VYY1" s="5"/>
      <c r="VYZ1" s="5"/>
      <c r="VZA1" s="5"/>
      <c r="VZB1" s="5"/>
      <c r="VZC1" s="5"/>
      <c r="VZD1" s="5"/>
      <c r="VZE1" s="5"/>
      <c r="VZF1" s="5"/>
      <c r="VZG1" s="5"/>
      <c r="VZH1" s="5"/>
      <c r="VZI1" s="5"/>
      <c r="VZJ1" s="5"/>
      <c r="VZK1" s="5"/>
      <c r="VZL1" s="5"/>
      <c r="VZM1" s="5"/>
      <c r="VZN1" s="5"/>
      <c r="VZO1" s="5"/>
      <c r="VZP1" s="5"/>
      <c r="VZQ1" s="5"/>
      <c r="VZR1" s="5"/>
      <c r="VZS1" s="5"/>
      <c r="VZT1" s="5"/>
      <c r="VZU1" s="5"/>
      <c r="VZV1" s="5"/>
      <c r="VZW1" s="5"/>
      <c r="VZX1" s="5"/>
      <c r="VZY1" s="5"/>
      <c r="VZZ1" s="5"/>
      <c r="WAA1" s="5"/>
      <c r="WAB1" s="5"/>
      <c r="WAC1" s="5"/>
      <c r="WAD1" s="5"/>
      <c r="WAE1" s="5"/>
      <c r="WAF1" s="5"/>
      <c r="WAG1" s="5"/>
      <c r="WAH1" s="5"/>
      <c r="WAI1" s="5"/>
      <c r="WAJ1" s="5"/>
      <c r="WAK1" s="5"/>
      <c r="WAL1" s="5"/>
      <c r="WAM1" s="5"/>
      <c r="WAN1" s="5"/>
      <c r="WAO1" s="5"/>
      <c r="WAP1" s="5"/>
      <c r="WAQ1" s="5"/>
      <c r="WAR1" s="5"/>
      <c r="WAS1" s="5"/>
      <c r="WAT1" s="5"/>
      <c r="WAU1" s="5"/>
      <c r="WAV1" s="5"/>
      <c r="WAW1" s="5"/>
      <c r="WAX1" s="5"/>
      <c r="WAY1" s="5"/>
      <c r="WAZ1" s="5"/>
      <c r="WBA1" s="5"/>
      <c r="WBB1" s="5"/>
      <c r="WBC1" s="5"/>
      <c r="WBD1" s="5"/>
      <c r="WBE1" s="5"/>
      <c r="WBF1" s="5"/>
      <c r="WBG1" s="5"/>
      <c r="WBH1" s="5"/>
      <c r="WBI1" s="5"/>
      <c r="WBJ1" s="5"/>
      <c r="WBK1" s="5"/>
      <c r="WBL1" s="5"/>
      <c r="WBM1" s="5"/>
      <c r="WBN1" s="5"/>
      <c r="WBO1" s="5"/>
      <c r="WBP1" s="5"/>
      <c r="WBQ1" s="5"/>
      <c r="WBR1" s="5"/>
      <c r="WBS1" s="5"/>
      <c r="WBT1" s="5"/>
      <c r="WBU1" s="5"/>
      <c r="WBV1" s="5"/>
      <c r="WBW1" s="5"/>
      <c r="WBX1" s="5"/>
      <c r="WBY1" s="5"/>
      <c r="WBZ1" s="5"/>
      <c r="WCA1" s="5"/>
      <c r="WCB1" s="5"/>
      <c r="WCC1" s="5"/>
      <c r="WCD1" s="5"/>
      <c r="WCE1" s="5"/>
      <c r="WCF1" s="5"/>
      <c r="WCG1" s="5"/>
      <c r="WCH1" s="5"/>
      <c r="WCI1" s="5"/>
      <c r="WCJ1" s="5"/>
      <c r="WCK1" s="5"/>
      <c r="WCL1" s="5"/>
      <c r="WCM1" s="5"/>
      <c r="WCN1" s="5"/>
      <c r="WCO1" s="5"/>
      <c r="WCP1" s="5"/>
      <c r="WCQ1" s="5"/>
      <c r="WCR1" s="5"/>
      <c r="WCS1" s="5"/>
      <c r="WCT1" s="5"/>
      <c r="WCU1" s="5"/>
      <c r="WCV1" s="5"/>
      <c r="WCW1" s="5"/>
      <c r="WCX1" s="5"/>
      <c r="WCY1" s="5"/>
      <c r="WCZ1" s="5"/>
      <c r="WDA1" s="5"/>
      <c r="WDB1" s="5"/>
      <c r="WDC1" s="5"/>
      <c r="WDD1" s="5"/>
      <c r="WDE1" s="5"/>
      <c r="WDF1" s="5"/>
      <c r="WDG1" s="5"/>
      <c r="WDH1" s="5"/>
      <c r="WDI1" s="5"/>
      <c r="WDJ1" s="5"/>
      <c r="WDK1" s="5"/>
      <c r="WDL1" s="5"/>
      <c r="WDM1" s="5"/>
      <c r="WDN1" s="5"/>
      <c r="WDO1" s="5"/>
      <c r="WDP1" s="5"/>
      <c r="WDQ1" s="5"/>
      <c r="WDR1" s="5"/>
      <c r="WDS1" s="5"/>
      <c r="WDT1" s="5"/>
      <c r="WDU1" s="5"/>
      <c r="WDV1" s="5"/>
      <c r="WDW1" s="5"/>
      <c r="WDX1" s="5"/>
      <c r="WDY1" s="5"/>
      <c r="WDZ1" s="5"/>
      <c r="WEA1" s="5"/>
      <c r="WEB1" s="5"/>
      <c r="WEC1" s="5"/>
      <c r="WED1" s="5"/>
      <c r="WEE1" s="5"/>
      <c r="WEF1" s="5"/>
      <c r="WEG1" s="5"/>
      <c r="WEH1" s="5"/>
      <c r="WEI1" s="5"/>
      <c r="WEJ1" s="5"/>
      <c r="WEK1" s="5"/>
      <c r="WEL1" s="5"/>
      <c r="WEM1" s="5"/>
      <c r="WEN1" s="5"/>
      <c r="WEO1" s="5"/>
      <c r="WEP1" s="5"/>
      <c r="WEQ1" s="5"/>
      <c r="WER1" s="5"/>
      <c r="WES1" s="5"/>
      <c r="WET1" s="5"/>
      <c r="WEU1" s="5"/>
      <c r="WEV1" s="5"/>
      <c r="WEW1" s="5"/>
      <c r="WEX1" s="5"/>
      <c r="WEY1" s="5"/>
      <c r="WEZ1" s="5"/>
      <c r="WFA1" s="5"/>
      <c r="WFB1" s="5"/>
      <c r="WFC1" s="5"/>
      <c r="WFD1" s="5"/>
      <c r="WFE1" s="5"/>
      <c r="WFF1" s="5"/>
      <c r="WFG1" s="5"/>
      <c r="WFH1" s="5"/>
      <c r="WFI1" s="5"/>
      <c r="WFJ1" s="5"/>
      <c r="WFK1" s="5"/>
      <c r="WFL1" s="5"/>
      <c r="WFM1" s="5"/>
      <c r="WFN1" s="5"/>
      <c r="WFO1" s="5"/>
      <c r="WFP1" s="5"/>
      <c r="WFQ1" s="5"/>
      <c r="WFR1" s="5"/>
      <c r="WFS1" s="5"/>
      <c r="WFT1" s="5"/>
      <c r="WFU1" s="5"/>
      <c r="WFV1" s="5"/>
      <c r="WFW1" s="5"/>
      <c r="WFX1" s="5"/>
      <c r="WFY1" s="5"/>
      <c r="WFZ1" s="5"/>
      <c r="WGA1" s="5"/>
      <c r="WGB1" s="5"/>
      <c r="WGC1" s="5"/>
      <c r="WGD1" s="5"/>
      <c r="WGE1" s="5"/>
      <c r="WGF1" s="5"/>
      <c r="WGG1" s="5"/>
      <c r="WGH1" s="5"/>
      <c r="WGI1" s="5"/>
      <c r="WGJ1" s="5"/>
      <c r="WGK1" s="5"/>
      <c r="WGL1" s="5"/>
      <c r="WGM1" s="5"/>
      <c r="WGN1" s="5"/>
      <c r="WGO1" s="5"/>
      <c r="WGP1" s="5"/>
      <c r="WGQ1" s="5"/>
      <c r="WGR1" s="5"/>
      <c r="WGS1" s="5"/>
      <c r="WGT1" s="5"/>
      <c r="WGU1" s="5"/>
      <c r="WGV1" s="5"/>
      <c r="WGW1" s="5"/>
      <c r="WGX1" s="5"/>
      <c r="WGY1" s="5"/>
      <c r="WGZ1" s="5"/>
      <c r="WHA1" s="5"/>
      <c r="WHB1" s="5"/>
      <c r="WHC1" s="5"/>
      <c r="WHD1" s="5"/>
      <c r="WHE1" s="5"/>
      <c r="WHF1" s="5"/>
      <c r="WHG1" s="5"/>
      <c r="WHH1" s="5"/>
      <c r="WHI1" s="5"/>
      <c r="WHJ1" s="5"/>
      <c r="WHK1" s="5"/>
      <c r="WHL1" s="5"/>
      <c r="WHM1" s="5"/>
      <c r="WHN1" s="5"/>
      <c r="WHO1" s="5"/>
      <c r="WHP1" s="5"/>
      <c r="WHQ1" s="5"/>
      <c r="WHR1" s="5"/>
      <c r="WHS1" s="5"/>
      <c r="WHT1" s="5"/>
      <c r="WHU1" s="5"/>
      <c r="WHV1" s="5"/>
      <c r="WHW1" s="5"/>
      <c r="WHX1" s="5"/>
      <c r="WHY1" s="5"/>
      <c r="WHZ1" s="5"/>
      <c r="WIA1" s="5"/>
      <c r="WIB1" s="5"/>
      <c r="WIC1" s="5"/>
      <c r="WID1" s="5"/>
      <c r="WIE1" s="5"/>
      <c r="WIF1" s="5"/>
      <c r="WIG1" s="5"/>
      <c r="WIH1" s="5"/>
      <c r="WII1" s="5"/>
      <c r="WIJ1" s="5"/>
      <c r="WIK1" s="5"/>
      <c r="WIL1" s="5"/>
      <c r="WIM1" s="5"/>
      <c r="WIN1" s="5"/>
      <c r="WIO1" s="5"/>
      <c r="WIP1" s="5"/>
      <c r="WIQ1" s="5"/>
      <c r="WIR1" s="5"/>
      <c r="WIS1" s="5"/>
      <c r="WIT1" s="5"/>
      <c r="WIU1" s="5"/>
      <c r="WIV1" s="5"/>
      <c r="WIW1" s="5"/>
      <c r="WIX1" s="5"/>
      <c r="WIY1" s="5"/>
      <c r="WIZ1" s="5"/>
      <c r="WJA1" s="5"/>
      <c r="WJB1" s="5"/>
      <c r="WJC1" s="5"/>
      <c r="WJD1" s="5"/>
      <c r="WJE1" s="5"/>
      <c r="WJF1" s="5"/>
      <c r="WJG1" s="5"/>
      <c r="WJH1" s="5"/>
      <c r="WJI1" s="5"/>
      <c r="WJJ1" s="5"/>
      <c r="WJK1" s="5"/>
      <c r="WJL1" s="5"/>
      <c r="WJM1" s="5"/>
      <c r="WJN1" s="5"/>
      <c r="WJO1" s="5"/>
      <c r="WJP1" s="5"/>
      <c r="WJQ1" s="5"/>
      <c r="WJR1" s="5"/>
      <c r="WJS1" s="5"/>
      <c r="WJT1" s="5"/>
      <c r="WJU1" s="5"/>
      <c r="WJV1" s="5"/>
      <c r="WJW1" s="5"/>
      <c r="WJX1" s="5"/>
      <c r="WJY1" s="5"/>
      <c r="WJZ1" s="5"/>
      <c r="WKA1" s="5"/>
      <c r="WKB1" s="5"/>
      <c r="WKC1" s="5"/>
      <c r="WKD1" s="5"/>
      <c r="WKE1" s="5"/>
      <c r="WKF1" s="5"/>
      <c r="WKG1" s="5"/>
      <c r="WKH1" s="5"/>
      <c r="WKI1" s="5"/>
      <c r="WKJ1" s="5"/>
      <c r="WKK1" s="5"/>
      <c r="WKL1" s="5"/>
      <c r="WKM1" s="5"/>
      <c r="WKN1" s="5"/>
      <c r="WKO1" s="5"/>
      <c r="WKP1" s="5"/>
      <c r="WKQ1" s="5"/>
      <c r="WKR1" s="5"/>
      <c r="WKS1" s="5"/>
      <c r="WKT1" s="5"/>
      <c r="WKU1" s="5"/>
      <c r="WKV1" s="5"/>
      <c r="WKW1" s="5"/>
      <c r="WKX1" s="5"/>
      <c r="WKY1" s="5"/>
      <c r="WKZ1" s="5"/>
      <c r="WLA1" s="5"/>
      <c r="WLB1" s="5"/>
      <c r="WLC1" s="5"/>
      <c r="WLD1" s="5"/>
      <c r="WLE1" s="5"/>
      <c r="WLF1" s="5"/>
      <c r="WLG1" s="5"/>
      <c r="WLH1" s="5"/>
      <c r="WLI1" s="5"/>
      <c r="WLJ1" s="5"/>
      <c r="WLK1" s="5"/>
      <c r="WLL1" s="5"/>
      <c r="WLM1" s="5"/>
      <c r="WLN1" s="5"/>
      <c r="WLO1" s="5"/>
      <c r="WLP1" s="5"/>
      <c r="WLQ1" s="5"/>
      <c r="WLR1" s="5"/>
      <c r="WLS1" s="5"/>
      <c r="WLT1" s="5"/>
      <c r="WLU1" s="5"/>
      <c r="WLV1" s="5"/>
      <c r="WLW1" s="5"/>
      <c r="WLX1" s="5"/>
      <c r="WLY1" s="5"/>
      <c r="WLZ1" s="5"/>
      <c r="WMA1" s="5"/>
      <c r="WMB1" s="5"/>
      <c r="WMC1" s="5"/>
      <c r="WMD1" s="5"/>
      <c r="WME1" s="5"/>
      <c r="WMF1" s="5"/>
      <c r="WMG1" s="5"/>
      <c r="WMH1" s="5"/>
      <c r="WMI1" s="5"/>
      <c r="WMJ1" s="5"/>
      <c r="WMK1" s="5"/>
      <c r="WML1" s="5"/>
      <c r="WMM1" s="5"/>
      <c r="WMN1" s="5"/>
      <c r="WMO1" s="5"/>
      <c r="WMP1" s="5"/>
      <c r="WMQ1" s="5"/>
      <c r="WMR1" s="5"/>
      <c r="WMS1" s="5"/>
      <c r="WMT1" s="5"/>
      <c r="WMU1" s="5"/>
      <c r="WMV1" s="5"/>
      <c r="WMW1" s="5"/>
      <c r="WMX1" s="5"/>
      <c r="WMY1" s="5"/>
      <c r="WMZ1" s="5"/>
      <c r="WNA1" s="5"/>
      <c r="WNB1" s="5"/>
      <c r="WNC1" s="5"/>
      <c r="WND1" s="5"/>
      <c r="WNE1" s="5"/>
      <c r="WNF1" s="5"/>
      <c r="WNG1" s="5"/>
      <c r="WNH1" s="5"/>
      <c r="WNI1" s="5"/>
      <c r="WNJ1" s="5"/>
      <c r="WNK1" s="5"/>
      <c r="WNL1" s="5"/>
      <c r="WNM1" s="5"/>
      <c r="WNN1" s="5"/>
      <c r="WNO1" s="5"/>
      <c r="WNP1" s="5"/>
      <c r="WNQ1" s="5"/>
      <c r="WNR1" s="5"/>
      <c r="WNS1" s="5"/>
      <c r="WNT1" s="5"/>
      <c r="WNU1" s="5"/>
      <c r="WNV1" s="5"/>
      <c r="WNW1" s="5"/>
      <c r="WNX1" s="5"/>
      <c r="WNY1" s="5"/>
      <c r="WNZ1" s="5"/>
      <c r="WOA1" s="5"/>
      <c r="WOB1" s="5"/>
      <c r="WOC1" s="5"/>
      <c r="WOD1" s="5"/>
      <c r="WOE1" s="5"/>
      <c r="WOF1" s="5"/>
      <c r="WOG1" s="5"/>
      <c r="WOH1" s="5"/>
      <c r="WOI1" s="5"/>
      <c r="WOJ1" s="5"/>
      <c r="WOK1" s="5"/>
      <c r="WOL1" s="5"/>
      <c r="WOM1" s="5"/>
      <c r="WON1" s="5"/>
      <c r="WOO1" s="5"/>
      <c r="WOP1" s="5"/>
      <c r="WOQ1" s="5"/>
      <c r="WOR1" s="5"/>
      <c r="WOS1" s="5"/>
      <c r="WOT1" s="5"/>
      <c r="WOU1" s="5"/>
      <c r="WOV1" s="5"/>
      <c r="WOW1" s="5"/>
      <c r="WOX1" s="5"/>
      <c r="WOY1" s="5"/>
      <c r="WOZ1" s="5"/>
      <c r="WPA1" s="5"/>
      <c r="WPB1" s="5"/>
      <c r="WPC1" s="5"/>
      <c r="WPD1" s="5"/>
      <c r="WPE1" s="5"/>
      <c r="WPF1" s="5"/>
      <c r="WPG1" s="5"/>
      <c r="WPH1" s="5"/>
      <c r="WPI1" s="5"/>
      <c r="WPJ1" s="5"/>
      <c r="WPK1" s="5"/>
      <c r="WPL1" s="5"/>
      <c r="WPM1" s="5"/>
      <c r="WPN1" s="5"/>
      <c r="WPO1" s="5"/>
      <c r="WPP1" s="5"/>
      <c r="WPQ1" s="5"/>
      <c r="WPR1" s="5"/>
      <c r="WPS1" s="5"/>
      <c r="WPT1" s="5"/>
      <c r="WPU1" s="5"/>
      <c r="WPV1" s="5"/>
      <c r="WPW1" s="5"/>
      <c r="WPX1" s="5"/>
      <c r="WPY1" s="5"/>
      <c r="WPZ1" s="5"/>
      <c r="WQA1" s="5"/>
      <c r="WQB1" s="5"/>
      <c r="WQC1" s="5"/>
      <c r="WQD1" s="5"/>
      <c r="WQE1" s="5"/>
      <c r="WQF1" s="5"/>
      <c r="WQG1" s="5"/>
      <c r="WQH1" s="5"/>
      <c r="WQI1" s="5"/>
      <c r="WQJ1" s="5"/>
      <c r="WQK1" s="5"/>
      <c r="WQL1" s="5"/>
      <c r="WQM1" s="5"/>
      <c r="WQN1" s="5"/>
      <c r="WQO1" s="5"/>
      <c r="WQP1" s="5"/>
      <c r="WQQ1" s="5"/>
      <c r="WQR1" s="5"/>
      <c r="WQS1" s="5"/>
      <c r="WQT1" s="5"/>
      <c r="WQU1" s="5"/>
      <c r="WQV1" s="5"/>
      <c r="WQW1" s="5"/>
      <c r="WQX1" s="5"/>
      <c r="WQY1" s="5"/>
      <c r="WQZ1" s="5"/>
      <c r="WRA1" s="5"/>
      <c r="WRB1" s="5"/>
      <c r="WRC1" s="5"/>
      <c r="WRD1" s="5"/>
      <c r="WRE1" s="5"/>
      <c r="WRF1" s="5"/>
      <c r="WRG1" s="5"/>
      <c r="WRH1" s="5"/>
      <c r="WRI1" s="5"/>
      <c r="WRJ1" s="5"/>
      <c r="WRK1" s="5"/>
      <c r="WRL1" s="5"/>
      <c r="WRM1" s="5"/>
      <c r="WRN1" s="5"/>
      <c r="WRO1" s="5"/>
      <c r="WRP1" s="5"/>
      <c r="WRQ1" s="5"/>
      <c r="WRR1" s="5"/>
      <c r="WRS1" s="5"/>
      <c r="WRT1" s="5"/>
      <c r="WRU1" s="5"/>
      <c r="WRV1" s="5"/>
      <c r="WRW1" s="5"/>
      <c r="WRX1" s="5"/>
      <c r="WRY1" s="5"/>
      <c r="WRZ1" s="5"/>
      <c r="WSA1" s="5"/>
      <c r="WSB1" s="5"/>
      <c r="WSC1" s="5"/>
      <c r="WSD1" s="5"/>
      <c r="WSE1" s="5"/>
      <c r="WSF1" s="5"/>
      <c r="WSG1" s="5"/>
      <c r="WSH1" s="5"/>
      <c r="WSI1" s="5"/>
      <c r="WSJ1" s="5"/>
      <c r="WSK1" s="5"/>
      <c r="WSL1" s="5"/>
      <c r="WSM1" s="5"/>
      <c r="WSN1" s="5"/>
      <c r="WSO1" s="5"/>
      <c r="WSP1" s="5"/>
      <c r="WSQ1" s="5"/>
      <c r="WSR1" s="5"/>
      <c r="WSS1" s="5"/>
      <c r="WST1" s="5"/>
      <c r="WSU1" s="5"/>
      <c r="WSV1" s="5"/>
      <c r="WSW1" s="5"/>
      <c r="WSX1" s="5"/>
      <c r="WSY1" s="5"/>
      <c r="WSZ1" s="5"/>
      <c r="WTA1" s="5"/>
      <c r="WTB1" s="5"/>
      <c r="WTC1" s="5"/>
      <c r="WTD1" s="5"/>
      <c r="WTE1" s="5"/>
      <c r="WTF1" s="5"/>
      <c r="WTG1" s="5"/>
      <c r="WTH1" s="5"/>
      <c r="WTI1" s="5"/>
      <c r="WTJ1" s="5"/>
      <c r="WTK1" s="5"/>
      <c r="WTL1" s="5"/>
      <c r="WTM1" s="5"/>
      <c r="WTN1" s="5"/>
      <c r="WTO1" s="5"/>
      <c r="WTP1" s="5"/>
      <c r="WTQ1" s="5"/>
      <c r="WTR1" s="5"/>
      <c r="WTS1" s="5"/>
      <c r="WTT1" s="5"/>
      <c r="WTU1" s="5"/>
      <c r="WTV1" s="5"/>
      <c r="WTW1" s="5"/>
      <c r="WTX1" s="5"/>
      <c r="WTY1" s="5"/>
      <c r="WTZ1" s="5"/>
      <c r="WUA1" s="5"/>
      <c r="WUB1" s="5"/>
      <c r="WUC1" s="5"/>
      <c r="WUD1" s="5"/>
      <c r="WUE1" s="5"/>
      <c r="WUF1" s="5"/>
      <c r="WUG1" s="5"/>
      <c r="WUH1" s="5"/>
      <c r="WUI1" s="5"/>
      <c r="WUJ1" s="5"/>
      <c r="WUK1" s="5"/>
      <c r="WUL1" s="5"/>
      <c r="WUM1" s="5"/>
      <c r="WUN1" s="5"/>
      <c r="WUO1" s="5"/>
      <c r="WUP1" s="5"/>
      <c r="WUQ1" s="5"/>
      <c r="WUR1" s="5"/>
      <c r="WUS1" s="5"/>
      <c r="WUT1" s="5"/>
      <c r="WUU1" s="5"/>
      <c r="WUV1" s="5"/>
      <c r="WUW1" s="5"/>
      <c r="WUX1" s="5"/>
      <c r="WUY1" s="5"/>
      <c r="WUZ1" s="5"/>
      <c r="WVA1" s="5"/>
      <c r="WVB1" s="5"/>
      <c r="WVC1" s="5"/>
      <c r="WVD1" s="5"/>
      <c r="WVE1" s="5"/>
      <c r="WVF1" s="5"/>
      <c r="WVG1" s="5"/>
      <c r="WVH1" s="5"/>
      <c r="WVI1" s="5"/>
      <c r="WVJ1" s="5"/>
      <c r="WVK1" s="5"/>
      <c r="WVL1" s="5"/>
      <c r="WVM1" s="5"/>
      <c r="WVN1" s="5"/>
      <c r="WVO1" s="5"/>
      <c r="WVP1" s="5"/>
      <c r="WVQ1" s="5"/>
      <c r="WVR1" s="5"/>
      <c r="WVS1" s="5"/>
      <c r="WVT1" s="5"/>
      <c r="WVU1" s="5"/>
      <c r="WVV1" s="5"/>
      <c r="WVW1" s="5"/>
      <c r="WVX1" s="5"/>
      <c r="WVY1" s="5"/>
      <c r="WVZ1" s="5"/>
      <c r="WWA1" s="5"/>
      <c r="WWB1" s="5"/>
      <c r="WWC1" s="5"/>
      <c r="WWD1" s="5"/>
      <c r="WWE1" s="5"/>
      <c r="WWF1" s="5"/>
      <c r="WWG1" s="5"/>
      <c r="WWH1" s="5"/>
      <c r="WWI1" s="5"/>
      <c r="WWJ1" s="5"/>
      <c r="WWK1" s="5"/>
      <c r="WWL1" s="5"/>
      <c r="WWM1" s="5"/>
      <c r="WWN1" s="5"/>
      <c r="WWO1" s="5"/>
      <c r="WWP1" s="5"/>
      <c r="WWQ1" s="5"/>
      <c r="WWR1" s="5"/>
      <c r="WWS1" s="5"/>
      <c r="WWT1" s="5"/>
      <c r="WWU1" s="5"/>
      <c r="WWV1" s="5"/>
      <c r="WWW1" s="5"/>
      <c r="WWX1" s="5"/>
      <c r="WWY1" s="5"/>
      <c r="WWZ1" s="5"/>
      <c r="WXA1" s="5"/>
      <c r="WXB1" s="5"/>
      <c r="WXC1" s="5"/>
      <c r="WXD1" s="5"/>
      <c r="WXE1" s="5"/>
      <c r="WXF1" s="5"/>
      <c r="WXG1" s="5"/>
      <c r="WXH1" s="5"/>
      <c r="WXI1" s="5"/>
      <c r="WXJ1" s="5"/>
      <c r="WXK1" s="5"/>
      <c r="WXL1" s="5"/>
      <c r="WXM1" s="5"/>
      <c r="WXN1" s="5"/>
      <c r="WXO1" s="5"/>
      <c r="WXP1" s="5"/>
      <c r="WXQ1" s="5"/>
      <c r="WXR1" s="5"/>
      <c r="WXS1" s="5"/>
      <c r="WXT1" s="5"/>
      <c r="WXU1" s="5"/>
      <c r="WXV1" s="5"/>
      <c r="WXW1" s="5"/>
      <c r="WXX1" s="5"/>
      <c r="WXY1" s="5"/>
      <c r="WXZ1" s="5"/>
      <c r="WYA1" s="5"/>
      <c r="WYB1" s="5"/>
      <c r="WYC1" s="5"/>
      <c r="WYD1" s="5"/>
      <c r="WYE1" s="5"/>
      <c r="WYF1" s="5"/>
      <c r="WYG1" s="5"/>
      <c r="WYH1" s="5"/>
      <c r="WYI1" s="5"/>
      <c r="WYJ1" s="5"/>
      <c r="WYK1" s="5"/>
      <c r="WYL1" s="5"/>
      <c r="WYM1" s="5"/>
      <c r="WYN1" s="5"/>
      <c r="WYO1" s="5"/>
      <c r="WYP1" s="5"/>
      <c r="WYQ1" s="5"/>
      <c r="WYR1" s="5"/>
      <c r="WYS1" s="5"/>
      <c r="WYT1" s="5"/>
      <c r="WYU1" s="5"/>
      <c r="WYV1" s="5"/>
      <c r="WYW1" s="5"/>
      <c r="WYX1" s="5"/>
      <c r="WYY1" s="5"/>
      <c r="WYZ1" s="5"/>
      <c r="WZA1" s="5"/>
      <c r="WZB1" s="5"/>
      <c r="WZC1" s="5"/>
      <c r="WZD1" s="5"/>
      <c r="WZE1" s="5"/>
      <c r="WZF1" s="5"/>
      <c r="WZG1" s="5"/>
      <c r="WZH1" s="5"/>
      <c r="WZI1" s="5"/>
      <c r="WZJ1" s="5"/>
      <c r="WZK1" s="5"/>
      <c r="WZL1" s="5"/>
      <c r="WZM1" s="5"/>
      <c r="WZN1" s="5"/>
      <c r="WZO1" s="5"/>
      <c r="WZP1" s="5"/>
      <c r="WZQ1" s="5"/>
      <c r="WZR1" s="5"/>
      <c r="WZS1" s="5"/>
      <c r="WZT1" s="5"/>
      <c r="WZU1" s="5"/>
      <c r="WZV1" s="5"/>
      <c r="WZW1" s="5"/>
      <c r="WZX1" s="5"/>
      <c r="WZY1" s="5"/>
      <c r="WZZ1" s="5"/>
      <c r="XAA1" s="5"/>
      <c r="XAB1" s="5"/>
      <c r="XAC1" s="5"/>
      <c r="XAD1" s="5"/>
      <c r="XAE1" s="5"/>
      <c r="XAF1" s="5"/>
      <c r="XAG1" s="5"/>
      <c r="XAH1" s="5"/>
      <c r="XAI1" s="5"/>
      <c r="XAJ1" s="5"/>
      <c r="XAK1" s="5"/>
      <c r="XAL1" s="5"/>
      <c r="XAM1" s="5"/>
      <c r="XAN1" s="5"/>
      <c r="XAO1" s="5"/>
      <c r="XAP1" s="5"/>
      <c r="XAQ1" s="5"/>
      <c r="XAR1" s="5"/>
      <c r="XAS1" s="5"/>
      <c r="XAT1" s="5"/>
      <c r="XAU1" s="5"/>
      <c r="XAV1" s="5"/>
      <c r="XAW1" s="5"/>
      <c r="XAX1" s="5"/>
      <c r="XAY1" s="5"/>
      <c r="XAZ1" s="5"/>
      <c r="XBA1" s="5"/>
      <c r="XBB1" s="5"/>
      <c r="XBC1" s="5"/>
      <c r="XBD1" s="5"/>
      <c r="XBE1" s="5"/>
      <c r="XBF1" s="5"/>
      <c r="XBG1" s="5"/>
      <c r="XBH1" s="5"/>
      <c r="XBI1" s="5"/>
      <c r="XBJ1" s="5"/>
      <c r="XBK1" s="5"/>
      <c r="XBL1" s="5"/>
      <c r="XBM1" s="5"/>
      <c r="XBN1" s="5"/>
      <c r="XBO1" s="5"/>
      <c r="XBP1" s="5"/>
      <c r="XBQ1" s="5"/>
      <c r="XBR1" s="5"/>
      <c r="XBS1" s="5"/>
      <c r="XBT1" s="5"/>
      <c r="XBU1" s="5"/>
      <c r="XBV1" s="5"/>
      <c r="XBW1" s="5"/>
      <c r="XBX1" s="5"/>
      <c r="XBY1" s="5"/>
      <c r="XBZ1" s="5"/>
      <c r="XCA1" s="5"/>
      <c r="XCB1" s="5"/>
      <c r="XCC1" s="5"/>
      <c r="XCD1" s="5"/>
      <c r="XCE1" s="5"/>
      <c r="XCF1" s="5"/>
      <c r="XCG1" s="5"/>
      <c r="XCH1" s="5"/>
      <c r="XCI1" s="5"/>
      <c r="XCJ1" s="5"/>
      <c r="XCK1" s="5"/>
      <c r="XCL1" s="5"/>
      <c r="XCM1" s="5"/>
      <c r="XCN1" s="5"/>
      <c r="XCO1" s="5"/>
      <c r="XCP1" s="5"/>
      <c r="XCQ1" s="5"/>
      <c r="XCR1" s="5"/>
      <c r="XCS1" s="5"/>
      <c r="XCT1" s="5"/>
      <c r="XCU1" s="5"/>
      <c r="XCV1" s="5"/>
      <c r="XCW1" s="5"/>
      <c r="XCX1" s="5"/>
      <c r="XCY1" s="5"/>
      <c r="XCZ1" s="5"/>
      <c r="XDA1" s="5"/>
      <c r="XDB1" s="5"/>
      <c r="XDC1" s="5"/>
      <c r="XDD1" s="5"/>
      <c r="XDE1" s="5"/>
      <c r="XDF1" s="5"/>
      <c r="XDG1" s="5"/>
      <c r="XDH1" s="5"/>
      <c r="XDI1" s="5"/>
      <c r="XDJ1" s="5"/>
      <c r="XDK1" s="5"/>
      <c r="XDL1" s="5"/>
      <c r="XDM1" s="5"/>
      <c r="XDN1" s="5"/>
      <c r="XDO1" s="5"/>
      <c r="XDP1" s="5"/>
      <c r="XDQ1" s="5"/>
      <c r="XDR1" s="5"/>
      <c r="XDS1" s="5"/>
      <c r="XDT1" s="5"/>
      <c r="XDU1" s="5"/>
      <c r="XDV1" s="5"/>
      <c r="XDW1" s="5"/>
      <c r="XDX1" s="5"/>
      <c r="XDY1" s="5"/>
      <c r="XDZ1" s="5"/>
      <c r="XEA1" s="5"/>
      <c r="XEB1" s="5"/>
      <c r="XEC1" s="5"/>
      <c r="XED1" s="5"/>
      <c r="XEE1" s="5"/>
      <c r="XEF1" s="5"/>
      <c r="XEG1" s="5"/>
      <c r="XEH1" s="5"/>
      <c r="XEI1" s="5"/>
      <c r="XEJ1" s="5"/>
      <c r="XEK1" s="5"/>
      <c r="XEL1" s="5"/>
      <c r="XEM1" s="5"/>
      <c r="XEN1" s="5"/>
      <c r="XEO1" s="5"/>
      <c r="XEP1" s="5"/>
      <c r="XEQ1" s="5"/>
      <c r="XER1" s="5"/>
      <c r="XES1" s="5"/>
      <c r="XET1" s="5"/>
      <c r="XEU1" s="5"/>
      <c r="XEV1" s="5"/>
      <c r="XEW1" s="5"/>
      <c r="XEX1" s="5"/>
      <c r="XEY1" s="5"/>
      <c r="XEZ1" s="5"/>
      <c r="XFA1" s="5"/>
      <c r="XFB1" s="5"/>
      <c r="XFC1" s="5"/>
      <c r="XFD1" s="5"/>
    </row>
    <row r="2" spans="1:16384" ht="15" thickTop="1" x14ac:dyDescent="0.3">
      <c r="A2" s="102" t="s">
        <v>896</v>
      </c>
      <c r="B2" s="102" t="s">
        <v>994</v>
      </c>
      <c r="C2" s="102" t="s">
        <v>8</v>
      </c>
      <c r="D2" s="106" t="s">
        <v>787</v>
      </c>
      <c r="E2" s="103">
        <v>1</v>
      </c>
      <c r="F2" s="103" t="s">
        <v>788</v>
      </c>
      <c r="G2" s="103" t="s">
        <v>789</v>
      </c>
      <c r="H2" s="103" t="s">
        <v>790</v>
      </c>
      <c r="I2" s="103"/>
      <c r="J2" s="103">
        <v>19.95</v>
      </c>
      <c r="K2" s="103" t="s">
        <v>1910</v>
      </c>
      <c r="M2" s="105">
        <f>E2*J2</f>
        <v>19.95</v>
      </c>
    </row>
    <row r="3" spans="1:16384" x14ac:dyDescent="0.3">
      <c r="A3" s="102" t="s">
        <v>896</v>
      </c>
      <c r="B3" s="102" t="s">
        <v>994</v>
      </c>
      <c r="C3" s="102" t="s">
        <v>8</v>
      </c>
      <c r="D3" s="106" t="s">
        <v>1100</v>
      </c>
      <c r="E3" s="103">
        <v>0</v>
      </c>
      <c r="F3" s="103" t="s">
        <v>1101</v>
      </c>
      <c r="G3" s="103" t="s">
        <v>1102</v>
      </c>
      <c r="H3" s="103" t="s">
        <v>1103</v>
      </c>
      <c r="I3" s="103">
        <v>1</v>
      </c>
      <c r="J3" s="103">
        <v>3.95</v>
      </c>
      <c r="K3" s="103" t="s">
        <v>1910</v>
      </c>
      <c r="L3" s="103" t="s">
        <v>1309</v>
      </c>
      <c r="M3" s="105">
        <f>E3*J3</f>
        <v>0</v>
      </c>
    </row>
    <row r="4" spans="1:16384" x14ac:dyDescent="0.3">
      <c r="A4" s="102" t="s">
        <v>896</v>
      </c>
      <c r="B4" s="102" t="s">
        <v>994</v>
      </c>
      <c r="C4" s="102" t="s">
        <v>8</v>
      </c>
      <c r="D4" s="106" t="s">
        <v>1310</v>
      </c>
      <c r="E4" s="103">
        <v>20</v>
      </c>
      <c r="F4" s="103" t="s">
        <v>1311</v>
      </c>
      <c r="G4" s="103" t="s">
        <v>1312</v>
      </c>
      <c r="H4" s="103" t="s">
        <v>1313</v>
      </c>
      <c r="I4" s="103">
        <v>1</v>
      </c>
      <c r="J4" s="103">
        <v>3.95</v>
      </c>
      <c r="K4" s="103" t="s">
        <v>1910</v>
      </c>
      <c r="L4" s="103" t="s">
        <v>1309</v>
      </c>
      <c r="M4" s="105">
        <f>E4*J4</f>
        <v>79</v>
      </c>
    </row>
    <row r="5" spans="1:16384" x14ac:dyDescent="0.3">
      <c r="A5" s="103" t="s">
        <v>896</v>
      </c>
      <c r="B5" s="103" t="s">
        <v>994</v>
      </c>
      <c r="C5" s="103" t="s">
        <v>1898</v>
      </c>
      <c r="D5" s="106" t="s">
        <v>2114</v>
      </c>
      <c r="E5" s="103">
        <v>0</v>
      </c>
      <c r="F5" s="103"/>
      <c r="G5" s="103"/>
      <c r="H5" s="102" t="s">
        <v>2115</v>
      </c>
      <c r="J5" s="102">
        <v>4</v>
      </c>
      <c r="K5" s="102" t="s">
        <v>1910</v>
      </c>
    </row>
    <row r="6" spans="1:16384" x14ac:dyDescent="0.3">
      <c r="A6" s="102" t="s">
        <v>896</v>
      </c>
      <c r="B6" s="102" t="s">
        <v>994</v>
      </c>
      <c r="C6" s="102" t="s">
        <v>8</v>
      </c>
      <c r="D6" s="106" t="s">
        <v>933</v>
      </c>
      <c r="E6" s="103">
        <v>15</v>
      </c>
      <c r="F6" s="103" t="s">
        <v>934</v>
      </c>
      <c r="G6" s="103" t="s">
        <v>935</v>
      </c>
      <c r="H6" s="103" t="s">
        <v>936</v>
      </c>
      <c r="I6" s="103">
        <v>1</v>
      </c>
      <c r="J6" s="103">
        <v>8.5</v>
      </c>
      <c r="K6" s="103" t="s">
        <v>1912</v>
      </c>
      <c r="M6" s="105">
        <f>E6*J6</f>
        <v>127.5</v>
      </c>
    </row>
    <row r="7" spans="1:16384" x14ac:dyDescent="0.3">
      <c r="A7" s="102" t="s">
        <v>896</v>
      </c>
      <c r="B7" s="102" t="s">
        <v>994</v>
      </c>
      <c r="C7" s="102" t="s">
        <v>8</v>
      </c>
      <c r="D7" s="106" t="s">
        <v>1839</v>
      </c>
      <c r="E7" s="103">
        <v>1</v>
      </c>
      <c r="F7" s="103" t="s">
        <v>1840</v>
      </c>
      <c r="G7" s="103" t="s">
        <v>1841</v>
      </c>
      <c r="H7" s="103" t="s">
        <v>1842</v>
      </c>
      <c r="I7" s="103">
        <v>1</v>
      </c>
      <c r="J7" s="103">
        <v>4.95</v>
      </c>
      <c r="K7" s="103" t="s">
        <v>1910</v>
      </c>
      <c r="M7" s="105">
        <f>E7*J7</f>
        <v>4.95</v>
      </c>
    </row>
    <row r="8" spans="1:16384" x14ac:dyDescent="0.3">
      <c r="A8" s="102" t="s">
        <v>896</v>
      </c>
      <c r="B8" s="102" t="s">
        <v>994</v>
      </c>
      <c r="C8" s="102" t="s">
        <v>8</v>
      </c>
      <c r="D8" s="106" t="s">
        <v>1847</v>
      </c>
      <c r="E8" s="103">
        <v>0</v>
      </c>
      <c r="F8" s="103" t="s">
        <v>1848</v>
      </c>
      <c r="G8" s="103" t="s">
        <v>1849</v>
      </c>
      <c r="H8" s="103" t="s">
        <v>1850</v>
      </c>
      <c r="I8" s="103"/>
      <c r="J8" s="103">
        <v>2.95</v>
      </c>
      <c r="K8" s="103" t="s">
        <v>1910</v>
      </c>
      <c r="M8" s="105">
        <f>E8*J8</f>
        <v>0</v>
      </c>
    </row>
    <row r="9" spans="1:16384" x14ac:dyDescent="0.3">
      <c r="A9" s="102" t="s">
        <v>896</v>
      </c>
      <c r="B9" s="102" t="s">
        <v>994</v>
      </c>
      <c r="C9" s="102" t="s">
        <v>8</v>
      </c>
      <c r="D9" s="106" t="s">
        <v>1771</v>
      </c>
      <c r="E9" s="103">
        <v>1</v>
      </c>
      <c r="F9" s="103" t="s">
        <v>1772</v>
      </c>
      <c r="G9" s="103" t="s">
        <v>1773</v>
      </c>
      <c r="H9" s="103" t="s">
        <v>1774</v>
      </c>
      <c r="I9" s="103">
        <v>1</v>
      </c>
      <c r="J9" s="103">
        <v>9.9499999999999993</v>
      </c>
      <c r="K9" s="103" t="s">
        <v>1910</v>
      </c>
    </row>
    <row r="10" spans="1:16384" x14ac:dyDescent="0.3">
      <c r="A10" s="103" t="s">
        <v>896</v>
      </c>
      <c r="B10" s="103" t="s">
        <v>994</v>
      </c>
      <c r="C10" s="103" t="s">
        <v>1898</v>
      </c>
      <c r="D10" s="106" t="s">
        <v>2100</v>
      </c>
      <c r="E10" s="103">
        <v>0</v>
      </c>
      <c r="F10" s="103"/>
      <c r="G10" s="103"/>
      <c r="H10" s="102" t="s">
        <v>2101</v>
      </c>
      <c r="J10" s="102">
        <v>9.9499999999999993</v>
      </c>
      <c r="K10" s="102" t="s">
        <v>1910</v>
      </c>
    </row>
    <row r="11" spans="1:16384" x14ac:dyDescent="0.3">
      <c r="A11" s="103" t="s">
        <v>896</v>
      </c>
      <c r="B11" s="103" t="s">
        <v>994</v>
      </c>
      <c r="C11" s="103" t="s">
        <v>1898</v>
      </c>
      <c r="D11" s="106" t="s">
        <v>2112</v>
      </c>
      <c r="E11" s="103">
        <v>0</v>
      </c>
      <c r="F11" s="103"/>
      <c r="G11" s="103"/>
      <c r="H11" s="102" t="s">
        <v>2113</v>
      </c>
      <c r="J11" s="102">
        <v>14.95</v>
      </c>
      <c r="K11" s="102" t="s">
        <v>1910</v>
      </c>
    </row>
    <row r="12" spans="1:16384" x14ac:dyDescent="0.3">
      <c r="A12" s="103" t="s">
        <v>896</v>
      </c>
      <c r="B12" s="103" t="s">
        <v>994</v>
      </c>
      <c r="C12" s="103" t="s">
        <v>1898</v>
      </c>
      <c r="D12" s="106" t="s">
        <v>2104</v>
      </c>
      <c r="E12" s="103">
        <v>0</v>
      </c>
      <c r="F12" s="103"/>
      <c r="G12" s="103"/>
      <c r="H12" s="102" t="s">
        <v>2105</v>
      </c>
      <c r="J12" s="102">
        <v>14.95</v>
      </c>
      <c r="K12" s="102" t="s">
        <v>1910</v>
      </c>
    </row>
    <row r="13" spans="1:16384" x14ac:dyDescent="0.3">
      <c r="A13" s="103" t="s">
        <v>896</v>
      </c>
      <c r="B13" s="103" t="s">
        <v>994</v>
      </c>
      <c r="C13" s="103" t="s">
        <v>1898</v>
      </c>
      <c r="D13" s="106" t="s">
        <v>2102</v>
      </c>
      <c r="E13" s="103">
        <v>0</v>
      </c>
      <c r="F13" s="103"/>
      <c r="G13" s="103"/>
      <c r="H13" s="102" t="s">
        <v>2103</v>
      </c>
      <c r="J13" s="102">
        <v>19.95</v>
      </c>
      <c r="K13" s="102" t="s">
        <v>1910</v>
      </c>
    </row>
    <row r="14" spans="1:16384" x14ac:dyDescent="0.3">
      <c r="A14" s="103" t="s">
        <v>896</v>
      </c>
      <c r="B14" s="103" t="s">
        <v>994</v>
      </c>
      <c r="C14" s="103" t="s">
        <v>1898</v>
      </c>
      <c r="D14" s="106" t="s">
        <v>2106</v>
      </c>
      <c r="E14" s="103">
        <v>0</v>
      </c>
      <c r="F14" s="103"/>
      <c r="G14" s="103"/>
      <c r="H14" s="102" t="s">
        <v>2107</v>
      </c>
      <c r="J14" s="102">
        <v>0.75</v>
      </c>
      <c r="K14" s="102" t="s">
        <v>1910</v>
      </c>
    </row>
    <row r="15" spans="1:16384" x14ac:dyDescent="0.3">
      <c r="A15" s="103" t="s">
        <v>896</v>
      </c>
      <c r="B15" s="103" t="s">
        <v>994</v>
      </c>
      <c r="C15" s="103" t="s">
        <v>1898</v>
      </c>
      <c r="D15" s="106" t="s">
        <v>2108</v>
      </c>
      <c r="E15" s="103">
        <v>0</v>
      </c>
      <c r="F15" s="103"/>
      <c r="G15" s="103"/>
      <c r="H15" s="102" t="s">
        <v>2109</v>
      </c>
      <c r="J15" s="102">
        <v>0.95</v>
      </c>
      <c r="K15" s="102" t="s">
        <v>1910</v>
      </c>
    </row>
    <row r="16" spans="1:16384" x14ac:dyDescent="0.3">
      <c r="A16" s="103" t="s">
        <v>896</v>
      </c>
      <c r="B16" s="103" t="s">
        <v>994</v>
      </c>
      <c r="C16" s="103" t="s">
        <v>1898</v>
      </c>
      <c r="D16" s="106" t="s">
        <v>2110</v>
      </c>
      <c r="E16" s="103">
        <v>0</v>
      </c>
      <c r="F16" s="103"/>
      <c r="G16" s="103"/>
      <c r="H16" s="102" t="s">
        <v>2111</v>
      </c>
      <c r="J16" s="102">
        <v>0.95</v>
      </c>
      <c r="K16" s="102" t="s">
        <v>1910</v>
      </c>
    </row>
    <row r="17" spans="1:13" x14ac:dyDescent="0.3">
      <c r="A17" s="102" t="s">
        <v>896</v>
      </c>
      <c r="B17" s="102" t="s">
        <v>994</v>
      </c>
      <c r="C17" s="102" t="s">
        <v>8</v>
      </c>
      <c r="D17" s="106" t="s">
        <v>945</v>
      </c>
      <c r="E17" s="103">
        <v>4</v>
      </c>
      <c r="F17" s="103" t="s">
        <v>946</v>
      </c>
      <c r="G17" s="103" t="s">
        <v>947</v>
      </c>
      <c r="H17" s="103" t="s">
        <v>948</v>
      </c>
      <c r="I17" s="103">
        <v>1</v>
      </c>
      <c r="J17" s="103">
        <v>7.95</v>
      </c>
      <c r="K17" s="103" t="s">
        <v>1910</v>
      </c>
      <c r="M17" s="105">
        <f>E17*J17</f>
        <v>31.8</v>
      </c>
    </row>
    <row r="18" spans="1:13" x14ac:dyDescent="0.3">
      <c r="A18" s="102" t="s">
        <v>896</v>
      </c>
      <c r="B18" s="102" t="s">
        <v>994</v>
      </c>
      <c r="C18" s="102" t="s">
        <v>8</v>
      </c>
      <c r="D18" s="106" t="s">
        <v>941</v>
      </c>
      <c r="E18" s="103">
        <v>10</v>
      </c>
      <c r="F18" s="103" t="s">
        <v>942</v>
      </c>
      <c r="G18" s="103" t="s">
        <v>943</v>
      </c>
      <c r="H18" s="103" t="s">
        <v>944</v>
      </c>
      <c r="I18" s="103">
        <v>1</v>
      </c>
      <c r="J18" s="103">
        <v>7.95</v>
      </c>
      <c r="K18" s="103" t="s">
        <v>1912</v>
      </c>
      <c r="M18" s="105">
        <f>E18*J18</f>
        <v>79.5</v>
      </c>
    </row>
    <row r="19" spans="1:13" x14ac:dyDescent="0.3">
      <c r="A19" s="102" t="s">
        <v>896</v>
      </c>
      <c r="B19" s="102" t="s">
        <v>1301</v>
      </c>
      <c r="C19" s="102" t="s">
        <v>8</v>
      </c>
      <c r="D19" s="106" t="s">
        <v>639</v>
      </c>
      <c r="E19" s="103">
        <v>5</v>
      </c>
      <c r="F19" s="103" t="s">
        <v>640</v>
      </c>
      <c r="G19" s="103" t="s">
        <v>641</v>
      </c>
      <c r="H19" s="103" t="s">
        <v>642</v>
      </c>
      <c r="I19" s="103"/>
      <c r="J19" s="103">
        <v>8.9499999999999993</v>
      </c>
      <c r="K19" s="103" t="s">
        <v>1912</v>
      </c>
      <c r="M19" s="105">
        <f>E19*J19</f>
        <v>44.75</v>
      </c>
    </row>
    <row r="20" spans="1:13" x14ac:dyDescent="0.3">
      <c r="A20" s="102" t="s">
        <v>896</v>
      </c>
      <c r="B20" s="102" t="s">
        <v>1301</v>
      </c>
      <c r="C20" s="102" t="s">
        <v>8</v>
      </c>
      <c r="D20" s="106" t="s">
        <v>659</v>
      </c>
      <c r="E20" s="103">
        <v>5</v>
      </c>
      <c r="F20" s="103" t="s">
        <v>660</v>
      </c>
      <c r="G20" s="103" t="s">
        <v>661</v>
      </c>
      <c r="H20" s="103" t="s">
        <v>662</v>
      </c>
      <c r="I20" s="103"/>
      <c r="J20" s="103">
        <v>11.95</v>
      </c>
      <c r="K20" s="103" t="s">
        <v>1912</v>
      </c>
      <c r="M20" s="105">
        <f>E20*J20</f>
        <v>59.75</v>
      </c>
    </row>
    <row r="21" spans="1:13" x14ac:dyDescent="0.3">
      <c r="A21" s="102" t="s">
        <v>896</v>
      </c>
      <c r="B21" s="102" t="s">
        <v>1301</v>
      </c>
      <c r="C21" s="102" t="s">
        <v>8</v>
      </c>
      <c r="D21" s="106" t="s">
        <v>1104</v>
      </c>
      <c r="E21" s="103">
        <v>1</v>
      </c>
      <c r="F21" s="103" t="s">
        <v>1105</v>
      </c>
      <c r="G21" s="103" t="s">
        <v>1106</v>
      </c>
      <c r="H21" s="103" t="s">
        <v>1107</v>
      </c>
      <c r="I21" s="103">
        <v>1</v>
      </c>
      <c r="J21" s="103">
        <v>0.1</v>
      </c>
      <c r="K21" s="103" t="s">
        <v>1910</v>
      </c>
      <c r="M21" s="105">
        <f>E21*J21</f>
        <v>0.1</v>
      </c>
    </row>
    <row r="22" spans="1:13" x14ac:dyDescent="0.3">
      <c r="A22" s="106" t="s">
        <v>17</v>
      </c>
      <c r="B22" s="106" t="s">
        <v>1301</v>
      </c>
      <c r="C22" s="106" t="s">
        <v>1898</v>
      </c>
      <c r="D22" s="106" t="s">
        <v>2093</v>
      </c>
      <c r="E22" s="104">
        <v>0</v>
      </c>
      <c r="F22" s="103"/>
      <c r="G22" s="103"/>
      <c r="H22" s="102" t="s">
        <v>2092</v>
      </c>
      <c r="J22" s="102">
        <v>7.5</v>
      </c>
      <c r="K22" s="107" t="s">
        <v>1910</v>
      </c>
    </row>
    <row r="23" spans="1:13" x14ac:dyDescent="0.3">
      <c r="A23" s="106" t="s">
        <v>17</v>
      </c>
      <c r="B23" s="106" t="s">
        <v>1301</v>
      </c>
      <c r="C23" s="106" t="s">
        <v>1898</v>
      </c>
      <c r="D23" s="106" t="s">
        <v>2091</v>
      </c>
      <c r="E23" s="104">
        <v>0</v>
      </c>
      <c r="F23" s="103"/>
      <c r="G23" s="103"/>
      <c r="H23" s="102" t="s">
        <v>2090</v>
      </c>
      <c r="J23" s="102">
        <v>5.95</v>
      </c>
      <c r="K23" s="107" t="s">
        <v>1910</v>
      </c>
    </row>
    <row r="24" spans="1:13" x14ac:dyDescent="0.3">
      <c r="A24" s="102" t="s">
        <v>896</v>
      </c>
      <c r="B24" s="102" t="s">
        <v>890</v>
      </c>
      <c r="C24" s="102" t="s">
        <v>8</v>
      </c>
      <c r="D24" s="106" t="s">
        <v>647</v>
      </c>
      <c r="E24" s="103">
        <v>5</v>
      </c>
      <c r="F24" s="103" t="s">
        <v>648</v>
      </c>
      <c r="G24" s="103" t="s">
        <v>649</v>
      </c>
      <c r="H24" s="103" t="s">
        <v>650</v>
      </c>
      <c r="I24" s="103">
        <v>1</v>
      </c>
      <c r="J24" s="103">
        <v>0.95</v>
      </c>
      <c r="K24" s="103" t="s">
        <v>1912</v>
      </c>
      <c r="M24" s="105">
        <f>E24*J24</f>
        <v>4.75</v>
      </c>
    </row>
    <row r="25" spans="1:13" x14ac:dyDescent="0.3">
      <c r="A25" s="102" t="s">
        <v>896</v>
      </c>
      <c r="B25" s="102" t="s">
        <v>890</v>
      </c>
      <c r="C25" s="102" t="s">
        <v>8</v>
      </c>
      <c r="D25" s="106" t="s">
        <v>655</v>
      </c>
      <c r="E25" s="103">
        <v>4</v>
      </c>
      <c r="F25" s="103" t="s">
        <v>656</v>
      </c>
      <c r="G25" s="103" t="s">
        <v>657</v>
      </c>
      <c r="H25" s="103" t="s">
        <v>658</v>
      </c>
      <c r="I25" s="103">
        <v>1</v>
      </c>
      <c r="J25" s="103">
        <v>0.95</v>
      </c>
      <c r="K25" s="103" t="s">
        <v>1912</v>
      </c>
      <c r="M25" s="105">
        <f>E25*J25</f>
        <v>3.8</v>
      </c>
    </row>
    <row r="26" spans="1:13" x14ac:dyDescent="0.3">
      <c r="A26" s="103" t="s">
        <v>896</v>
      </c>
      <c r="B26" s="103" t="s">
        <v>890</v>
      </c>
      <c r="C26" s="103" t="s">
        <v>1898</v>
      </c>
      <c r="D26" s="106" t="s">
        <v>2116</v>
      </c>
      <c r="E26" s="103">
        <v>0</v>
      </c>
      <c r="F26" s="103"/>
      <c r="G26" s="103"/>
      <c r="H26" s="102" t="s">
        <v>2117</v>
      </c>
      <c r="J26" s="102">
        <v>0.95</v>
      </c>
      <c r="K26" s="102" t="s">
        <v>1910</v>
      </c>
    </row>
    <row r="27" spans="1:13" x14ac:dyDescent="0.3">
      <c r="A27" s="102" t="s">
        <v>896</v>
      </c>
      <c r="B27" s="102" t="s">
        <v>890</v>
      </c>
      <c r="C27" s="102" t="s">
        <v>8</v>
      </c>
      <c r="D27" s="106" t="s">
        <v>1248</v>
      </c>
      <c r="E27" s="103">
        <v>2</v>
      </c>
      <c r="F27" s="103" t="s">
        <v>1249</v>
      </c>
      <c r="G27" s="103" t="s">
        <v>1250</v>
      </c>
      <c r="H27" s="103" t="s">
        <v>1251</v>
      </c>
      <c r="I27" s="103">
        <v>1</v>
      </c>
      <c r="J27" s="103">
        <v>7.95</v>
      </c>
      <c r="K27" s="103" t="s">
        <v>1910</v>
      </c>
      <c r="M27" s="105">
        <f>E27*J27</f>
        <v>15.9</v>
      </c>
    </row>
    <row r="28" spans="1:13" x14ac:dyDescent="0.3">
      <c r="A28" s="118" t="s">
        <v>896</v>
      </c>
      <c r="B28" s="118" t="s">
        <v>890</v>
      </c>
      <c r="C28" s="118" t="s">
        <v>1898</v>
      </c>
      <c r="D28" s="118" t="s">
        <v>2479</v>
      </c>
      <c r="E28" s="118">
        <v>0</v>
      </c>
      <c r="H28" s="118" t="s">
        <v>2478</v>
      </c>
      <c r="I28" s="120">
        <v>115</v>
      </c>
      <c r="J28" s="118">
        <v>4.95</v>
      </c>
      <c r="K28" s="102" t="s">
        <v>1910</v>
      </c>
    </row>
    <row r="29" spans="1:13" x14ac:dyDescent="0.3">
      <c r="A29" s="102" t="s">
        <v>896</v>
      </c>
      <c r="B29" s="102" t="s">
        <v>2026</v>
      </c>
      <c r="C29" s="102" t="s">
        <v>8</v>
      </c>
      <c r="D29" s="106" t="s">
        <v>1256</v>
      </c>
      <c r="E29" s="103">
        <v>1</v>
      </c>
      <c r="F29" s="103" t="s">
        <v>1257</v>
      </c>
      <c r="G29" s="103" t="s">
        <v>1258</v>
      </c>
      <c r="H29" s="103" t="s">
        <v>1259</v>
      </c>
      <c r="I29" s="103"/>
      <c r="J29" s="103">
        <v>34.950000000000003</v>
      </c>
      <c r="K29" s="103" t="s">
        <v>1910</v>
      </c>
      <c r="M29" s="105">
        <f>E29*J29</f>
        <v>34.950000000000003</v>
      </c>
    </row>
    <row r="30" spans="1:13" x14ac:dyDescent="0.3">
      <c r="A30" s="102" t="s">
        <v>896</v>
      </c>
      <c r="B30" s="102" t="s">
        <v>2026</v>
      </c>
      <c r="C30" s="102" t="s">
        <v>8</v>
      </c>
      <c r="D30" s="106" t="s">
        <v>1260</v>
      </c>
      <c r="E30" s="103">
        <v>0</v>
      </c>
      <c r="F30" s="103" t="s">
        <v>1261</v>
      </c>
      <c r="G30" s="103" t="s">
        <v>1262</v>
      </c>
      <c r="H30" s="103" t="s">
        <v>1263</v>
      </c>
      <c r="I30" s="103">
        <v>1</v>
      </c>
      <c r="J30" s="103">
        <v>9.9499999999999993</v>
      </c>
      <c r="K30" s="103" t="s">
        <v>1910</v>
      </c>
      <c r="M30" s="105">
        <f>E30*J30</f>
        <v>0</v>
      </c>
    </row>
    <row r="31" spans="1:13" x14ac:dyDescent="0.3">
      <c r="A31" s="103" t="s">
        <v>896</v>
      </c>
      <c r="B31" s="103" t="s">
        <v>2026</v>
      </c>
      <c r="C31" s="103" t="s">
        <v>1898</v>
      </c>
      <c r="D31" s="106" t="s">
        <v>2120</v>
      </c>
      <c r="E31" s="103">
        <v>3</v>
      </c>
      <c r="F31" s="103"/>
      <c r="G31" s="103"/>
      <c r="H31" s="102" t="s">
        <v>2121</v>
      </c>
      <c r="J31" s="102">
        <v>4.95</v>
      </c>
      <c r="K31" s="102" t="s">
        <v>1910</v>
      </c>
    </row>
    <row r="32" spans="1:13" x14ac:dyDescent="0.3">
      <c r="A32" s="103" t="s">
        <v>896</v>
      </c>
      <c r="B32" s="103" t="s">
        <v>2026</v>
      </c>
      <c r="C32" s="103" t="s">
        <v>1898</v>
      </c>
      <c r="D32" s="106" t="s">
        <v>2122</v>
      </c>
      <c r="E32" s="103">
        <v>1</v>
      </c>
      <c r="F32" s="103"/>
      <c r="G32" s="103"/>
      <c r="H32" s="102" t="s">
        <v>2123</v>
      </c>
      <c r="J32" s="102">
        <v>17.95</v>
      </c>
      <c r="K32" s="102" t="s">
        <v>1910</v>
      </c>
    </row>
    <row r="33" spans="1:13" x14ac:dyDescent="0.3">
      <c r="A33" s="102" t="s">
        <v>896</v>
      </c>
      <c r="B33" s="102" t="s">
        <v>1302</v>
      </c>
      <c r="C33" s="102" t="s">
        <v>8</v>
      </c>
      <c r="D33" s="106" t="s">
        <v>1088</v>
      </c>
      <c r="E33" s="103">
        <v>3</v>
      </c>
      <c r="F33" s="103" t="s">
        <v>1089</v>
      </c>
      <c r="G33" s="103" t="s">
        <v>1090</v>
      </c>
      <c r="H33" s="103" t="s">
        <v>1091</v>
      </c>
      <c r="I33" s="103">
        <v>1</v>
      </c>
      <c r="J33" s="103">
        <v>1.95</v>
      </c>
      <c r="K33" s="103" t="s">
        <v>1910</v>
      </c>
      <c r="L33" s="103" t="s">
        <v>1210</v>
      </c>
      <c r="M33" s="105">
        <f>E33*J33</f>
        <v>5.85</v>
      </c>
    </row>
    <row r="34" spans="1:13" x14ac:dyDescent="0.3">
      <c r="A34" s="102" t="s">
        <v>896</v>
      </c>
      <c r="B34" s="102" t="s">
        <v>1302</v>
      </c>
      <c r="C34" s="102" t="s">
        <v>8</v>
      </c>
      <c r="D34" s="106" t="s">
        <v>1268</v>
      </c>
      <c r="E34" s="103">
        <v>3</v>
      </c>
      <c r="F34" s="103" t="s">
        <v>1269</v>
      </c>
      <c r="G34" s="103" t="s">
        <v>1270</v>
      </c>
      <c r="H34" s="103" t="s">
        <v>1271</v>
      </c>
      <c r="I34" s="103"/>
      <c r="J34" s="103">
        <v>1.5</v>
      </c>
      <c r="K34" s="103" t="s">
        <v>1910</v>
      </c>
      <c r="M34" s="105">
        <f>E34*J34</f>
        <v>4.5</v>
      </c>
    </row>
    <row r="35" spans="1:13" x14ac:dyDescent="0.3">
      <c r="A35" s="102" t="s">
        <v>896</v>
      </c>
      <c r="B35" s="102" t="s">
        <v>1302</v>
      </c>
      <c r="C35" s="102" t="s">
        <v>8</v>
      </c>
      <c r="D35" s="106" t="s">
        <v>1084</v>
      </c>
      <c r="E35" s="103">
        <v>3</v>
      </c>
      <c r="F35" s="103" t="s">
        <v>1085</v>
      </c>
      <c r="G35" s="103" t="s">
        <v>1086</v>
      </c>
      <c r="H35" s="103" t="s">
        <v>1087</v>
      </c>
      <c r="I35" s="103">
        <v>1</v>
      </c>
      <c r="J35" s="103">
        <v>0.95</v>
      </c>
      <c r="K35" s="103" t="s">
        <v>1910</v>
      </c>
      <c r="L35" s="103" t="s">
        <v>1210</v>
      </c>
      <c r="M35" s="105">
        <f>E35*J35</f>
        <v>2.8499999999999996</v>
      </c>
    </row>
    <row r="36" spans="1:13" x14ac:dyDescent="0.3">
      <c r="A36" s="103" t="s">
        <v>896</v>
      </c>
      <c r="B36" s="103" t="s">
        <v>1302</v>
      </c>
      <c r="C36" s="103" t="s">
        <v>1898</v>
      </c>
      <c r="D36" s="106" t="s">
        <v>2118</v>
      </c>
      <c r="E36" s="103">
        <v>10</v>
      </c>
      <c r="F36" s="103"/>
      <c r="G36" s="103"/>
      <c r="H36" s="102" t="s">
        <v>2119</v>
      </c>
      <c r="J36" s="102">
        <v>0.75</v>
      </c>
      <c r="K36" s="102" t="s">
        <v>1910</v>
      </c>
    </row>
    <row r="37" spans="1:13" x14ac:dyDescent="0.3">
      <c r="A37" s="102" t="s">
        <v>896</v>
      </c>
      <c r="B37" s="102" t="s">
        <v>1302</v>
      </c>
      <c r="C37" s="102" t="s">
        <v>8</v>
      </c>
      <c r="D37" s="106" t="s">
        <v>1264</v>
      </c>
      <c r="E37" s="103">
        <v>2</v>
      </c>
      <c r="F37" s="103" t="s">
        <v>1265</v>
      </c>
      <c r="G37" s="103" t="s">
        <v>1266</v>
      </c>
      <c r="H37" s="103" t="s">
        <v>1267</v>
      </c>
      <c r="I37" s="103">
        <v>1</v>
      </c>
      <c r="J37" s="103">
        <v>1.95</v>
      </c>
      <c r="K37" s="103" t="s">
        <v>1910</v>
      </c>
      <c r="M37" s="105">
        <f t="shared" ref="M37:M46" si="0">E37*J37</f>
        <v>3.9</v>
      </c>
    </row>
    <row r="38" spans="1:13" x14ac:dyDescent="0.3">
      <c r="A38" s="102" t="s">
        <v>896</v>
      </c>
      <c r="B38" s="102" t="s">
        <v>1302</v>
      </c>
      <c r="C38" s="102" t="s">
        <v>8</v>
      </c>
      <c r="D38" s="106" t="s">
        <v>1080</v>
      </c>
      <c r="E38" s="103">
        <v>3</v>
      </c>
      <c r="F38" s="103" t="s">
        <v>1081</v>
      </c>
      <c r="G38" s="103" t="s">
        <v>1082</v>
      </c>
      <c r="H38" s="103" t="s">
        <v>1083</v>
      </c>
      <c r="I38" s="103"/>
      <c r="J38" s="103">
        <v>3.95</v>
      </c>
      <c r="K38" s="103" t="s">
        <v>1910</v>
      </c>
      <c r="M38" s="105">
        <f t="shared" si="0"/>
        <v>11.850000000000001</v>
      </c>
    </row>
    <row r="39" spans="1:13" x14ac:dyDescent="0.3">
      <c r="A39" s="102" t="s">
        <v>896</v>
      </c>
      <c r="B39" s="102" t="s">
        <v>995</v>
      </c>
      <c r="C39" s="102" t="s">
        <v>8</v>
      </c>
      <c r="D39" s="106" t="s">
        <v>643</v>
      </c>
      <c r="E39" s="103">
        <v>3</v>
      </c>
      <c r="F39" s="103" t="s">
        <v>644</v>
      </c>
      <c r="G39" s="103" t="s">
        <v>645</v>
      </c>
      <c r="H39" s="103" t="s">
        <v>646</v>
      </c>
      <c r="I39" s="103"/>
      <c r="J39" s="103">
        <v>3.95</v>
      </c>
      <c r="K39" s="103" t="s">
        <v>1910</v>
      </c>
      <c r="M39" s="105">
        <f t="shared" si="0"/>
        <v>11.850000000000001</v>
      </c>
    </row>
    <row r="40" spans="1:13" x14ac:dyDescent="0.3">
      <c r="A40" s="102" t="s">
        <v>896</v>
      </c>
      <c r="B40" s="102" t="s">
        <v>995</v>
      </c>
      <c r="C40" s="102" t="s">
        <v>8</v>
      </c>
      <c r="D40" s="106" t="s">
        <v>651</v>
      </c>
      <c r="E40" s="103">
        <v>5</v>
      </c>
      <c r="F40" s="103" t="s">
        <v>652</v>
      </c>
      <c r="G40" s="103" t="s">
        <v>653</v>
      </c>
      <c r="H40" s="103" t="s">
        <v>654</v>
      </c>
      <c r="I40" s="103">
        <v>1</v>
      </c>
      <c r="J40" s="103">
        <v>2.95</v>
      </c>
      <c r="K40" s="103" t="s">
        <v>1910</v>
      </c>
      <c r="M40" s="105">
        <f t="shared" si="0"/>
        <v>14.75</v>
      </c>
    </row>
    <row r="41" spans="1:13" x14ac:dyDescent="0.3">
      <c r="A41" s="102" t="s">
        <v>896</v>
      </c>
      <c r="B41" s="102" t="s">
        <v>995</v>
      </c>
      <c r="C41" s="102" t="s">
        <v>8</v>
      </c>
      <c r="D41" s="106" t="s">
        <v>707</v>
      </c>
      <c r="E41" s="103">
        <v>5</v>
      </c>
      <c r="F41" s="103" t="s">
        <v>708</v>
      </c>
      <c r="G41" s="103" t="s">
        <v>709</v>
      </c>
      <c r="H41" s="103" t="s">
        <v>710</v>
      </c>
      <c r="I41" s="103">
        <v>1</v>
      </c>
      <c r="J41" s="103">
        <v>1.5</v>
      </c>
      <c r="K41" s="103" t="s">
        <v>1910</v>
      </c>
      <c r="M41" s="105">
        <f t="shared" si="0"/>
        <v>7.5</v>
      </c>
    </row>
    <row r="42" spans="1:13" x14ac:dyDescent="0.3">
      <c r="A42" s="102" t="s">
        <v>896</v>
      </c>
      <c r="B42" s="102" t="s">
        <v>995</v>
      </c>
      <c r="C42" s="102" t="s">
        <v>8</v>
      </c>
      <c r="D42" s="106" t="s">
        <v>909</v>
      </c>
      <c r="E42" s="103">
        <v>3</v>
      </c>
      <c r="F42" s="103" t="s">
        <v>910</v>
      </c>
      <c r="G42" s="103" t="s">
        <v>911</v>
      </c>
      <c r="H42" s="103" t="s">
        <v>912</v>
      </c>
      <c r="I42" s="103">
        <v>1</v>
      </c>
      <c r="J42" s="103">
        <v>3.95</v>
      </c>
      <c r="K42" s="103" t="s">
        <v>1910</v>
      </c>
      <c r="M42" s="105">
        <f t="shared" si="0"/>
        <v>11.850000000000001</v>
      </c>
    </row>
    <row r="43" spans="1:13" x14ac:dyDescent="0.3">
      <c r="A43" s="102" t="s">
        <v>896</v>
      </c>
      <c r="B43" s="102" t="s">
        <v>995</v>
      </c>
      <c r="C43" s="102" t="s">
        <v>8</v>
      </c>
      <c r="D43" s="106" t="s">
        <v>913</v>
      </c>
      <c r="E43" s="103">
        <v>5</v>
      </c>
      <c r="F43" s="103" t="s">
        <v>914</v>
      </c>
      <c r="G43" s="103" t="s">
        <v>915</v>
      </c>
      <c r="H43" s="103" t="s">
        <v>916</v>
      </c>
      <c r="I43" s="103">
        <v>1</v>
      </c>
      <c r="J43" s="103">
        <v>0.46</v>
      </c>
      <c r="K43" s="103" t="s">
        <v>1910</v>
      </c>
      <c r="M43" s="105">
        <f t="shared" si="0"/>
        <v>2.3000000000000003</v>
      </c>
    </row>
    <row r="44" spans="1:13" x14ac:dyDescent="0.3">
      <c r="A44" s="102" t="s">
        <v>896</v>
      </c>
      <c r="B44" s="102" t="s">
        <v>995</v>
      </c>
      <c r="C44" s="102" t="s">
        <v>8</v>
      </c>
      <c r="D44" s="106" t="s">
        <v>937</v>
      </c>
      <c r="E44" s="103">
        <v>10</v>
      </c>
      <c r="F44" s="103" t="s">
        <v>938</v>
      </c>
      <c r="G44" s="103" t="s">
        <v>939</v>
      </c>
      <c r="H44" s="103" t="s">
        <v>940</v>
      </c>
      <c r="I44" s="103">
        <v>1</v>
      </c>
      <c r="J44" s="103">
        <v>3.95</v>
      </c>
      <c r="K44" s="103" t="s">
        <v>1910</v>
      </c>
      <c r="M44" s="105">
        <f t="shared" si="0"/>
        <v>39.5</v>
      </c>
    </row>
    <row r="45" spans="1:13" x14ac:dyDescent="0.3">
      <c r="A45" s="102" t="s">
        <v>896</v>
      </c>
      <c r="B45" s="102" t="s">
        <v>1303</v>
      </c>
      <c r="C45" s="102" t="s">
        <v>8</v>
      </c>
      <c r="D45" s="106" t="s">
        <v>1240</v>
      </c>
      <c r="E45" s="103">
        <v>1</v>
      </c>
      <c r="F45" s="103" t="s">
        <v>1241</v>
      </c>
      <c r="G45" s="103" t="s">
        <v>1242</v>
      </c>
      <c r="H45" s="103" t="s">
        <v>1243</v>
      </c>
      <c r="I45" s="103">
        <v>1</v>
      </c>
      <c r="J45" s="103">
        <v>2.95</v>
      </c>
      <c r="K45" s="103" t="s">
        <v>1910</v>
      </c>
      <c r="M45" s="105">
        <f t="shared" si="0"/>
        <v>2.95</v>
      </c>
    </row>
    <row r="46" spans="1:13" x14ac:dyDescent="0.3">
      <c r="A46" s="102" t="s">
        <v>896</v>
      </c>
      <c r="B46" s="102" t="s">
        <v>1303</v>
      </c>
      <c r="C46" s="102" t="s">
        <v>8</v>
      </c>
      <c r="D46" s="106" t="s">
        <v>1244</v>
      </c>
      <c r="E46" s="103">
        <v>1</v>
      </c>
      <c r="F46" s="103" t="s">
        <v>1245</v>
      </c>
      <c r="G46" s="103" t="s">
        <v>1246</v>
      </c>
      <c r="H46" s="103" t="s">
        <v>1247</v>
      </c>
      <c r="I46" s="103">
        <v>1</v>
      </c>
      <c r="J46" s="103">
        <v>3.95</v>
      </c>
      <c r="K46" s="103" t="s">
        <v>1910</v>
      </c>
      <c r="M46" s="105">
        <f t="shared" si="0"/>
        <v>3.95</v>
      </c>
    </row>
    <row r="47" spans="1:13" x14ac:dyDescent="0.3">
      <c r="A47" s="102">
        <f>COUNTA(A2:A46)</f>
        <v>45</v>
      </c>
      <c r="E47" s="105">
        <f>SUM(E2:E46)</f>
        <v>136</v>
      </c>
      <c r="J47" s="102">
        <f>AVERAGE(J2:J46)</f>
        <v>6.4279999999999946</v>
      </c>
      <c r="M47" s="105">
        <f>SUM(M2:M46)</f>
        <v>630.30000000000007</v>
      </c>
    </row>
    <row r="51" spans="1:11" x14ac:dyDescent="0.3">
      <c r="A51" s="103"/>
      <c r="B51" s="103"/>
      <c r="C51" s="103"/>
      <c r="D51" s="106"/>
      <c r="E51" s="103"/>
      <c r="F51" s="103"/>
      <c r="G51" s="103"/>
    </row>
    <row r="52" spans="1:11" x14ac:dyDescent="0.3">
      <c r="A52" s="103"/>
      <c r="B52" s="103"/>
      <c r="C52" s="103"/>
      <c r="D52" s="106"/>
      <c r="E52" s="103"/>
      <c r="F52" s="103"/>
      <c r="G52" s="103"/>
    </row>
    <row r="53" spans="1:11" x14ac:dyDescent="0.3">
      <c r="A53" s="103"/>
      <c r="B53" s="103"/>
      <c r="C53" s="103"/>
      <c r="D53" s="106"/>
      <c r="E53" s="103"/>
      <c r="F53" s="103"/>
      <c r="G53" s="103"/>
    </row>
    <row r="54" spans="1:11" x14ac:dyDescent="0.3">
      <c r="A54" s="103"/>
      <c r="B54" s="103"/>
      <c r="C54" s="103"/>
      <c r="D54" s="106"/>
      <c r="E54" s="103"/>
      <c r="F54" s="103"/>
      <c r="G54" s="103"/>
    </row>
    <row r="55" spans="1:11" x14ac:dyDescent="0.3">
      <c r="A55" s="103"/>
      <c r="B55" s="103"/>
      <c r="C55" s="103"/>
      <c r="D55" s="106"/>
      <c r="E55" s="103"/>
      <c r="F55" s="103"/>
      <c r="G55" s="103"/>
    </row>
    <row r="56" spans="1:11" x14ac:dyDescent="0.3">
      <c r="A56" s="103"/>
      <c r="B56" s="103"/>
      <c r="C56" s="103"/>
      <c r="D56" s="106"/>
      <c r="E56" s="103"/>
      <c r="F56" s="103"/>
      <c r="G56" s="103"/>
    </row>
    <row r="57" spans="1:11" x14ac:dyDescent="0.3">
      <c r="A57" s="103"/>
      <c r="B57" s="103"/>
      <c r="C57" s="103"/>
      <c r="D57" s="106"/>
      <c r="E57" s="103"/>
      <c r="F57" s="103"/>
      <c r="G57" s="103"/>
    </row>
    <row r="58" spans="1:11" x14ac:dyDescent="0.3">
      <c r="A58" s="103"/>
      <c r="B58" s="103"/>
      <c r="C58" s="103"/>
      <c r="D58" s="106"/>
      <c r="E58" s="103"/>
      <c r="F58" s="103"/>
      <c r="G58" s="103"/>
    </row>
    <row r="59" spans="1:11" x14ac:dyDescent="0.3">
      <c r="A59" s="103"/>
      <c r="B59" s="103"/>
      <c r="C59" s="103"/>
      <c r="D59" s="106"/>
      <c r="E59" s="103"/>
      <c r="F59" s="103"/>
      <c r="G59" s="103"/>
    </row>
    <row r="61" spans="1:11" x14ac:dyDescent="0.3">
      <c r="D61" s="106"/>
      <c r="E61" s="103"/>
      <c r="F61" s="103"/>
      <c r="G61" s="103"/>
      <c r="H61" s="103"/>
      <c r="I61" s="103"/>
      <c r="J61" s="103"/>
      <c r="K61" s="103"/>
    </row>
    <row r="62" spans="1:11" x14ac:dyDescent="0.3">
      <c r="D62" s="106"/>
      <c r="E62" s="103"/>
      <c r="F62" s="103"/>
      <c r="G62" s="103"/>
      <c r="H62" s="103"/>
      <c r="I62" s="103"/>
      <c r="J62" s="103"/>
      <c r="K62" s="103"/>
    </row>
    <row r="63" spans="1:11" x14ac:dyDescent="0.3">
      <c r="D63" s="106"/>
      <c r="E63" s="103"/>
      <c r="F63" s="103"/>
      <c r="G63" s="103"/>
      <c r="H63" s="103"/>
      <c r="I63" s="103"/>
      <c r="J63" s="103"/>
      <c r="K63" s="103"/>
    </row>
    <row r="64" spans="1:11" x14ac:dyDescent="0.3">
      <c r="D64" s="106"/>
      <c r="E64" s="103"/>
      <c r="F64" s="103"/>
      <c r="G64" s="103"/>
      <c r="H64" s="103"/>
      <c r="I64" s="103"/>
      <c r="J64" s="103"/>
      <c r="K64" s="103"/>
    </row>
    <row r="65" spans="4:11" s="105" customFormat="1" x14ac:dyDescent="0.3">
      <c r="D65" s="106"/>
      <c r="E65" s="103"/>
      <c r="F65" s="103"/>
      <c r="G65" s="103"/>
      <c r="H65" s="103"/>
      <c r="I65" s="103"/>
      <c r="J65" s="103"/>
      <c r="K65" s="103"/>
    </row>
    <row r="66" spans="4:11" s="105" customFormat="1" x14ac:dyDescent="0.3">
      <c r="D66" s="106"/>
      <c r="E66" s="103"/>
      <c r="F66" s="103"/>
      <c r="G66" s="103"/>
      <c r="H66" s="103"/>
      <c r="I66" s="103"/>
      <c r="J66" s="103"/>
      <c r="K66" s="103"/>
    </row>
    <row r="67" spans="4:11" s="105" customFormat="1" x14ac:dyDescent="0.3">
      <c r="D67" s="106"/>
      <c r="E67" s="103"/>
      <c r="F67" s="103"/>
      <c r="G67" s="103"/>
      <c r="H67" s="103"/>
      <c r="I67" s="103"/>
      <c r="J67" s="103"/>
      <c r="K67" s="103"/>
    </row>
    <row r="68" spans="4:11" s="105" customFormat="1" x14ac:dyDescent="0.3">
      <c r="D68" s="106"/>
      <c r="E68" s="103"/>
      <c r="F68" s="103"/>
      <c r="G68" s="103"/>
      <c r="H68" s="103"/>
      <c r="I68" s="103"/>
      <c r="J68" s="103"/>
      <c r="K68" s="103"/>
    </row>
    <row r="69" spans="4:11" s="105" customFormat="1" x14ac:dyDescent="0.3">
      <c r="D69" s="106"/>
      <c r="E69" s="103"/>
      <c r="F69" s="103"/>
      <c r="G69" s="103"/>
      <c r="H69" s="103"/>
      <c r="I69" s="103"/>
      <c r="J69" s="103"/>
      <c r="K69" s="103"/>
    </row>
    <row r="70" spans="4:11" s="105" customFormat="1" x14ac:dyDescent="0.3">
      <c r="D70" s="106"/>
      <c r="E70" s="103"/>
      <c r="F70" s="103"/>
      <c r="G70" s="103"/>
      <c r="H70" s="103"/>
      <c r="I70" s="103"/>
      <c r="J70" s="103"/>
      <c r="K70" s="103"/>
    </row>
    <row r="71" spans="4:11" s="105" customFormat="1" x14ac:dyDescent="0.3">
      <c r="D71" s="106"/>
      <c r="E71" s="103"/>
      <c r="F71" s="103"/>
      <c r="G71" s="103"/>
      <c r="H71" s="103"/>
      <c r="I71" s="103"/>
      <c r="J71" s="103"/>
      <c r="K71" s="103"/>
    </row>
    <row r="72" spans="4:11" s="105" customFormat="1" x14ac:dyDescent="0.3">
      <c r="D72" s="106"/>
      <c r="E72" s="103"/>
      <c r="F72" s="103"/>
      <c r="G72" s="103"/>
      <c r="H72" s="103"/>
      <c r="I72" s="103"/>
      <c r="J72" s="103"/>
      <c r="K72" s="103"/>
    </row>
    <row r="73" spans="4:11" s="105" customFormat="1" x14ac:dyDescent="0.3">
      <c r="D73" s="106"/>
      <c r="E73" s="103"/>
      <c r="F73" s="103"/>
      <c r="G73" s="103"/>
      <c r="H73" s="103"/>
      <c r="I73" s="103"/>
      <c r="J73" s="103"/>
      <c r="K73" s="103"/>
    </row>
    <row r="74" spans="4:11" s="105" customFormat="1" x14ac:dyDescent="0.3">
      <c r="D74" s="106"/>
      <c r="E74" s="103"/>
      <c r="F74" s="103"/>
      <c r="G74" s="103"/>
      <c r="H74" s="103"/>
      <c r="I74" s="103"/>
      <c r="J74" s="103"/>
      <c r="K74" s="103"/>
    </row>
    <row r="75" spans="4:11" s="105" customFormat="1" x14ac:dyDescent="0.3">
      <c r="D75" s="106"/>
      <c r="E75" s="103"/>
      <c r="F75" s="103"/>
      <c r="G75" s="103"/>
      <c r="H75" s="103"/>
      <c r="I75" s="103"/>
      <c r="J75" s="103"/>
      <c r="K75" s="103"/>
    </row>
    <row r="76" spans="4:11" s="105" customFormat="1" x14ac:dyDescent="0.3">
      <c r="D76" s="106"/>
      <c r="E76" s="103"/>
      <c r="F76" s="103"/>
      <c r="G76" s="103"/>
      <c r="H76" s="103"/>
      <c r="I76" s="103"/>
      <c r="J76" s="103"/>
      <c r="K76" s="103"/>
    </row>
    <row r="77" spans="4:11" s="105" customFormat="1" x14ac:dyDescent="0.3">
      <c r="D77" s="106"/>
      <c r="E77" s="103"/>
      <c r="F77" s="103"/>
      <c r="G77" s="103"/>
      <c r="H77" s="103"/>
      <c r="I77" s="103"/>
      <c r="J77" s="103"/>
      <c r="K77" s="103"/>
    </row>
    <row r="78" spans="4:11" s="105" customFormat="1" x14ac:dyDescent="0.3">
      <c r="D78" s="106"/>
      <c r="E78" s="103"/>
      <c r="F78" s="103"/>
      <c r="G78" s="103"/>
      <c r="H78" s="103"/>
      <c r="I78" s="103"/>
      <c r="J78" s="103"/>
      <c r="K78" s="103"/>
    </row>
    <row r="79" spans="4:11" s="105" customFormat="1" x14ac:dyDescent="0.3">
      <c r="D79" s="106"/>
      <c r="E79" s="103"/>
      <c r="F79" s="103"/>
      <c r="G79" s="103"/>
      <c r="H79" s="103"/>
      <c r="I79" s="103"/>
      <c r="J79" s="103"/>
      <c r="K79" s="103"/>
    </row>
    <row r="80" spans="4:11" s="105" customFormat="1" x14ac:dyDescent="0.3">
      <c r="D80" s="106"/>
      <c r="E80" s="103"/>
      <c r="F80" s="103"/>
      <c r="G80" s="103"/>
      <c r="H80" s="103"/>
      <c r="I80" s="103"/>
      <c r="J80" s="103"/>
      <c r="K80" s="103"/>
    </row>
    <row r="81" spans="4:11" s="105" customFormat="1" x14ac:dyDescent="0.3">
      <c r="D81" s="106"/>
      <c r="E81" s="103"/>
      <c r="F81" s="103"/>
      <c r="G81" s="103"/>
      <c r="H81" s="103"/>
      <c r="I81" s="103"/>
      <c r="J81" s="103"/>
      <c r="K81" s="103"/>
    </row>
    <row r="82" spans="4:11" s="105" customFormat="1" x14ac:dyDescent="0.3">
      <c r="D82" s="106"/>
      <c r="E82" s="103"/>
      <c r="F82" s="103"/>
      <c r="G82" s="103"/>
      <c r="H82" s="103"/>
      <c r="I82" s="103"/>
      <c r="J82" s="103"/>
      <c r="K82" s="103"/>
    </row>
    <row r="83" spans="4:11" s="105" customFormat="1" x14ac:dyDescent="0.3">
      <c r="D83" s="106"/>
      <c r="E83" s="103"/>
      <c r="F83" s="103"/>
      <c r="G83" s="103"/>
      <c r="H83" s="103"/>
      <c r="I83" s="103"/>
      <c r="J83" s="103"/>
      <c r="K83" s="103"/>
    </row>
    <row r="84" spans="4:11" s="105" customFormat="1" x14ac:dyDescent="0.3">
      <c r="D84" s="106"/>
      <c r="E84" s="103"/>
      <c r="F84" s="103"/>
      <c r="G84" s="103"/>
      <c r="H84" s="103"/>
      <c r="I84" s="103"/>
      <c r="J84" s="103"/>
      <c r="K84" s="103"/>
    </row>
    <row r="85" spans="4:11" s="105" customFormat="1" x14ac:dyDescent="0.3">
      <c r="D85" s="106"/>
      <c r="E85" s="103"/>
      <c r="F85" s="103"/>
      <c r="G85" s="103"/>
      <c r="H85" s="103"/>
      <c r="I85" s="103"/>
      <c r="J85" s="103"/>
      <c r="K85" s="103"/>
    </row>
    <row r="86" spans="4:11" s="105" customFormat="1" x14ac:dyDescent="0.3">
      <c r="D86" s="106"/>
      <c r="E86" s="103"/>
      <c r="F86" s="103"/>
      <c r="G86" s="103"/>
      <c r="H86" s="103"/>
      <c r="I86" s="103"/>
      <c r="J86" s="103"/>
      <c r="K86" s="103"/>
    </row>
    <row r="87" spans="4:11" s="105" customFormat="1" x14ac:dyDescent="0.3">
      <c r="D87" s="106"/>
      <c r="E87" s="103"/>
      <c r="F87" s="103"/>
      <c r="G87" s="103"/>
      <c r="H87" s="103"/>
      <c r="I87" s="103"/>
      <c r="J87" s="103"/>
      <c r="K87" s="103"/>
    </row>
    <row r="88" spans="4:11" s="105" customFormat="1" x14ac:dyDescent="0.3">
      <c r="D88" s="106"/>
      <c r="E88" s="103"/>
      <c r="F88" s="103"/>
      <c r="G88" s="103"/>
      <c r="H88" s="103"/>
      <c r="I88" s="103"/>
      <c r="J88" s="103"/>
      <c r="K88" s="103"/>
    </row>
    <row r="89" spans="4:11" s="105" customFormat="1" x14ac:dyDescent="0.3">
      <c r="D89" s="106"/>
      <c r="E89" s="103"/>
      <c r="F89" s="103"/>
      <c r="G89" s="103"/>
      <c r="H89" s="103"/>
      <c r="I89" s="103"/>
      <c r="J89" s="103"/>
      <c r="K89" s="103"/>
    </row>
    <row r="90" spans="4:11" s="105" customFormat="1" x14ac:dyDescent="0.3">
      <c r="D90" s="106"/>
      <c r="E90" s="103"/>
      <c r="F90" s="103"/>
      <c r="G90" s="103"/>
      <c r="H90" s="103"/>
      <c r="I90" s="103"/>
      <c r="J90" s="103"/>
      <c r="K90" s="103"/>
    </row>
    <row r="91" spans="4:11" s="105" customFormat="1" x14ac:dyDescent="0.3">
      <c r="D91" s="106"/>
      <c r="E91" s="103"/>
      <c r="F91" s="103"/>
      <c r="G91" s="103"/>
      <c r="H91" s="103"/>
      <c r="I91" s="103"/>
      <c r="J91" s="103"/>
      <c r="K91" s="103"/>
    </row>
    <row r="92" spans="4:11" s="105" customFormat="1" x14ac:dyDescent="0.3">
      <c r="D92" s="106"/>
      <c r="E92" s="103"/>
      <c r="F92" s="103"/>
      <c r="G92" s="103"/>
      <c r="H92" s="103"/>
      <c r="I92" s="103"/>
      <c r="J92" s="103"/>
      <c r="K92" s="103"/>
    </row>
    <row r="93" spans="4:11" s="105" customFormat="1" x14ac:dyDescent="0.3">
      <c r="D93" s="106"/>
      <c r="E93" s="103"/>
      <c r="F93" s="103"/>
      <c r="G93" s="103"/>
      <c r="H93" s="103"/>
      <c r="I93" s="103"/>
      <c r="J93" s="103"/>
      <c r="K93" s="103"/>
    </row>
    <row r="94" spans="4:11" s="105" customFormat="1" x14ac:dyDescent="0.3">
      <c r="D94" s="106"/>
      <c r="E94" s="103"/>
      <c r="F94" s="103"/>
      <c r="G94" s="103"/>
      <c r="H94" s="103"/>
      <c r="I94" s="103"/>
      <c r="J94" s="103"/>
      <c r="K94" s="103"/>
    </row>
    <row r="95" spans="4:11" s="105" customFormat="1" x14ac:dyDescent="0.3">
      <c r="D95" s="106"/>
      <c r="E95" s="103"/>
      <c r="F95" s="103"/>
      <c r="G95" s="103"/>
      <c r="H95" s="103"/>
      <c r="I95" s="103"/>
      <c r="J95" s="103"/>
      <c r="K95" s="103"/>
    </row>
    <row r="96" spans="4:11" s="105" customFormat="1" x14ac:dyDescent="0.3">
      <c r="D96" s="106"/>
      <c r="E96" s="103"/>
      <c r="F96" s="103"/>
      <c r="G96" s="103"/>
      <c r="H96" s="103"/>
      <c r="I96" s="103"/>
      <c r="J96" s="103"/>
      <c r="K96" s="103"/>
    </row>
    <row r="97" spans="4:11" s="105" customFormat="1" x14ac:dyDescent="0.3">
      <c r="D97" s="106"/>
      <c r="E97" s="103"/>
      <c r="F97" s="103"/>
      <c r="G97" s="103"/>
      <c r="H97" s="103"/>
      <c r="I97" s="103"/>
      <c r="J97" s="103"/>
      <c r="K97" s="103"/>
    </row>
    <row r="98" spans="4:11" s="105" customFormat="1" x14ac:dyDescent="0.3">
      <c r="D98" s="106"/>
      <c r="E98" s="103"/>
      <c r="F98" s="103"/>
      <c r="G98" s="103"/>
      <c r="H98" s="103"/>
      <c r="I98" s="103"/>
      <c r="J98" s="103"/>
      <c r="K98" s="103"/>
    </row>
    <row r="99" spans="4:11" s="105" customFormat="1" x14ac:dyDescent="0.3">
      <c r="D99" s="106"/>
      <c r="E99" s="103"/>
      <c r="F99" s="103"/>
      <c r="G99" s="103"/>
      <c r="H99" s="103"/>
      <c r="I99" s="103"/>
      <c r="J99" s="103"/>
      <c r="K99" s="103"/>
    </row>
    <row r="100" spans="4:11" s="105" customFormat="1" x14ac:dyDescent="0.3">
      <c r="D100" s="106"/>
      <c r="E100" s="103"/>
      <c r="F100" s="103"/>
      <c r="G100" s="103"/>
      <c r="H100" s="103"/>
      <c r="I100" s="103"/>
      <c r="J100" s="103"/>
      <c r="K100" s="103"/>
    </row>
    <row r="101" spans="4:11" s="105" customFormat="1" x14ac:dyDescent="0.3">
      <c r="D101" s="106"/>
      <c r="E101" s="103"/>
      <c r="F101" s="103"/>
      <c r="G101" s="103"/>
      <c r="H101" s="103"/>
      <c r="I101" s="103"/>
      <c r="J101" s="103"/>
      <c r="K101" s="103"/>
    </row>
    <row r="102" spans="4:11" s="105" customFormat="1" x14ac:dyDescent="0.3">
      <c r="D102" s="106"/>
      <c r="E102" s="103"/>
      <c r="F102" s="103"/>
      <c r="G102" s="103"/>
      <c r="H102" s="103"/>
      <c r="I102" s="103"/>
      <c r="J102" s="103"/>
      <c r="K102" s="103"/>
    </row>
    <row r="103" spans="4:11" s="105" customFormat="1" x14ac:dyDescent="0.3">
      <c r="D103" s="106"/>
      <c r="E103" s="103"/>
      <c r="F103" s="103"/>
      <c r="G103" s="103"/>
      <c r="H103" s="103"/>
      <c r="I103" s="103"/>
      <c r="J103" s="103"/>
      <c r="K103" s="103"/>
    </row>
    <row r="104" spans="4:11" s="105" customFormat="1" x14ac:dyDescent="0.3">
      <c r="D104" s="106"/>
      <c r="E104" s="103"/>
      <c r="F104" s="103"/>
      <c r="G104" s="103"/>
      <c r="H104" s="103"/>
      <c r="I104" s="103"/>
      <c r="J104" s="103"/>
      <c r="K104" s="103"/>
    </row>
    <row r="105" spans="4:11" s="105" customFormat="1" x14ac:dyDescent="0.3">
      <c r="D105" s="106"/>
      <c r="E105" s="103"/>
      <c r="F105" s="103"/>
      <c r="G105" s="103"/>
      <c r="H105" s="103"/>
      <c r="I105" s="103"/>
      <c r="J105" s="103"/>
      <c r="K105" s="103"/>
    </row>
    <row r="106" spans="4:11" s="105" customFormat="1" x14ac:dyDescent="0.3">
      <c r="D106" s="106"/>
      <c r="E106" s="103"/>
      <c r="F106" s="103"/>
      <c r="G106" s="103"/>
      <c r="H106" s="103"/>
      <c r="I106" s="103"/>
      <c r="J106" s="103"/>
      <c r="K106" s="103"/>
    </row>
    <row r="107" spans="4:11" s="105" customFormat="1" x14ac:dyDescent="0.3">
      <c r="D107" s="106"/>
      <c r="E107" s="103"/>
      <c r="F107" s="103"/>
      <c r="G107" s="103"/>
      <c r="H107" s="103"/>
      <c r="I107" s="103"/>
      <c r="J107" s="103"/>
      <c r="K107" s="103"/>
    </row>
    <row r="108" spans="4:11" s="105" customFormat="1" x14ac:dyDescent="0.3">
      <c r="D108" s="106"/>
      <c r="E108" s="103"/>
      <c r="F108" s="103"/>
      <c r="G108" s="103"/>
      <c r="H108" s="103"/>
      <c r="I108" s="103"/>
      <c r="J108" s="103"/>
      <c r="K108" s="103"/>
    </row>
    <row r="109" spans="4:11" s="105" customFormat="1" x14ac:dyDescent="0.3">
      <c r="D109" s="106"/>
      <c r="E109" s="103"/>
      <c r="F109" s="103"/>
      <c r="G109" s="103"/>
      <c r="H109" s="103"/>
      <c r="I109" s="103"/>
      <c r="J109" s="103"/>
      <c r="K109" s="103"/>
    </row>
    <row r="110" spans="4:11" s="105" customFormat="1" x14ac:dyDescent="0.3">
      <c r="D110" s="106"/>
      <c r="E110" s="103"/>
      <c r="F110" s="103"/>
      <c r="G110" s="103"/>
      <c r="H110" s="103"/>
      <c r="I110" s="103"/>
      <c r="J110" s="103"/>
      <c r="K110" s="103"/>
    </row>
    <row r="111" spans="4:11" s="105" customFormat="1" x14ac:dyDescent="0.3">
      <c r="D111" s="106"/>
      <c r="E111" s="103"/>
      <c r="F111" s="103"/>
      <c r="G111" s="103"/>
      <c r="H111" s="103"/>
      <c r="I111" s="103"/>
      <c r="J111" s="103"/>
      <c r="K111" s="103"/>
    </row>
    <row r="112" spans="4:11" s="105" customFormat="1" x14ac:dyDescent="0.3">
      <c r="D112" s="106"/>
      <c r="E112" s="103"/>
      <c r="F112" s="103"/>
      <c r="G112" s="103"/>
      <c r="H112" s="103"/>
      <c r="I112" s="103"/>
      <c r="J112" s="103"/>
      <c r="K112" s="103"/>
    </row>
    <row r="113" spans="4:11" s="105" customFormat="1" x14ac:dyDescent="0.3">
      <c r="D113" s="106"/>
      <c r="E113" s="103"/>
      <c r="F113" s="103"/>
      <c r="G113" s="103"/>
      <c r="H113" s="103"/>
      <c r="I113" s="103"/>
      <c r="J113" s="103"/>
      <c r="K113" s="103"/>
    </row>
    <row r="114" spans="4:11" s="105" customFormat="1" x14ac:dyDescent="0.3">
      <c r="D114" s="106"/>
      <c r="E114" s="103"/>
      <c r="F114" s="103"/>
      <c r="G114" s="103"/>
      <c r="H114" s="103"/>
      <c r="I114" s="103"/>
      <c r="J114" s="103"/>
      <c r="K114" s="103"/>
    </row>
    <row r="115" spans="4:11" s="105" customFormat="1" x14ac:dyDescent="0.3">
      <c r="D115" s="106"/>
      <c r="E115" s="103"/>
      <c r="F115" s="103"/>
      <c r="G115" s="103"/>
      <c r="H115" s="103"/>
      <c r="I115" s="103"/>
      <c r="J115" s="103"/>
      <c r="K115" s="103"/>
    </row>
    <row r="116" spans="4:11" s="105" customFormat="1" x14ac:dyDescent="0.3">
      <c r="D116" s="106"/>
      <c r="E116" s="103"/>
      <c r="F116" s="103"/>
      <c r="G116" s="103"/>
      <c r="H116" s="103"/>
      <c r="I116" s="103"/>
      <c r="J116" s="103"/>
      <c r="K116" s="103"/>
    </row>
    <row r="117" spans="4:11" s="105" customFormat="1" x14ac:dyDescent="0.3">
      <c r="D117" s="106"/>
      <c r="E117" s="103"/>
      <c r="F117" s="103"/>
      <c r="G117" s="103"/>
      <c r="H117" s="103"/>
      <c r="I117" s="103"/>
      <c r="J117" s="103"/>
      <c r="K117" s="103"/>
    </row>
    <row r="118" spans="4:11" s="105" customFormat="1" x14ac:dyDescent="0.3">
      <c r="D118" s="106"/>
      <c r="E118" s="103"/>
      <c r="F118" s="103"/>
      <c r="G118" s="103"/>
      <c r="H118" s="103"/>
      <c r="I118" s="103"/>
      <c r="J118" s="103"/>
      <c r="K118" s="103"/>
    </row>
    <row r="119" spans="4:11" s="105" customFormat="1" x14ac:dyDescent="0.3">
      <c r="D119" s="106"/>
      <c r="E119" s="103"/>
      <c r="F119" s="103"/>
      <c r="G119" s="103"/>
      <c r="H119" s="103"/>
      <c r="I119" s="103"/>
      <c r="J119" s="103"/>
      <c r="K119" s="103"/>
    </row>
    <row r="120" spans="4:11" s="105" customFormat="1" x14ac:dyDescent="0.3">
      <c r="D120" s="106"/>
      <c r="E120" s="103"/>
      <c r="F120" s="103"/>
      <c r="G120" s="103"/>
      <c r="H120" s="103"/>
      <c r="I120" s="103"/>
      <c r="J120" s="103"/>
      <c r="K120" s="103"/>
    </row>
    <row r="121" spans="4:11" s="105" customFormat="1" x14ac:dyDescent="0.3">
      <c r="D121" s="106"/>
      <c r="E121" s="103"/>
      <c r="F121" s="103"/>
      <c r="G121" s="103"/>
      <c r="H121" s="103"/>
      <c r="I121" s="103"/>
      <c r="J121" s="103"/>
      <c r="K121" s="103"/>
    </row>
    <row r="122" spans="4:11" s="105" customFormat="1" x14ac:dyDescent="0.3">
      <c r="D122" s="106"/>
      <c r="E122" s="103"/>
      <c r="F122" s="103"/>
      <c r="G122" s="103"/>
      <c r="H122" s="103"/>
      <c r="I122" s="103"/>
      <c r="J122" s="103"/>
      <c r="K122" s="103"/>
    </row>
    <row r="123" spans="4:11" s="105" customFormat="1" x14ac:dyDescent="0.3">
      <c r="D123" s="106"/>
      <c r="E123" s="103"/>
      <c r="F123" s="103"/>
      <c r="G123" s="103"/>
      <c r="H123" s="103"/>
      <c r="I123" s="103"/>
      <c r="J123" s="103"/>
      <c r="K123" s="103"/>
    </row>
    <row r="124" spans="4:11" s="105" customFormat="1" x14ac:dyDescent="0.3">
      <c r="D124" s="106"/>
      <c r="E124" s="103"/>
      <c r="F124" s="103"/>
      <c r="G124" s="103"/>
      <c r="H124" s="103"/>
      <c r="I124" s="103"/>
      <c r="J124" s="103"/>
      <c r="K124" s="103"/>
    </row>
    <row r="125" spans="4:11" s="105" customFormat="1" x14ac:dyDescent="0.3">
      <c r="D125" s="106"/>
      <c r="E125" s="103"/>
      <c r="F125" s="103"/>
      <c r="G125" s="103"/>
      <c r="H125" s="103"/>
      <c r="I125" s="103"/>
      <c r="J125" s="103"/>
      <c r="K125" s="103"/>
    </row>
    <row r="126" spans="4:11" s="105" customFormat="1" x14ac:dyDescent="0.3">
      <c r="D126" s="106"/>
      <c r="E126" s="103"/>
      <c r="F126" s="103"/>
      <c r="G126" s="103"/>
      <c r="H126" s="103"/>
      <c r="I126" s="103"/>
      <c r="J126" s="103"/>
      <c r="K126" s="103"/>
    </row>
    <row r="127" spans="4:11" s="105" customFormat="1" x14ac:dyDescent="0.3">
      <c r="D127" s="106"/>
      <c r="E127" s="103"/>
      <c r="F127" s="103"/>
      <c r="G127" s="103"/>
      <c r="H127" s="103"/>
      <c r="I127" s="103"/>
      <c r="J127" s="103"/>
      <c r="K127" s="103"/>
    </row>
    <row r="128" spans="4:11" s="105" customFormat="1" x14ac:dyDescent="0.3">
      <c r="D128" s="106"/>
      <c r="E128" s="103"/>
      <c r="F128" s="103"/>
      <c r="G128" s="103"/>
      <c r="H128" s="103"/>
      <c r="I128" s="103"/>
      <c r="J128" s="103"/>
      <c r="K128" s="103"/>
    </row>
    <row r="129" spans="4:11" s="105" customFormat="1" x14ac:dyDescent="0.3">
      <c r="D129" s="106"/>
      <c r="E129" s="103"/>
      <c r="F129" s="103"/>
      <c r="G129" s="103"/>
      <c r="H129" s="103"/>
      <c r="I129" s="103"/>
      <c r="J129" s="103"/>
      <c r="K129" s="103"/>
    </row>
    <row r="130" spans="4:11" s="105" customFormat="1" x14ac:dyDescent="0.3">
      <c r="D130" s="106"/>
      <c r="E130" s="103"/>
      <c r="F130" s="103"/>
      <c r="G130" s="103"/>
      <c r="H130" s="103"/>
      <c r="I130" s="103"/>
      <c r="J130" s="103"/>
      <c r="K130" s="103"/>
    </row>
    <row r="131" spans="4:11" s="105" customFormat="1" x14ac:dyDescent="0.3">
      <c r="D131" s="106"/>
      <c r="E131" s="103"/>
      <c r="F131" s="103"/>
      <c r="G131" s="103"/>
      <c r="H131" s="103"/>
      <c r="I131" s="103"/>
      <c r="J131" s="103"/>
      <c r="K131" s="103"/>
    </row>
    <row r="132" spans="4:11" s="105" customFormat="1" x14ac:dyDescent="0.3">
      <c r="D132" s="106"/>
      <c r="E132" s="103"/>
      <c r="F132" s="103"/>
      <c r="G132" s="103"/>
      <c r="H132" s="103"/>
      <c r="I132" s="103"/>
      <c r="J132" s="103"/>
      <c r="K132" s="103"/>
    </row>
    <row r="133" spans="4:11" s="105" customFormat="1" x14ac:dyDescent="0.3">
      <c r="D133" s="106"/>
      <c r="E133" s="103"/>
      <c r="F133" s="103"/>
      <c r="G133" s="103"/>
      <c r="H133" s="103"/>
      <c r="I133" s="103"/>
      <c r="J133" s="103"/>
      <c r="K133" s="103"/>
    </row>
    <row r="134" spans="4:11" s="105" customFormat="1" x14ac:dyDescent="0.3">
      <c r="D134" s="106"/>
      <c r="E134" s="103"/>
      <c r="F134" s="103"/>
      <c r="G134" s="103"/>
      <c r="H134" s="103"/>
      <c r="I134" s="103"/>
      <c r="J134" s="103"/>
      <c r="K134" s="103"/>
    </row>
    <row r="135" spans="4:11" s="105" customFormat="1" x14ac:dyDescent="0.3">
      <c r="D135" s="106"/>
      <c r="E135" s="103"/>
      <c r="F135" s="103"/>
      <c r="G135" s="103"/>
      <c r="H135" s="103"/>
      <c r="I135" s="103"/>
      <c r="J135" s="103"/>
      <c r="K135" s="103"/>
    </row>
    <row r="136" spans="4:11" s="105" customFormat="1" x14ac:dyDescent="0.3">
      <c r="D136" s="106"/>
      <c r="E136" s="103"/>
      <c r="F136" s="103"/>
      <c r="G136" s="103"/>
      <c r="H136" s="103"/>
      <c r="I136" s="103"/>
      <c r="J136" s="103"/>
      <c r="K136" s="103"/>
    </row>
    <row r="137" spans="4:11" s="105" customFormat="1" x14ac:dyDescent="0.3">
      <c r="D137" s="106"/>
      <c r="E137" s="103"/>
      <c r="F137" s="103"/>
      <c r="G137" s="103"/>
      <c r="H137" s="103"/>
      <c r="I137" s="103"/>
      <c r="J137" s="103"/>
      <c r="K137" s="103"/>
    </row>
    <row r="138" spans="4:11" s="105" customFormat="1" x14ac:dyDescent="0.3">
      <c r="D138" s="106"/>
      <c r="E138" s="103"/>
      <c r="F138" s="103"/>
      <c r="G138" s="103"/>
      <c r="H138" s="103"/>
      <c r="I138" s="103"/>
      <c r="J138" s="103"/>
      <c r="K138" s="103"/>
    </row>
    <row r="139" spans="4:11" s="105" customFormat="1" x14ac:dyDescent="0.3">
      <c r="D139" s="106"/>
      <c r="E139" s="103"/>
      <c r="F139" s="103"/>
      <c r="G139" s="103"/>
      <c r="H139" s="103"/>
      <c r="I139" s="103"/>
      <c r="J139" s="103"/>
      <c r="K139" s="103"/>
    </row>
    <row r="140" spans="4:11" s="105" customFormat="1" x14ac:dyDescent="0.3">
      <c r="D140" s="106"/>
      <c r="E140" s="103"/>
      <c r="F140" s="103"/>
      <c r="G140" s="103"/>
      <c r="H140" s="103"/>
      <c r="I140" s="103"/>
      <c r="J140" s="103"/>
      <c r="K140" s="103"/>
    </row>
    <row r="141" spans="4:11" s="105" customFormat="1" x14ac:dyDescent="0.3">
      <c r="D141" s="106"/>
      <c r="E141" s="103"/>
      <c r="F141" s="103"/>
      <c r="G141" s="103"/>
      <c r="H141" s="103"/>
      <c r="I141" s="103"/>
      <c r="J141" s="103"/>
      <c r="K141" s="103"/>
    </row>
    <row r="142" spans="4:11" s="105" customFormat="1" x14ac:dyDescent="0.3">
      <c r="D142" s="106"/>
      <c r="E142" s="103"/>
      <c r="F142" s="103"/>
      <c r="G142" s="103"/>
      <c r="H142" s="103"/>
      <c r="I142" s="103"/>
      <c r="J142" s="103"/>
      <c r="K142" s="103"/>
    </row>
    <row r="143" spans="4:11" s="105" customFormat="1" x14ac:dyDescent="0.3">
      <c r="D143" s="106"/>
      <c r="E143" s="103"/>
      <c r="F143" s="103"/>
      <c r="G143" s="103"/>
      <c r="H143" s="103"/>
      <c r="I143" s="103"/>
      <c r="J143" s="103"/>
      <c r="K143" s="103"/>
    </row>
    <row r="144" spans="4:11" s="105" customFormat="1" x14ac:dyDescent="0.3">
      <c r="D144" s="106"/>
      <c r="E144" s="103"/>
      <c r="F144" s="103"/>
      <c r="G144" s="103"/>
      <c r="H144" s="103"/>
      <c r="I144" s="103"/>
      <c r="J144" s="103"/>
      <c r="K144" s="103"/>
    </row>
    <row r="145" spans="4:11" s="105" customFormat="1" x14ac:dyDescent="0.3">
      <c r="D145" s="106"/>
      <c r="E145" s="103"/>
      <c r="F145" s="103"/>
      <c r="G145" s="103"/>
      <c r="H145" s="103"/>
      <c r="I145" s="103"/>
      <c r="J145" s="103"/>
      <c r="K145" s="103"/>
    </row>
    <row r="146" spans="4:11" s="105" customFormat="1" x14ac:dyDescent="0.3">
      <c r="D146" s="106"/>
      <c r="E146" s="103"/>
      <c r="F146" s="103"/>
      <c r="G146" s="103"/>
      <c r="H146" s="103"/>
      <c r="I146" s="103"/>
      <c r="J146" s="103"/>
      <c r="K146" s="103"/>
    </row>
    <row r="147" spans="4:11" s="105" customFormat="1" x14ac:dyDescent="0.3">
      <c r="D147" s="106"/>
      <c r="E147" s="103"/>
      <c r="F147" s="103"/>
      <c r="G147" s="103"/>
      <c r="H147" s="103"/>
      <c r="I147" s="103"/>
      <c r="J147" s="103"/>
      <c r="K147" s="103"/>
    </row>
    <row r="148" spans="4:11" s="105" customFormat="1" x14ac:dyDescent="0.3">
      <c r="D148" s="106"/>
      <c r="E148" s="103"/>
      <c r="F148" s="103"/>
      <c r="G148" s="103"/>
      <c r="H148" s="103"/>
      <c r="I148" s="103"/>
      <c r="J148" s="103"/>
      <c r="K148" s="103"/>
    </row>
    <row r="149" spans="4:11" s="105" customFormat="1" x14ac:dyDescent="0.3">
      <c r="D149" s="106"/>
      <c r="E149" s="103"/>
      <c r="F149" s="103"/>
      <c r="G149" s="103"/>
      <c r="H149" s="103"/>
      <c r="I149" s="103"/>
      <c r="J149" s="103"/>
      <c r="K149" s="103"/>
    </row>
    <row r="150" spans="4:11" s="105" customFormat="1" x14ac:dyDescent="0.3">
      <c r="D150" s="106"/>
      <c r="E150" s="103"/>
      <c r="F150" s="103"/>
      <c r="G150" s="103"/>
      <c r="H150" s="103"/>
      <c r="I150" s="103"/>
      <c r="J150" s="103"/>
      <c r="K150" s="103"/>
    </row>
    <row r="151" spans="4:11" s="105" customFormat="1" x14ac:dyDescent="0.3">
      <c r="D151" s="106"/>
      <c r="E151" s="103"/>
      <c r="F151" s="103"/>
      <c r="G151" s="103"/>
      <c r="H151" s="103"/>
      <c r="I151" s="103"/>
      <c r="J151" s="103"/>
      <c r="K151" s="103"/>
    </row>
    <row r="152" spans="4:11" s="105" customFormat="1" x14ac:dyDescent="0.3">
      <c r="D152" s="106"/>
      <c r="E152" s="103"/>
      <c r="F152" s="103"/>
      <c r="G152" s="103"/>
      <c r="H152" s="103"/>
      <c r="I152" s="103"/>
      <c r="J152" s="103"/>
      <c r="K152" s="103"/>
    </row>
    <row r="153" spans="4:11" s="105" customFormat="1" x14ac:dyDescent="0.3">
      <c r="D153" s="106"/>
      <c r="E153" s="103"/>
      <c r="F153" s="103"/>
      <c r="G153" s="103"/>
      <c r="H153" s="103"/>
      <c r="I153" s="103"/>
      <c r="J153" s="103"/>
      <c r="K153" s="103"/>
    </row>
    <row r="154" spans="4:11" s="105" customFormat="1" x14ac:dyDescent="0.3">
      <c r="D154" s="106"/>
      <c r="E154" s="103"/>
      <c r="F154" s="103"/>
      <c r="G154" s="103"/>
      <c r="H154" s="103"/>
      <c r="I154" s="103"/>
      <c r="J154" s="103"/>
      <c r="K154" s="103"/>
    </row>
    <row r="155" spans="4:11" s="105" customFormat="1" x14ac:dyDescent="0.3">
      <c r="D155" s="106"/>
      <c r="E155" s="103"/>
      <c r="F155" s="103"/>
      <c r="G155" s="103"/>
      <c r="H155" s="103"/>
      <c r="I155" s="103"/>
      <c r="J155" s="103"/>
      <c r="K155" s="103"/>
    </row>
    <row r="156" spans="4:11" s="105" customFormat="1" x14ac:dyDescent="0.3">
      <c r="D156" s="106"/>
      <c r="E156" s="103"/>
      <c r="F156" s="103"/>
      <c r="G156" s="103"/>
      <c r="H156" s="103"/>
      <c r="I156" s="103"/>
      <c r="J156" s="103"/>
      <c r="K156" s="103"/>
    </row>
    <row r="157" spans="4:11" s="105" customFormat="1" x14ac:dyDescent="0.3">
      <c r="D157" s="106"/>
      <c r="E157" s="103"/>
      <c r="F157" s="103"/>
      <c r="G157" s="103"/>
      <c r="H157" s="103"/>
      <c r="I157" s="103"/>
      <c r="J157" s="103"/>
      <c r="K157" s="103"/>
    </row>
    <row r="158" spans="4:11" s="105" customFormat="1" x14ac:dyDescent="0.3">
      <c r="D158" s="106"/>
      <c r="E158" s="103"/>
      <c r="F158" s="103"/>
      <c r="G158" s="103"/>
      <c r="H158" s="103"/>
      <c r="I158" s="103"/>
      <c r="J158" s="103"/>
      <c r="K158" s="103"/>
    </row>
    <row r="159" spans="4:11" s="105" customFormat="1" x14ac:dyDescent="0.3">
      <c r="D159" s="106"/>
      <c r="E159" s="103"/>
      <c r="F159" s="103"/>
      <c r="G159" s="103"/>
      <c r="H159" s="103"/>
      <c r="I159" s="103"/>
      <c r="J159" s="103"/>
      <c r="K159" s="103"/>
    </row>
    <row r="160" spans="4:11" s="105" customFormat="1" x14ac:dyDescent="0.3">
      <c r="D160" s="106"/>
      <c r="E160" s="103"/>
      <c r="F160" s="103"/>
      <c r="G160" s="103"/>
      <c r="H160" s="103"/>
      <c r="I160" s="103"/>
      <c r="J160" s="103"/>
      <c r="K160" s="103"/>
    </row>
    <row r="161" spans="4:11" s="105" customFormat="1" x14ac:dyDescent="0.3">
      <c r="D161" s="106"/>
      <c r="E161" s="103"/>
      <c r="F161" s="103"/>
      <c r="G161" s="103"/>
      <c r="H161" s="103"/>
      <c r="I161" s="103"/>
      <c r="J161" s="103"/>
      <c r="K161" s="103"/>
    </row>
    <row r="162" spans="4:11" s="105" customFormat="1" x14ac:dyDescent="0.3">
      <c r="D162" s="106"/>
      <c r="E162" s="103"/>
      <c r="F162" s="103"/>
      <c r="G162" s="103"/>
      <c r="H162" s="103"/>
      <c r="I162" s="103"/>
      <c r="J162" s="103"/>
      <c r="K162" s="103"/>
    </row>
    <row r="163" spans="4:11" s="105" customFormat="1" x14ac:dyDescent="0.3">
      <c r="D163" s="106"/>
      <c r="E163" s="103"/>
      <c r="F163" s="103"/>
      <c r="G163" s="103"/>
      <c r="H163" s="103"/>
      <c r="I163" s="103"/>
      <c r="J163" s="103"/>
      <c r="K163" s="103"/>
    </row>
    <row r="164" spans="4:11" s="105" customFormat="1" x14ac:dyDescent="0.3">
      <c r="D164" s="106"/>
      <c r="E164" s="103"/>
      <c r="F164" s="103"/>
      <c r="G164" s="103"/>
      <c r="H164" s="103"/>
      <c r="I164" s="103"/>
      <c r="J164" s="103"/>
      <c r="K164" s="103"/>
    </row>
    <row r="165" spans="4:11" s="105" customFormat="1" x14ac:dyDescent="0.3">
      <c r="D165" s="106"/>
      <c r="E165" s="103"/>
      <c r="F165" s="103"/>
      <c r="G165" s="103"/>
      <c r="H165" s="103"/>
      <c r="I165" s="103"/>
      <c r="J165" s="103"/>
      <c r="K165" s="103"/>
    </row>
    <row r="166" spans="4:11" s="105" customFormat="1" x14ac:dyDescent="0.3">
      <c r="D166" s="106"/>
      <c r="E166" s="103"/>
      <c r="F166" s="103"/>
      <c r="G166" s="103"/>
      <c r="H166" s="103"/>
      <c r="I166" s="103"/>
      <c r="J166" s="103"/>
      <c r="K166" s="103"/>
    </row>
    <row r="167" spans="4:11" s="105" customFormat="1" x14ac:dyDescent="0.3">
      <c r="D167" s="106"/>
      <c r="E167" s="103"/>
      <c r="F167" s="103"/>
      <c r="G167" s="103"/>
      <c r="H167" s="103"/>
      <c r="I167" s="103"/>
      <c r="J167" s="103"/>
      <c r="K167" s="103"/>
    </row>
    <row r="168" spans="4:11" s="105" customFormat="1" x14ac:dyDescent="0.3">
      <c r="D168" s="106"/>
      <c r="E168" s="103"/>
      <c r="F168" s="103"/>
      <c r="G168" s="103"/>
      <c r="H168" s="103"/>
      <c r="I168" s="103"/>
      <c r="J168" s="103"/>
      <c r="K168" s="103"/>
    </row>
    <row r="169" spans="4:11" s="105" customFormat="1" x14ac:dyDescent="0.3">
      <c r="D169" s="106"/>
      <c r="E169" s="103"/>
      <c r="F169" s="103"/>
      <c r="G169" s="103"/>
      <c r="H169" s="103"/>
      <c r="I169" s="103"/>
      <c r="J169" s="103"/>
      <c r="K169" s="103"/>
    </row>
    <row r="170" spans="4:11" s="105" customFormat="1" x14ac:dyDescent="0.3">
      <c r="D170" s="106"/>
      <c r="E170" s="103"/>
      <c r="F170" s="103"/>
      <c r="G170" s="103"/>
      <c r="H170" s="103"/>
      <c r="I170" s="103"/>
      <c r="J170" s="103"/>
      <c r="K170" s="103"/>
    </row>
    <row r="171" spans="4:11" s="105" customFormat="1" x14ac:dyDescent="0.3">
      <c r="D171" s="106"/>
      <c r="E171" s="103"/>
      <c r="F171" s="103"/>
      <c r="G171" s="103"/>
      <c r="H171" s="103"/>
      <c r="I171" s="103"/>
      <c r="J171" s="103"/>
      <c r="K171" s="103"/>
    </row>
    <row r="172" spans="4:11" s="105" customFormat="1" x14ac:dyDescent="0.3">
      <c r="D172" s="106"/>
      <c r="E172" s="103"/>
      <c r="F172" s="103"/>
      <c r="G172" s="103"/>
      <c r="H172" s="103"/>
      <c r="I172" s="103"/>
      <c r="J172" s="103"/>
      <c r="K172" s="103"/>
    </row>
    <row r="173" spans="4:11" s="105" customFormat="1" x14ac:dyDescent="0.3">
      <c r="D173" s="106"/>
      <c r="E173" s="103"/>
      <c r="F173" s="103"/>
      <c r="G173" s="103"/>
      <c r="H173" s="103"/>
      <c r="I173" s="103"/>
      <c r="J173" s="103"/>
      <c r="K173" s="103"/>
    </row>
    <row r="174" spans="4:11" s="105" customFormat="1" x14ac:dyDescent="0.3">
      <c r="D174" s="106"/>
      <c r="E174" s="103"/>
      <c r="F174" s="103"/>
      <c r="G174" s="103"/>
      <c r="H174" s="103"/>
      <c r="I174" s="103"/>
      <c r="J174" s="103"/>
      <c r="K174" s="103"/>
    </row>
    <row r="175" spans="4:11" s="105" customFormat="1" x14ac:dyDescent="0.3">
      <c r="D175" s="106"/>
      <c r="E175" s="103"/>
      <c r="F175" s="103"/>
      <c r="G175" s="103"/>
      <c r="H175" s="103"/>
      <c r="I175" s="103"/>
      <c r="J175" s="103"/>
      <c r="K175" s="103"/>
    </row>
    <row r="176" spans="4:11" s="105" customFormat="1" x14ac:dyDescent="0.3">
      <c r="D176" s="106"/>
      <c r="E176" s="103"/>
      <c r="F176" s="103"/>
      <c r="G176" s="103"/>
      <c r="H176" s="103"/>
      <c r="I176" s="103"/>
      <c r="J176" s="103"/>
      <c r="K176" s="103"/>
    </row>
    <row r="177" spans="4:11" s="105" customFormat="1" x14ac:dyDescent="0.3">
      <c r="D177" s="106"/>
      <c r="E177" s="103"/>
      <c r="F177" s="103"/>
      <c r="G177" s="103"/>
      <c r="H177" s="103"/>
      <c r="I177" s="103"/>
      <c r="J177" s="103"/>
      <c r="K177" s="103"/>
    </row>
    <row r="178" spans="4:11" s="105" customFormat="1" x14ac:dyDescent="0.3">
      <c r="D178" s="106"/>
      <c r="E178" s="103"/>
      <c r="F178" s="103"/>
      <c r="G178" s="103"/>
      <c r="H178" s="103"/>
      <c r="I178" s="103"/>
      <c r="J178" s="103"/>
      <c r="K178" s="103"/>
    </row>
    <row r="179" spans="4:11" s="105" customFormat="1" x14ac:dyDescent="0.3">
      <c r="D179" s="106"/>
      <c r="E179" s="103"/>
      <c r="F179" s="103"/>
      <c r="G179" s="103"/>
      <c r="H179" s="103"/>
      <c r="I179" s="103"/>
      <c r="J179" s="103"/>
      <c r="K179" s="103"/>
    </row>
    <row r="180" spans="4:11" s="105" customFormat="1" x14ac:dyDescent="0.3">
      <c r="D180" s="106"/>
      <c r="E180" s="103"/>
      <c r="F180" s="103"/>
      <c r="G180" s="103"/>
      <c r="H180" s="103"/>
      <c r="I180" s="103"/>
      <c r="J180" s="103"/>
      <c r="K180" s="103"/>
    </row>
    <row r="181" spans="4:11" s="105" customFormat="1" x14ac:dyDescent="0.3">
      <c r="D181" s="106"/>
      <c r="E181" s="103"/>
      <c r="F181" s="103"/>
      <c r="G181" s="103"/>
      <c r="H181" s="103"/>
      <c r="I181" s="103"/>
      <c r="J181" s="103"/>
      <c r="K181" s="103"/>
    </row>
    <row r="182" spans="4:11" s="105" customFormat="1" x14ac:dyDescent="0.3">
      <c r="D182" s="106"/>
      <c r="E182" s="103"/>
      <c r="F182" s="103"/>
      <c r="G182" s="103"/>
      <c r="H182" s="103"/>
      <c r="I182" s="103"/>
      <c r="J182" s="103"/>
      <c r="K182" s="103"/>
    </row>
    <row r="183" spans="4:11" s="105" customFormat="1" x14ac:dyDescent="0.3">
      <c r="D183" s="106"/>
      <c r="E183" s="103"/>
      <c r="F183" s="103"/>
      <c r="G183" s="103"/>
      <c r="H183" s="103"/>
      <c r="I183" s="103"/>
      <c r="J183" s="103"/>
      <c r="K183" s="103"/>
    </row>
    <row r="184" spans="4:11" s="105" customFormat="1" x14ac:dyDescent="0.3">
      <c r="D184" s="106"/>
      <c r="E184" s="103"/>
      <c r="F184" s="103"/>
      <c r="G184" s="103"/>
      <c r="H184" s="103"/>
      <c r="I184" s="103"/>
      <c r="J184" s="103"/>
      <c r="K184" s="103"/>
    </row>
    <row r="185" spans="4:11" s="105" customFormat="1" x14ac:dyDescent="0.3">
      <c r="D185" s="106"/>
      <c r="E185" s="103"/>
      <c r="F185" s="103"/>
      <c r="G185" s="103"/>
      <c r="H185" s="103"/>
      <c r="I185" s="103"/>
      <c r="J185" s="103"/>
      <c r="K185" s="103"/>
    </row>
    <row r="186" spans="4:11" s="105" customFormat="1" x14ac:dyDescent="0.3">
      <c r="D186" s="106"/>
      <c r="E186" s="103"/>
      <c r="F186" s="103"/>
      <c r="G186" s="103"/>
      <c r="H186" s="103"/>
      <c r="I186" s="103"/>
      <c r="J186" s="103"/>
      <c r="K186" s="103"/>
    </row>
    <row r="187" spans="4:11" s="105" customFormat="1" x14ac:dyDescent="0.3">
      <c r="D187" s="106"/>
      <c r="E187" s="103"/>
      <c r="F187" s="103"/>
      <c r="G187" s="103"/>
      <c r="H187" s="103"/>
      <c r="I187" s="103"/>
      <c r="J187" s="103"/>
      <c r="K187" s="103"/>
    </row>
    <row r="188" spans="4:11" s="105" customFormat="1" x14ac:dyDescent="0.3">
      <c r="D188" s="106"/>
      <c r="E188" s="103"/>
      <c r="F188" s="103"/>
      <c r="G188" s="103"/>
      <c r="H188" s="103"/>
      <c r="I188" s="103"/>
      <c r="J188" s="103"/>
      <c r="K188" s="103"/>
    </row>
    <row r="189" spans="4:11" s="105" customFormat="1" x14ac:dyDescent="0.3">
      <c r="D189" s="106"/>
      <c r="E189" s="103"/>
      <c r="F189" s="103"/>
      <c r="G189" s="103"/>
      <c r="H189" s="103"/>
      <c r="I189" s="103"/>
      <c r="J189" s="103"/>
      <c r="K189" s="103"/>
    </row>
    <row r="190" spans="4:11" s="105" customFormat="1" x14ac:dyDescent="0.3">
      <c r="D190" s="106"/>
      <c r="E190" s="103"/>
      <c r="F190" s="103"/>
      <c r="G190" s="103"/>
      <c r="H190" s="103"/>
      <c r="I190" s="103"/>
      <c r="J190" s="103"/>
      <c r="K190" s="103"/>
    </row>
    <row r="191" spans="4:11" s="105" customFormat="1" x14ac:dyDescent="0.3">
      <c r="D191" s="106"/>
      <c r="E191" s="103"/>
      <c r="F191" s="103"/>
      <c r="G191" s="103"/>
      <c r="H191" s="103"/>
      <c r="I191" s="103"/>
      <c r="J191" s="103"/>
      <c r="K191" s="103"/>
    </row>
    <row r="192" spans="4:11" s="105" customFormat="1" x14ac:dyDescent="0.3">
      <c r="D192" s="106"/>
      <c r="E192" s="103"/>
      <c r="F192" s="103"/>
      <c r="G192" s="103"/>
      <c r="H192" s="103"/>
      <c r="I192" s="103"/>
      <c r="J192" s="103"/>
      <c r="K192" s="103"/>
    </row>
    <row r="193" spans="4:11" s="105" customFormat="1" x14ac:dyDescent="0.3">
      <c r="D193" s="106"/>
      <c r="E193" s="103"/>
      <c r="F193" s="103"/>
      <c r="G193" s="103"/>
      <c r="H193" s="103"/>
      <c r="I193" s="103"/>
      <c r="J193" s="103"/>
      <c r="K193" s="103"/>
    </row>
    <row r="194" spans="4:11" s="105" customFormat="1" x14ac:dyDescent="0.3">
      <c r="D194" s="106"/>
      <c r="E194" s="103"/>
      <c r="F194" s="103"/>
      <c r="G194" s="103"/>
      <c r="H194" s="103"/>
      <c r="I194" s="103"/>
      <c r="J194" s="103"/>
      <c r="K194" s="103"/>
    </row>
    <row r="195" spans="4:11" s="105" customFormat="1" x14ac:dyDescent="0.3">
      <c r="D195" s="106"/>
      <c r="E195" s="103"/>
      <c r="F195" s="103"/>
      <c r="G195" s="103"/>
      <c r="H195" s="103"/>
      <c r="I195" s="103"/>
      <c r="J195" s="103"/>
      <c r="K195" s="103"/>
    </row>
    <row r="196" spans="4:11" s="105" customFormat="1" x14ac:dyDescent="0.3">
      <c r="D196" s="106"/>
      <c r="E196" s="103"/>
      <c r="F196" s="103"/>
      <c r="G196" s="103"/>
      <c r="H196" s="103"/>
      <c r="I196" s="103"/>
      <c r="J196" s="103"/>
      <c r="K196" s="103"/>
    </row>
    <row r="197" spans="4:11" s="105" customFormat="1" x14ac:dyDescent="0.3">
      <c r="D197" s="106"/>
      <c r="E197" s="103"/>
      <c r="F197" s="103"/>
      <c r="G197" s="103"/>
      <c r="H197" s="103"/>
      <c r="I197" s="103"/>
      <c r="J197" s="103"/>
      <c r="K197" s="103"/>
    </row>
    <row r="198" spans="4:11" s="105" customFormat="1" x14ac:dyDescent="0.3">
      <c r="D198" s="106"/>
      <c r="E198" s="103"/>
      <c r="F198" s="103"/>
      <c r="G198" s="103"/>
      <c r="H198" s="103"/>
      <c r="I198" s="103"/>
      <c r="J198" s="103"/>
      <c r="K198" s="103"/>
    </row>
    <row r="199" spans="4:11" s="105" customFormat="1" x14ac:dyDescent="0.3">
      <c r="D199" s="106"/>
      <c r="E199" s="103"/>
      <c r="F199" s="103"/>
      <c r="G199" s="103"/>
      <c r="H199" s="103"/>
      <c r="I199" s="103"/>
      <c r="J199" s="103"/>
      <c r="K199" s="103"/>
    </row>
    <row r="200" spans="4:11" s="105" customFormat="1" x14ac:dyDescent="0.3">
      <c r="D200" s="106"/>
      <c r="E200" s="103"/>
      <c r="F200" s="103"/>
      <c r="G200" s="103"/>
      <c r="H200" s="103"/>
      <c r="I200" s="103"/>
      <c r="J200" s="103"/>
      <c r="K200" s="103"/>
    </row>
    <row r="201" spans="4:11" s="105" customFormat="1" x14ac:dyDescent="0.3">
      <c r="D201" s="106"/>
      <c r="E201" s="103"/>
      <c r="F201" s="103"/>
      <c r="G201" s="103"/>
      <c r="H201" s="103"/>
      <c r="I201" s="103"/>
      <c r="J201" s="103"/>
      <c r="K201" s="103"/>
    </row>
    <row r="202" spans="4:11" s="105" customFormat="1" x14ac:dyDescent="0.3">
      <c r="D202" s="106"/>
      <c r="E202" s="103"/>
      <c r="F202" s="103"/>
      <c r="G202" s="103"/>
      <c r="H202" s="103"/>
      <c r="I202" s="103"/>
      <c r="J202" s="103"/>
      <c r="K202" s="103"/>
    </row>
    <row r="203" spans="4:11" s="105" customFormat="1" x14ac:dyDescent="0.3">
      <c r="D203" s="106"/>
      <c r="E203" s="103"/>
      <c r="F203" s="103"/>
      <c r="G203" s="103"/>
      <c r="H203" s="103"/>
      <c r="I203" s="103"/>
      <c r="J203" s="103"/>
      <c r="K203" s="103"/>
    </row>
    <row r="204" spans="4:11" s="105" customFormat="1" x14ac:dyDescent="0.3">
      <c r="D204" s="106"/>
      <c r="E204" s="103"/>
      <c r="F204" s="103"/>
      <c r="G204" s="103"/>
      <c r="H204" s="103"/>
      <c r="I204" s="103"/>
      <c r="J204" s="103"/>
      <c r="K204" s="103"/>
    </row>
    <row r="205" spans="4:11" s="105" customFormat="1" x14ac:dyDescent="0.3">
      <c r="D205" s="106"/>
      <c r="E205" s="103"/>
      <c r="F205" s="103"/>
      <c r="G205" s="103"/>
      <c r="H205" s="103"/>
      <c r="I205" s="103"/>
      <c r="J205" s="103"/>
      <c r="K205" s="103"/>
    </row>
    <row r="206" spans="4:11" s="105" customFormat="1" x14ac:dyDescent="0.3">
      <c r="D206" s="106"/>
      <c r="E206" s="103"/>
      <c r="F206" s="103"/>
      <c r="G206" s="103"/>
      <c r="H206" s="103"/>
      <c r="I206" s="103"/>
      <c r="J206" s="103"/>
      <c r="K206" s="103"/>
    </row>
    <row r="207" spans="4:11" s="105" customFormat="1" x14ac:dyDescent="0.3">
      <c r="D207" s="106"/>
      <c r="E207" s="103"/>
      <c r="F207" s="103"/>
      <c r="G207" s="103"/>
      <c r="H207" s="103"/>
      <c r="I207" s="103"/>
      <c r="J207" s="103"/>
      <c r="K207" s="103"/>
    </row>
    <row r="208" spans="4:11" s="105" customFormat="1" x14ac:dyDescent="0.3">
      <c r="D208" s="106"/>
      <c r="E208" s="103"/>
      <c r="F208" s="103"/>
      <c r="G208" s="103"/>
      <c r="H208" s="103"/>
      <c r="I208" s="103"/>
      <c r="J208" s="103"/>
      <c r="K208" s="103"/>
    </row>
    <row r="209" spans="4:11" s="105" customFormat="1" x14ac:dyDescent="0.3">
      <c r="D209" s="106"/>
      <c r="E209" s="103"/>
      <c r="F209" s="103"/>
      <c r="G209" s="103"/>
      <c r="H209" s="103"/>
      <c r="I209" s="103"/>
      <c r="J209" s="103"/>
      <c r="K209" s="103"/>
    </row>
    <row r="210" spans="4:11" s="105" customFormat="1" x14ac:dyDescent="0.3">
      <c r="D210" s="106"/>
      <c r="E210" s="103"/>
      <c r="F210" s="103"/>
      <c r="G210" s="103"/>
      <c r="H210" s="103"/>
      <c r="I210" s="103"/>
      <c r="J210" s="103"/>
      <c r="K210" s="103"/>
    </row>
    <row r="211" spans="4:11" s="105" customFormat="1" x14ac:dyDescent="0.3">
      <c r="D211" s="106"/>
      <c r="E211" s="103"/>
      <c r="F211" s="103"/>
      <c r="G211" s="103"/>
      <c r="H211" s="103"/>
      <c r="I211" s="103"/>
      <c r="J211" s="103"/>
      <c r="K211" s="103"/>
    </row>
    <row r="212" spans="4:11" s="105" customFormat="1" x14ac:dyDescent="0.3">
      <c r="D212" s="106"/>
      <c r="E212" s="103"/>
      <c r="F212" s="103"/>
      <c r="G212" s="103"/>
      <c r="H212" s="103"/>
      <c r="I212" s="103"/>
      <c r="J212" s="103"/>
      <c r="K212" s="103"/>
    </row>
    <row r="213" spans="4:11" s="105" customFormat="1" x14ac:dyDescent="0.3">
      <c r="D213" s="106"/>
      <c r="E213" s="103"/>
      <c r="F213" s="103"/>
      <c r="G213" s="103"/>
      <c r="H213" s="103"/>
      <c r="I213" s="103"/>
      <c r="J213" s="103"/>
      <c r="K213" s="103"/>
    </row>
    <row r="214" spans="4:11" s="105" customFormat="1" x14ac:dyDescent="0.3">
      <c r="D214" s="106"/>
      <c r="E214" s="103"/>
      <c r="F214" s="103"/>
      <c r="G214" s="103"/>
      <c r="H214" s="103"/>
      <c r="I214" s="103"/>
      <c r="J214" s="103"/>
      <c r="K214" s="103"/>
    </row>
    <row r="215" spans="4:11" s="105" customFormat="1" x14ac:dyDescent="0.3">
      <c r="D215" s="106"/>
      <c r="E215" s="103"/>
      <c r="F215" s="103"/>
      <c r="G215" s="103"/>
      <c r="H215" s="103"/>
      <c r="I215" s="103"/>
      <c r="J215" s="103"/>
      <c r="K215" s="103"/>
    </row>
    <row r="216" spans="4:11" s="105" customFormat="1" x14ac:dyDescent="0.3">
      <c r="D216" s="106"/>
      <c r="E216" s="103"/>
      <c r="F216" s="103"/>
      <c r="G216" s="103"/>
      <c r="H216" s="103"/>
      <c r="I216" s="103"/>
      <c r="J216" s="103"/>
      <c r="K216" s="103"/>
    </row>
    <row r="217" spans="4:11" s="105" customFormat="1" x14ac:dyDescent="0.3">
      <c r="D217" s="106"/>
      <c r="E217" s="103"/>
      <c r="F217" s="103"/>
      <c r="G217" s="103"/>
      <c r="H217" s="103"/>
      <c r="I217" s="103"/>
      <c r="J217" s="103"/>
      <c r="K217" s="103"/>
    </row>
    <row r="218" spans="4:11" s="105" customFormat="1" x14ac:dyDescent="0.3">
      <c r="D218" s="106"/>
      <c r="E218" s="103"/>
      <c r="F218" s="103"/>
      <c r="G218" s="103"/>
      <c r="H218" s="103"/>
      <c r="I218" s="103"/>
      <c r="J218" s="103"/>
      <c r="K218" s="103"/>
    </row>
    <row r="219" spans="4:11" s="105" customFormat="1" x14ac:dyDescent="0.3">
      <c r="D219" s="106"/>
      <c r="E219" s="103"/>
      <c r="F219" s="103"/>
      <c r="G219" s="103"/>
      <c r="H219" s="103"/>
      <c r="I219" s="103"/>
      <c r="J219" s="103"/>
      <c r="K219" s="103"/>
    </row>
  </sheetData>
  <sortState ref="B2:J44">
    <sortCondition ref="B2"/>
  </sortState>
  <conditionalFormatting sqref="A1:M1048576">
    <cfRule type="expression" dxfId="194" priority="22">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E8C6A7F4-3D46-4D9E-86D0-C62A20C6F678}">
            <xm:f>$K1=FilterSpecs!$F$13</xm:f>
            <x14:dxf>
              <font>
                <b/>
                <i val="0"/>
                <color theme="0"/>
              </font>
              <fill>
                <patternFill>
                  <bgColor theme="9" tint="-0.499984740745262"/>
                </patternFill>
              </fill>
            </x14:dxf>
          </x14:cfRule>
          <x14:cfRule type="expression" priority="20" id="{99C4350B-9A00-4DE9-B55F-1278ED418BDE}">
            <xm:f>$K1=FilterSpecs!$F$12</xm:f>
            <x14:dxf>
              <font>
                <b/>
                <i val="0"/>
                <color theme="0"/>
              </font>
              <fill>
                <patternFill>
                  <bgColor rgb="FFFF4F4F"/>
                </patternFill>
              </fill>
            </x14:dxf>
          </x14:cfRule>
          <x14:cfRule type="expression" priority="21" id="{7B884D3F-E64D-4080-A80A-AD60AAE26651}">
            <xm:f>$K1=FilterSpecs!$F$9</xm:f>
            <x14:dxf>
              <font>
                <b/>
                <i val="0"/>
                <color theme="0"/>
              </font>
              <fill>
                <patternFill>
                  <bgColor rgb="FFFF0000"/>
                </patternFill>
              </fill>
            </x14:dxf>
          </x14:cfRule>
          <x14:cfRule type="expression" priority="34" id="{1A570783-C8E6-4D4F-A6AF-CD5259DBAD80}">
            <xm:f>$K1=FilterSpecs!$F$8</xm:f>
            <x14:dxf>
              <font>
                <b/>
                <i val="0"/>
                <color theme="0"/>
              </font>
              <fill>
                <patternFill>
                  <bgColor rgb="FF00B0F0"/>
                </patternFill>
              </fill>
            </x14:dxf>
          </x14:cfRule>
          <x14:cfRule type="expression" priority="35" id="{853F1B87-3686-4CC0-940C-E8B11F77F04B}">
            <xm:f>$K1=FilterSpecs!$F$10</xm:f>
            <x14:dxf>
              <font>
                <b/>
                <i val="0"/>
                <color theme="0"/>
              </font>
              <fill>
                <patternFill>
                  <bgColor rgb="FF002060"/>
                </patternFill>
              </fill>
            </x14:dxf>
          </x14:cfRule>
          <x14:cfRule type="expression" priority="36" id="{2EE931AB-F9D3-4BA8-8FDF-A92F2230E641}">
            <xm:f>$K1=FilterSpecs!$F$7</xm:f>
            <x14:dxf>
              <font>
                <b/>
                <i val="0"/>
                <color theme="0"/>
              </font>
              <fill>
                <patternFill>
                  <bgColor rgb="FFFFC000"/>
                </patternFill>
              </fill>
            </x14:dxf>
          </x14:cfRule>
          <xm:sqref>A1:M1048576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BC7F0-4A68-4A45-83A5-4E8D2E0AE91A}">
  <sheetPr codeName="Sheet16"/>
  <dimension ref="A1:XFD257"/>
  <sheetViews>
    <sheetView topLeftCell="D211" workbookViewId="0">
      <selection activeCell="L81" sqref="L81"/>
    </sheetView>
  </sheetViews>
  <sheetFormatPr defaultRowHeight="14.4" x14ac:dyDescent="0.3"/>
  <cols>
    <col min="1" max="1" width="41.44140625" style="107" customWidth="1"/>
    <col min="2" max="2" width="37.44140625" style="107" bestFit="1" customWidth="1"/>
    <col min="3" max="3" width="10.21875" style="107" bestFit="1" customWidth="1"/>
    <col min="4" max="4" width="10.88671875" style="107" bestFit="1" customWidth="1"/>
    <col min="5" max="5" width="8.33203125" style="111" bestFit="1" customWidth="1"/>
    <col min="6" max="6" width="2.33203125" style="105" hidden="1" customWidth="1"/>
    <col min="7" max="7" width="0.77734375" style="105" hidden="1" customWidth="1"/>
    <col min="8" max="8" width="79.109375" style="107" bestFit="1" customWidth="1"/>
    <col min="9" max="9" width="8.88671875" style="105" hidden="1" customWidth="1"/>
    <col min="10" max="10" width="12" style="111" bestFit="1" customWidth="1"/>
    <col min="11" max="11" width="4" style="107" bestFit="1" customWidth="1"/>
    <col min="12" max="12" width="42.109375" style="105" customWidth="1"/>
    <col min="13" max="16384" width="8.88671875" style="105"/>
  </cols>
  <sheetData>
    <row r="1" spans="1:16384" s="77" customFormat="1" ht="15.6" thickTop="1" thickBot="1" x14ac:dyDescent="0.35">
      <c r="A1" s="84" t="s">
        <v>893</v>
      </c>
      <c r="B1" s="84" t="s">
        <v>163</v>
      </c>
      <c r="C1" s="84" t="s">
        <v>7</v>
      </c>
      <c r="D1" s="84" t="s">
        <v>25</v>
      </c>
      <c r="E1" s="87" t="s">
        <v>26</v>
      </c>
      <c r="F1" s="77" t="s">
        <v>27</v>
      </c>
      <c r="G1" s="77" t="s">
        <v>28</v>
      </c>
      <c r="H1" s="84" t="s">
        <v>29</v>
      </c>
      <c r="I1" s="77" t="s">
        <v>30</v>
      </c>
      <c r="J1" s="87" t="s">
        <v>31</v>
      </c>
      <c r="K1" s="84"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7" t="s">
        <v>897</v>
      </c>
      <c r="B2" s="107" t="s">
        <v>891</v>
      </c>
      <c r="C2" s="107" t="s">
        <v>8</v>
      </c>
      <c r="D2" s="106" t="s">
        <v>1295</v>
      </c>
      <c r="E2" s="104">
        <f>SUM(E3:E7)</f>
        <v>4</v>
      </c>
      <c r="F2" s="103" t="s">
        <v>1296</v>
      </c>
      <c r="G2" s="103" t="s">
        <v>1297</v>
      </c>
      <c r="H2" s="106" t="s">
        <v>1298</v>
      </c>
      <c r="I2" s="103">
        <v>1</v>
      </c>
      <c r="J2" s="104">
        <v>1.5</v>
      </c>
      <c r="K2" s="106" t="s">
        <v>1911</v>
      </c>
      <c r="L2" s="103"/>
      <c r="M2" s="105">
        <f t="shared" ref="M2:M7" si="0">E2*J2</f>
        <v>6</v>
      </c>
    </row>
    <row r="3" spans="1:16384" x14ac:dyDescent="0.3">
      <c r="A3" s="107" t="s">
        <v>897</v>
      </c>
      <c r="B3" s="107" t="s">
        <v>891</v>
      </c>
      <c r="C3" s="107" t="s">
        <v>8</v>
      </c>
      <c r="D3" s="106" t="s">
        <v>603</v>
      </c>
      <c r="E3" s="104">
        <v>1</v>
      </c>
      <c r="F3" s="103" t="s">
        <v>604</v>
      </c>
      <c r="G3" s="103" t="s">
        <v>605</v>
      </c>
      <c r="H3" s="106" t="s">
        <v>606</v>
      </c>
      <c r="I3" s="103"/>
      <c r="J3" s="104">
        <v>1.95</v>
      </c>
      <c r="K3" s="106" t="s">
        <v>1910</v>
      </c>
      <c r="L3" s="103"/>
      <c r="M3" s="105">
        <f t="shared" si="0"/>
        <v>1.95</v>
      </c>
    </row>
    <row r="4" spans="1:16384" x14ac:dyDescent="0.3">
      <c r="A4" s="107" t="s">
        <v>897</v>
      </c>
      <c r="B4" s="107" t="s">
        <v>891</v>
      </c>
      <c r="C4" s="107" t="s">
        <v>8</v>
      </c>
      <c r="D4" s="106" t="s">
        <v>607</v>
      </c>
      <c r="E4" s="104">
        <v>1</v>
      </c>
      <c r="F4" s="103" t="s">
        <v>608</v>
      </c>
      <c r="G4" s="103" t="s">
        <v>609</v>
      </c>
      <c r="H4" s="106" t="s">
        <v>610</v>
      </c>
      <c r="I4" s="103"/>
      <c r="J4" s="104">
        <v>1.95</v>
      </c>
      <c r="K4" s="106" t="s">
        <v>1910</v>
      </c>
      <c r="L4" s="103"/>
      <c r="M4" s="105">
        <f t="shared" si="0"/>
        <v>1.95</v>
      </c>
    </row>
    <row r="5" spans="1:16384" x14ac:dyDescent="0.3">
      <c r="A5" s="107" t="s">
        <v>897</v>
      </c>
      <c r="B5" s="107" t="s">
        <v>891</v>
      </c>
      <c r="C5" s="107" t="s">
        <v>8</v>
      </c>
      <c r="D5" s="106" t="s">
        <v>1293</v>
      </c>
      <c r="E5" s="104">
        <v>1</v>
      </c>
      <c r="F5" s="103" t="s">
        <v>1299</v>
      </c>
      <c r="G5" s="103" t="s">
        <v>1300</v>
      </c>
      <c r="H5" s="106" t="s">
        <v>1294</v>
      </c>
      <c r="I5" s="103"/>
      <c r="J5" s="104">
        <v>1.95</v>
      </c>
      <c r="K5" s="106" t="s">
        <v>1910</v>
      </c>
      <c r="L5" s="103"/>
      <c r="M5" s="105">
        <f t="shared" si="0"/>
        <v>1.95</v>
      </c>
    </row>
    <row r="6" spans="1:16384" x14ac:dyDescent="0.3">
      <c r="A6" s="107" t="s">
        <v>897</v>
      </c>
      <c r="B6" s="107" t="s">
        <v>891</v>
      </c>
      <c r="C6" s="107" t="s">
        <v>8</v>
      </c>
      <c r="D6" s="106" t="s">
        <v>1709</v>
      </c>
      <c r="E6" s="104">
        <v>0</v>
      </c>
      <c r="F6" s="103" t="s">
        <v>1710</v>
      </c>
      <c r="G6" s="103" t="s">
        <v>1711</v>
      </c>
      <c r="H6" s="106" t="s">
        <v>1712</v>
      </c>
      <c r="I6" s="103"/>
      <c r="J6" s="104">
        <v>1.95</v>
      </c>
      <c r="K6" s="106" t="s">
        <v>1910</v>
      </c>
      <c r="L6" s="103"/>
      <c r="M6" s="105">
        <f t="shared" si="0"/>
        <v>0</v>
      </c>
    </row>
    <row r="7" spans="1:16384" x14ac:dyDescent="0.3">
      <c r="A7" s="107" t="s">
        <v>897</v>
      </c>
      <c r="B7" s="107" t="s">
        <v>891</v>
      </c>
      <c r="C7" s="107" t="s">
        <v>8</v>
      </c>
      <c r="D7" s="106" t="s">
        <v>1713</v>
      </c>
      <c r="E7" s="104">
        <v>1</v>
      </c>
      <c r="F7" s="103" t="s">
        <v>1714</v>
      </c>
      <c r="G7" s="103" t="s">
        <v>1715</v>
      </c>
      <c r="H7" s="106" t="s">
        <v>1716</v>
      </c>
      <c r="I7" s="103"/>
      <c r="J7" s="104">
        <v>1.95</v>
      </c>
      <c r="K7" s="106" t="s">
        <v>1910</v>
      </c>
      <c r="L7" s="103"/>
      <c r="M7" s="105">
        <f t="shared" si="0"/>
        <v>1.95</v>
      </c>
    </row>
    <row r="8" spans="1:16384" x14ac:dyDescent="0.3">
      <c r="A8" s="106" t="s">
        <v>897</v>
      </c>
      <c r="B8" s="106" t="s">
        <v>891</v>
      </c>
      <c r="C8" s="106" t="s">
        <v>1898</v>
      </c>
      <c r="D8" s="106" t="s">
        <v>2136</v>
      </c>
      <c r="E8" s="104">
        <v>0</v>
      </c>
      <c r="F8" s="103"/>
      <c r="G8" s="103"/>
      <c r="H8" s="107" t="s">
        <v>2137</v>
      </c>
      <c r="J8" s="111">
        <v>2.5</v>
      </c>
      <c r="K8" s="107" t="s">
        <v>1910</v>
      </c>
    </row>
    <row r="9" spans="1:16384" x14ac:dyDescent="0.3">
      <c r="A9" s="107" t="s">
        <v>897</v>
      </c>
      <c r="B9" s="107" t="s">
        <v>891</v>
      </c>
      <c r="C9" s="107" t="s">
        <v>8</v>
      </c>
      <c r="D9" s="106" t="s">
        <v>615</v>
      </c>
      <c r="E9" s="104">
        <v>2</v>
      </c>
      <c r="F9" s="103" t="s">
        <v>616</v>
      </c>
      <c r="G9" s="103" t="s">
        <v>617</v>
      </c>
      <c r="H9" s="106" t="s">
        <v>618</v>
      </c>
      <c r="I9" s="103">
        <v>1</v>
      </c>
      <c r="J9" s="104">
        <v>0.35</v>
      </c>
      <c r="K9" s="106" t="s">
        <v>1910</v>
      </c>
      <c r="L9" s="103"/>
      <c r="M9" s="105">
        <f>E9*J9</f>
        <v>0.7</v>
      </c>
    </row>
    <row r="10" spans="1:16384" x14ac:dyDescent="0.3">
      <c r="A10" s="107" t="s">
        <v>897</v>
      </c>
      <c r="B10" s="107" t="s">
        <v>891</v>
      </c>
      <c r="C10" s="107" t="s">
        <v>8</v>
      </c>
      <c r="D10" s="106" t="s">
        <v>627</v>
      </c>
      <c r="E10" s="104">
        <v>2</v>
      </c>
      <c r="F10" s="103" t="s">
        <v>628</v>
      </c>
      <c r="G10" s="103" t="s">
        <v>629</v>
      </c>
      <c r="H10" s="106" t="s">
        <v>630</v>
      </c>
      <c r="I10" s="103">
        <v>1</v>
      </c>
      <c r="J10" s="104">
        <v>0.5</v>
      </c>
      <c r="K10" s="106" t="s">
        <v>1910</v>
      </c>
      <c r="L10" s="103"/>
      <c r="M10" s="105">
        <f>E10*J10</f>
        <v>1</v>
      </c>
    </row>
    <row r="11" spans="1:16384" x14ac:dyDescent="0.3">
      <c r="A11" s="107" t="s">
        <v>897</v>
      </c>
      <c r="B11" s="107" t="s">
        <v>891</v>
      </c>
      <c r="C11" s="107" t="s">
        <v>8</v>
      </c>
      <c r="D11" s="106" t="s">
        <v>623</v>
      </c>
      <c r="E11" s="104">
        <v>2</v>
      </c>
      <c r="F11" s="103" t="s">
        <v>624</v>
      </c>
      <c r="G11" s="103" t="s">
        <v>625</v>
      </c>
      <c r="H11" s="106" t="s">
        <v>626</v>
      </c>
      <c r="I11" s="103">
        <v>1</v>
      </c>
      <c r="J11" s="104">
        <v>0.5</v>
      </c>
      <c r="K11" s="106" t="s">
        <v>1910</v>
      </c>
      <c r="L11" s="103"/>
      <c r="M11" s="105">
        <f>E11*J11</f>
        <v>1</v>
      </c>
    </row>
    <row r="12" spans="1:16384" x14ac:dyDescent="0.3">
      <c r="A12" s="106" t="s">
        <v>897</v>
      </c>
      <c r="B12" s="106" t="s">
        <v>891</v>
      </c>
      <c r="C12" s="106" t="s">
        <v>1898</v>
      </c>
      <c r="D12" s="106" t="s">
        <v>2124</v>
      </c>
      <c r="E12" s="104">
        <v>0</v>
      </c>
      <c r="F12" s="103"/>
      <c r="G12" s="103"/>
      <c r="H12" s="107" t="s">
        <v>2125</v>
      </c>
      <c r="J12" s="111">
        <v>1.95</v>
      </c>
      <c r="K12" s="107" t="s">
        <v>1910</v>
      </c>
    </row>
    <row r="13" spans="1:16384" x14ac:dyDescent="0.3">
      <c r="A13" s="106" t="s">
        <v>897</v>
      </c>
      <c r="B13" s="106" t="s">
        <v>891</v>
      </c>
      <c r="C13" s="106" t="s">
        <v>1898</v>
      </c>
      <c r="D13" s="106" t="s">
        <v>2126</v>
      </c>
      <c r="E13" s="104">
        <v>0</v>
      </c>
      <c r="F13" s="103"/>
      <c r="G13" s="103"/>
      <c r="H13" s="107" t="s">
        <v>2127</v>
      </c>
      <c r="J13" s="111">
        <v>1.95</v>
      </c>
      <c r="K13" s="107" t="s">
        <v>1910</v>
      </c>
    </row>
    <row r="14" spans="1:16384" x14ac:dyDescent="0.3">
      <c r="A14" s="107" t="s">
        <v>897</v>
      </c>
      <c r="B14" s="107" t="s">
        <v>891</v>
      </c>
      <c r="C14" s="107" t="s">
        <v>8</v>
      </c>
      <c r="D14" s="106" t="s">
        <v>619</v>
      </c>
      <c r="E14" s="104">
        <v>4</v>
      </c>
      <c r="F14" s="103" t="s">
        <v>620</v>
      </c>
      <c r="G14" s="103" t="s">
        <v>621</v>
      </c>
      <c r="H14" s="106" t="s">
        <v>622</v>
      </c>
      <c r="I14" s="103">
        <v>1</v>
      </c>
      <c r="J14" s="104">
        <v>0.5</v>
      </c>
      <c r="K14" s="106" t="s">
        <v>1910</v>
      </c>
      <c r="L14" s="103"/>
      <c r="M14" s="105">
        <f t="shared" ref="M14:M22" si="1">E14*J14</f>
        <v>2</v>
      </c>
    </row>
    <row r="15" spans="1:16384" x14ac:dyDescent="0.3">
      <c r="A15" s="107" t="s">
        <v>897</v>
      </c>
      <c r="B15" s="107" t="s">
        <v>891</v>
      </c>
      <c r="C15" s="107" t="s">
        <v>8</v>
      </c>
      <c r="D15" s="106" t="s">
        <v>531</v>
      </c>
      <c r="E15" s="104">
        <v>7</v>
      </c>
      <c r="F15" s="103" t="s">
        <v>532</v>
      </c>
      <c r="G15" s="103" t="s">
        <v>533</v>
      </c>
      <c r="H15" s="106" t="s">
        <v>534</v>
      </c>
      <c r="I15" s="103">
        <v>1</v>
      </c>
      <c r="J15" s="104">
        <v>0.95</v>
      </c>
      <c r="K15" s="106" t="s">
        <v>1911</v>
      </c>
      <c r="L15" s="103"/>
      <c r="M15" s="105">
        <f t="shared" si="1"/>
        <v>6.6499999999999995</v>
      </c>
    </row>
    <row r="16" spans="1:16384" x14ac:dyDescent="0.3">
      <c r="A16" s="107" t="s">
        <v>897</v>
      </c>
      <c r="B16" s="107" t="s">
        <v>891</v>
      </c>
      <c r="C16" s="107" t="s">
        <v>8</v>
      </c>
      <c r="D16" s="106" t="s">
        <v>631</v>
      </c>
      <c r="E16" s="104">
        <v>2</v>
      </c>
      <c r="F16" s="103" t="s">
        <v>632</v>
      </c>
      <c r="G16" s="103" t="s">
        <v>633</v>
      </c>
      <c r="H16" s="106" t="s">
        <v>634</v>
      </c>
      <c r="I16" s="103">
        <v>1</v>
      </c>
      <c r="J16" s="104">
        <v>1.5</v>
      </c>
      <c r="K16" s="106" t="s">
        <v>1910</v>
      </c>
      <c r="L16" s="103"/>
      <c r="M16" s="105">
        <f t="shared" si="1"/>
        <v>3</v>
      </c>
    </row>
    <row r="17" spans="1:13" x14ac:dyDescent="0.3">
      <c r="A17" s="107" t="s">
        <v>897</v>
      </c>
      <c r="B17" s="107" t="s">
        <v>891</v>
      </c>
      <c r="C17" s="107" t="s">
        <v>8</v>
      </c>
      <c r="D17" s="106" t="s">
        <v>1334</v>
      </c>
      <c r="E17" s="104">
        <v>5</v>
      </c>
      <c r="F17" s="103" t="s">
        <v>1335</v>
      </c>
      <c r="G17" s="103" t="s">
        <v>1336</v>
      </c>
      <c r="H17" s="106" t="s">
        <v>1337</v>
      </c>
      <c r="I17" s="103">
        <v>1</v>
      </c>
      <c r="J17" s="104">
        <v>0.75</v>
      </c>
      <c r="K17" s="106" t="s">
        <v>1911</v>
      </c>
      <c r="L17" s="103"/>
      <c r="M17" s="105">
        <f t="shared" si="1"/>
        <v>3.75</v>
      </c>
    </row>
    <row r="18" spans="1:13" x14ac:dyDescent="0.3">
      <c r="A18" s="107" t="s">
        <v>897</v>
      </c>
      <c r="B18" s="107" t="s">
        <v>891</v>
      </c>
      <c r="C18" s="107" t="s">
        <v>8</v>
      </c>
      <c r="D18" s="106" t="s">
        <v>1677</v>
      </c>
      <c r="E18" s="104">
        <v>1</v>
      </c>
      <c r="F18" s="103" t="s">
        <v>1678</v>
      </c>
      <c r="G18" s="103" t="s">
        <v>1679</v>
      </c>
      <c r="H18" s="106" t="s">
        <v>1680</v>
      </c>
      <c r="I18" s="103">
        <v>1</v>
      </c>
      <c r="J18" s="104">
        <v>0.95</v>
      </c>
      <c r="K18" s="106" t="s">
        <v>1910</v>
      </c>
      <c r="L18" s="103"/>
      <c r="M18" s="105">
        <f t="shared" si="1"/>
        <v>0.95</v>
      </c>
    </row>
    <row r="19" spans="1:13" x14ac:dyDescent="0.3">
      <c r="A19" s="107" t="s">
        <v>897</v>
      </c>
      <c r="B19" s="107" t="s">
        <v>891</v>
      </c>
      <c r="C19" s="107" t="s">
        <v>8</v>
      </c>
      <c r="D19" s="106" t="s">
        <v>1693</v>
      </c>
      <c r="E19" s="104">
        <v>1</v>
      </c>
      <c r="F19" s="103" t="s">
        <v>1694</v>
      </c>
      <c r="G19" s="103" t="s">
        <v>1695</v>
      </c>
      <c r="H19" s="106" t="s">
        <v>1696</v>
      </c>
      <c r="I19" s="103">
        <v>1</v>
      </c>
      <c r="J19" s="104">
        <v>1.95</v>
      </c>
      <c r="K19" s="106" t="s">
        <v>1910</v>
      </c>
      <c r="L19" s="103"/>
      <c r="M19" s="105">
        <f t="shared" si="1"/>
        <v>1.95</v>
      </c>
    </row>
    <row r="20" spans="1:13" x14ac:dyDescent="0.3">
      <c r="A20" s="107" t="s">
        <v>897</v>
      </c>
      <c r="B20" s="107" t="s">
        <v>891</v>
      </c>
      <c r="C20" s="107" t="s">
        <v>8</v>
      </c>
      <c r="D20" s="106" t="s">
        <v>1689</v>
      </c>
      <c r="E20" s="104">
        <v>1</v>
      </c>
      <c r="F20" s="103" t="s">
        <v>1690</v>
      </c>
      <c r="G20" s="103" t="s">
        <v>1691</v>
      </c>
      <c r="H20" s="106" t="s">
        <v>1692</v>
      </c>
      <c r="I20" s="103">
        <v>1</v>
      </c>
      <c r="J20" s="104">
        <v>3.5</v>
      </c>
      <c r="K20" s="106" t="s">
        <v>1910</v>
      </c>
      <c r="L20" s="103"/>
      <c r="M20" s="105">
        <f t="shared" si="1"/>
        <v>3.5</v>
      </c>
    </row>
    <row r="21" spans="1:13" x14ac:dyDescent="0.3">
      <c r="A21" s="103" t="s">
        <v>897</v>
      </c>
      <c r="B21" s="103" t="s">
        <v>891</v>
      </c>
      <c r="C21" s="102" t="s">
        <v>8</v>
      </c>
      <c r="D21" s="106" t="s">
        <v>731</v>
      </c>
      <c r="E21" s="103">
        <v>3</v>
      </c>
      <c r="F21" s="103" t="s">
        <v>732</v>
      </c>
      <c r="G21" s="103" t="s">
        <v>733</v>
      </c>
      <c r="H21" s="103" t="s">
        <v>734</v>
      </c>
      <c r="I21" s="103"/>
      <c r="J21" s="103">
        <v>1.5</v>
      </c>
      <c r="K21" s="103" t="s">
        <v>1910</v>
      </c>
      <c r="M21" s="105">
        <f t="shared" si="1"/>
        <v>4.5</v>
      </c>
    </row>
    <row r="22" spans="1:13" x14ac:dyDescent="0.3">
      <c r="A22" s="103" t="s">
        <v>897</v>
      </c>
      <c r="B22" s="103" t="s">
        <v>891</v>
      </c>
      <c r="C22" s="102" t="s">
        <v>8</v>
      </c>
      <c r="D22" s="106" t="s">
        <v>1668</v>
      </c>
      <c r="E22" s="103">
        <v>0</v>
      </c>
      <c r="F22" s="103" t="s">
        <v>732</v>
      </c>
      <c r="G22" s="103" t="s">
        <v>733</v>
      </c>
      <c r="H22" s="103" t="s">
        <v>1667</v>
      </c>
      <c r="I22" s="103"/>
      <c r="J22" s="103">
        <v>1.5</v>
      </c>
      <c r="K22" s="103" t="s">
        <v>1910</v>
      </c>
      <c r="M22" s="105">
        <f t="shared" si="1"/>
        <v>0</v>
      </c>
    </row>
    <row r="23" spans="1:13" x14ac:dyDescent="0.3">
      <c r="A23" s="106" t="s">
        <v>897</v>
      </c>
      <c r="B23" s="106" t="s">
        <v>891</v>
      </c>
      <c r="C23" s="106" t="s">
        <v>1898</v>
      </c>
      <c r="D23" s="106" t="s">
        <v>2128</v>
      </c>
      <c r="E23" s="104">
        <v>0</v>
      </c>
      <c r="F23" s="103"/>
      <c r="G23" s="103"/>
      <c r="H23" s="107" t="s">
        <v>2129</v>
      </c>
      <c r="J23" s="111">
        <v>0.5</v>
      </c>
      <c r="K23" s="107" t="s">
        <v>1910</v>
      </c>
    </row>
    <row r="24" spans="1:13" x14ac:dyDescent="0.3">
      <c r="A24" s="106" t="s">
        <v>897</v>
      </c>
      <c r="B24" s="106" t="s">
        <v>891</v>
      </c>
      <c r="C24" s="106" t="s">
        <v>1898</v>
      </c>
      <c r="D24" s="106" t="s">
        <v>2130</v>
      </c>
      <c r="E24" s="104">
        <v>0</v>
      </c>
      <c r="F24" s="103"/>
      <c r="G24" s="103"/>
      <c r="H24" s="107" t="s">
        <v>2131</v>
      </c>
      <c r="J24" s="111">
        <v>0.95</v>
      </c>
      <c r="K24" s="107" t="s">
        <v>1910</v>
      </c>
    </row>
    <row r="25" spans="1:13" x14ac:dyDescent="0.3">
      <c r="A25" s="106" t="s">
        <v>897</v>
      </c>
      <c r="B25" s="106" t="s">
        <v>891</v>
      </c>
      <c r="C25" s="106" t="s">
        <v>1898</v>
      </c>
      <c r="D25" s="106" t="s">
        <v>2132</v>
      </c>
      <c r="E25" s="104">
        <v>0</v>
      </c>
      <c r="F25" s="103"/>
      <c r="G25" s="103"/>
      <c r="H25" s="107" t="s">
        <v>2133</v>
      </c>
      <c r="J25" s="111">
        <v>0.95</v>
      </c>
      <c r="K25" s="107" t="s">
        <v>1910</v>
      </c>
    </row>
    <row r="26" spans="1:13" x14ac:dyDescent="0.3">
      <c r="A26" s="106" t="s">
        <v>897</v>
      </c>
      <c r="B26" s="106" t="s">
        <v>891</v>
      </c>
      <c r="C26" s="106" t="s">
        <v>1898</v>
      </c>
      <c r="D26" s="106" t="s">
        <v>2134</v>
      </c>
      <c r="E26" s="104">
        <v>0</v>
      </c>
      <c r="F26" s="103"/>
      <c r="G26" s="103"/>
      <c r="H26" s="107" t="s">
        <v>2135</v>
      </c>
      <c r="J26" s="111">
        <v>3.95</v>
      </c>
      <c r="K26" s="107" t="s">
        <v>1910</v>
      </c>
    </row>
    <row r="27" spans="1:13" x14ac:dyDescent="0.3">
      <c r="A27" s="106" t="s">
        <v>897</v>
      </c>
      <c r="B27" s="106" t="s">
        <v>2027</v>
      </c>
      <c r="C27" s="106" t="s">
        <v>1898</v>
      </c>
      <c r="D27" s="106" t="s">
        <v>2138</v>
      </c>
      <c r="E27" s="104">
        <v>0</v>
      </c>
      <c r="F27" s="103"/>
      <c r="G27" s="103"/>
      <c r="H27" s="107" t="s">
        <v>2139</v>
      </c>
      <c r="J27" s="111">
        <v>1.95</v>
      </c>
      <c r="K27" s="107" t="s">
        <v>1910</v>
      </c>
    </row>
    <row r="28" spans="1:13" x14ac:dyDescent="0.3">
      <c r="A28" s="106" t="s">
        <v>897</v>
      </c>
      <c r="B28" s="106" t="s">
        <v>2027</v>
      </c>
      <c r="C28" s="106" t="s">
        <v>1898</v>
      </c>
      <c r="D28" s="106" t="s">
        <v>2140</v>
      </c>
      <c r="E28" s="104">
        <v>0</v>
      </c>
      <c r="F28" s="103"/>
      <c r="G28" s="103"/>
      <c r="H28" s="107" t="s">
        <v>2141</v>
      </c>
      <c r="J28" s="111">
        <v>2.25</v>
      </c>
      <c r="K28" s="107" t="s">
        <v>1910</v>
      </c>
    </row>
    <row r="29" spans="1:13" x14ac:dyDescent="0.3">
      <c r="A29" s="106" t="s">
        <v>897</v>
      </c>
      <c r="B29" s="106" t="s">
        <v>2027</v>
      </c>
      <c r="C29" s="106" t="s">
        <v>1898</v>
      </c>
      <c r="D29" s="106" t="s">
        <v>2142</v>
      </c>
      <c r="E29" s="104">
        <v>10</v>
      </c>
      <c r="F29" s="103"/>
      <c r="G29" s="103"/>
      <c r="H29" s="107" t="s">
        <v>2143</v>
      </c>
      <c r="J29" s="111">
        <v>0.95</v>
      </c>
      <c r="K29" s="107" t="s">
        <v>1910</v>
      </c>
    </row>
    <row r="30" spans="1:13" x14ac:dyDescent="0.3">
      <c r="A30" s="107" t="s">
        <v>897</v>
      </c>
      <c r="B30" s="107" t="s">
        <v>1884</v>
      </c>
      <c r="C30" s="107" t="s">
        <v>8</v>
      </c>
      <c r="D30" s="106" t="s">
        <v>445</v>
      </c>
      <c r="E30" s="104">
        <v>10</v>
      </c>
      <c r="F30" s="103" t="s">
        <v>446</v>
      </c>
      <c r="G30" s="103" t="s">
        <v>447</v>
      </c>
      <c r="H30" s="106" t="s">
        <v>448</v>
      </c>
      <c r="I30" s="103">
        <v>1</v>
      </c>
      <c r="J30" s="104">
        <v>0.95</v>
      </c>
      <c r="K30" s="106" t="s">
        <v>1911</v>
      </c>
      <c r="L30" s="103"/>
      <c r="M30" s="105">
        <f>E30*J30</f>
        <v>9.5</v>
      </c>
    </row>
    <row r="31" spans="1:13" x14ac:dyDescent="0.3">
      <c r="A31" s="107" t="s">
        <v>897</v>
      </c>
      <c r="B31" s="107" t="s">
        <v>1884</v>
      </c>
      <c r="C31" s="107" t="s">
        <v>8</v>
      </c>
      <c r="D31" s="106" t="s">
        <v>1855</v>
      </c>
      <c r="E31" s="104">
        <v>5</v>
      </c>
      <c r="F31" s="103" t="s">
        <v>1856</v>
      </c>
      <c r="G31" s="103" t="s">
        <v>1857</v>
      </c>
      <c r="H31" s="106" t="s">
        <v>1858</v>
      </c>
      <c r="I31" s="103">
        <v>1</v>
      </c>
      <c r="J31" s="104">
        <v>0.95</v>
      </c>
      <c r="K31" s="106" t="s">
        <v>1910</v>
      </c>
      <c r="L31" s="103"/>
      <c r="M31" s="105">
        <f>E31*J31</f>
        <v>4.75</v>
      </c>
    </row>
    <row r="32" spans="1:13" x14ac:dyDescent="0.3">
      <c r="A32" s="107" t="s">
        <v>897</v>
      </c>
      <c r="B32" s="107" t="s">
        <v>1884</v>
      </c>
      <c r="C32" s="107" t="s">
        <v>8</v>
      </c>
      <c r="D32" s="106" t="s">
        <v>1361</v>
      </c>
      <c r="E32" s="104">
        <v>0</v>
      </c>
      <c r="F32" s="103" t="s">
        <v>1362</v>
      </c>
      <c r="G32" s="103" t="s">
        <v>1363</v>
      </c>
      <c r="H32" s="106" t="s">
        <v>1364</v>
      </c>
      <c r="I32" s="103"/>
      <c r="J32" s="104">
        <v>0.5</v>
      </c>
      <c r="K32" s="106" t="s">
        <v>1913</v>
      </c>
      <c r="L32" s="103"/>
      <c r="M32" s="105">
        <f>E32*J32</f>
        <v>0</v>
      </c>
    </row>
    <row r="33" spans="1:13" x14ac:dyDescent="0.3">
      <c r="A33" s="107" t="s">
        <v>897</v>
      </c>
      <c r="B33" s="107" t="s">
        <v>1884</v>
      </c>
      <c r="C33" s="107" t="s">
        <v>8</v>
      </c>
      <c r="D33" s="106" t="s">
        <v>1759</v>
      </c>
      <c r="E33" s="104">
        <v>0</v>
      </c>
      <c r="F33" s="103" t="s">
        <v>1760</v>
      </c>
      <c r="G33" s="103" t="s">
        <v>1761</v>
      </c>
      <c r="H33" s="106" t="s">
        <v>1762</v>
      </c>
      <c r="I33" s="103">
        <v>1</v>
      </c>
      <c r="J33" s="104">
        <v>0.95</v>
      </c>
      <c r="K33" s="106" t="s">
        <v>1910</v>
      </c>
      <c r="L33" s="103"/>
      <c r="M33" s="105">
        <f>E33*J33</f>
        <v>0</v>
      </c>
    </row>
    <row r="34" spans="1:13" x14ac:dyDescent="0.3">
      <c r="A34" s="107" t="s">
        <v>897</v>
      </c>
      <c r="B34" s="107" t="s">
        <v>1884</v>
      </c>
      <c r="C34" s="107" t="s">
        <v>8</v>
      </c>
      <c r="D34" s="106" t="s">
        <v>1763</v>
      </c>
      <c r="E34" s="104">
        <v>0</v>
      </c>
      <c r="F34" s="103" t="s">
        <v>1764</v>
      </c>
      <c r="G34" s="103" t="s">
        <v>1765</v>
      </c>
      <c r="H34" s="106" t="s">
        <v>1766</v>
      </c>
      <c r="I34" s="103">
        <v>1</v>
      </c>
      <c r="J34" s="104">
        <v>0.95</v>
      </c>
      <c r="K34" s="106" t="s">
        <v>1910</v>
      </c>
      <c r="L34" s="103"/>
      <c r="M34" s="105">
        <f>E34*J34</f>
        <v>0</v>
      </c>
    </row>
    <row r="35" spans="1:13" x14ac:dyDescent="0.3">
      <c r="A35" s="106" t="s">
        <v>897</v>
      </c>
      <c r="B35" s="106" t="s">
        <v>1884</v>
      </c>
      <c r="C35" s="106" t="s">
        <v>1898</v>
      </c>
      <c r="D35" s="106" t="s">
        <v>2144</v>
      </c>
      <c r="E35" s="104">
        <v>0</v>
      </c>
      <c r="F35" s="103"/>
      <c r="G35" s="103"/>
      <c r="H35" s="107" t="s">
        <v>2145</v>
      </c>
      <c r="J35" s="111">
        <v>1.5</v>
      </c>
      <c r="K35" s="107" t="s">
        <v>1910</v>
      </c>
    </row>
    <row r="36" spans="1:13" x14ac:dyDescent="0.3">
      <c r="A36" s="106" t="s">
        <v>897</v>
      </c>
      <c r="B36" s="106" t="s">
        <v>1884</v>
      </c>
      <c r="C36" s="106" t="s">
        <v>1898</v>
      </c>
      <c r="D36" s="106" t="s">
        <v>2146</v>
      </c>
      <c r="E36" s="104">
        <v>0</v>
      </c>
      <c r="F36" s="103"/>
      <c r="G36" s="103"/>
      <c r="H36" s="107" t="s">
        <v>2147</v>
      </c>
      <c r="J36" s="111">
        <v>0.75</v>
      </c>
      <c r="K36" s="107" t="s">
        <v>1910</v>
      </c>
    </row>
    <row r="37" spans="1:13" x14ac:dyDescent="0.3">
      <c r="A37" s="106" t="s">
        <v>897</v>
      </c>
      <c r="B37" s="106" t="s">
        <v>1884</v>
      </c>
      <c r="C37" s="106" t="s">
        <v>1898</v>
      </c>
      <c r="D37" s="106" t="s">
        <v>2148</v>
      </c>
      <c r="E37" s="104">
        <v>0</v>
      </c>
      <c r="F37" s="103"/>
      <c r="G37" s="103"/>
      <c r="H37" s="107" t="s">
        <v>2149</v>
      </c>
      <c r="J37" s="111">
        <v>2.5</v>
      </c>
      <c r="K37" s="107" t="s">
        <v>1910</v>
      </c>
    </row>
    <row r="38" spans="1:13" x14ac:dyDescent="0.3">
      <c r="A38" s="107" t="s">
        <v>897</v>
      </c>
      <c r="B38" s="107" t="s">
        <v>1886</v>
      </c>
      <c r="C38" s="107" t="s">
        <v>8</v>
      </c>
      <c r="D38" s="106" t="s">
        <v>1365</v>
      </c>
      <c r="E38" s="104">
        <v>0</v>
      </c>
      <c r="F38" s="103" t="s">
        <v>1366</v>
      </c>
      <c r="G38" s="103" t="s">
        <v>1367</v>
      </c>
      <c r="H38" s="106" t="s">
        <v>1368</v>
      </c>
      <c r="I38" s="103">
        <v>1</v>
      </c>
      <c r="J38" s="104">
        <v>0.45</v>
      </c>
      <c r="K38" s="106" t="s">
        <v>1910</v>
      </c>
      <c r="L38" s="103"/>
      <c r="M38" s="105">
        <f t="shared" ref="M38:M43" si="2">E38*J38</f>
        <v>0</v>
      </c>
    </row>
    <row r="39" spans="1:13" x14ac:dyDescent="0.3">
      <c r="A39" s="107" t="s">
        <v>897</v>
      </c>
      <c r="B39" s="107" t="s">
        <v>1886</v>
      </c>
      <c r="C39" s="107" t="s">
        <v>8</v>
      </c>
      <c r="D39" s="106" t="s">
        <v>1373</v>
      </c>
      <c r="E39" s="104">
        <v>0</v>
      </c>
      <c r="F39" s="103" t="s">
        <v>1374</v>
      </c>
      <c r="G39" s="103" t="s">
        <v>1375</v>
      </c>
      <c r="H39" s="106" t="s">
        <v>1376</v>
      </c>
      <c r="I39" s="103">
        <v>1</v>
      </c>
      <c r="J39" s="104">
        <v>0.45</v>
      </c>
      <c r="K39" s="106" t="s">
        <v>1910</v>
      </c>
      <c r="L39" s="103"/>
      <c r="M39" s="105">
        <f t="shared" si="2"/>
        <v>0</v>
      </c>
    </row>
    <row r="40" spans="1:13" x14ac:dyDescent="0.3">
      <c r="A40" s="107" t="s">
        <v>897</v>
      </c>
      <c r="B40" s="107" t="s">
        <v>1886</v>
      </c>
      <c r="C40" s="107" t="s">
        <v>8</v>
      </c>
      <c r="D40" s="106" t="s">
        <v>1381</v>
      </c>
      <c r="E40" s="104">
        <v>6</v>
      </c>
      <c r="F40" s="103" t="s">
        <v>1382</v>
      </c>
      <c r="G40" s="103" t="s">
        <v>1383</v>
      </c>
      <c r="H40" s="106" t="s">
        <v>1384</v>
      </c>
      <c r="I40" s="103">
        <v>1</v>
      </c>
      <c r="J40" s="104">
        <v>0.45</v>
      </c>
      <c r="K40" s="106" t="s">
        <v>1910</v>
      </c>
      <c r="L40" s="103"/>
      <c r="M40" s="105">
        <f t="shared" si="2"/>
        <v>2.7</v>
      </c>
    </row>
    <row r="41" spans="1:13" x14ac:dyDescent="0.3">
      <c r="A41" s="107" t="s">
        <v>897</v>
      </c>
      <c r="B41" s="107" t="s">
        <v>1886</v>
      </c>
      <c r="C41" s="107" t="s">
        <v>8</v>
      </c>
      <c r="D41" s="106" t="s">
        <v>1385</v>
      </c>
      <c r="E41" s="104">
        <v>6</v>
      </c>
      <c r="F41" s="103" t="s">
        <v>1386</v>
      </c>
      <c r="G41" s="103" t="s">
        <v>1387</v>
      </c>
      <c r="H41" s="106" t="s">
        <v>1388</v>
      </c>
      <c r="I41" s="103">
        <v>1</v>
      </c>
      <c r="J41" s="104">
        <v>0.45</v>
      </c>
      <c r="K41" s="106" t="s">
        <v>1910</v>
      </c>
      <c r="L41" s="103"/>
      <c r="M41" s="105">
        <f t="shared" si="2"/>
        <v>2.7</v>
      </c>
    </row>
    <row r="42" spans="1:13" x14ac:dyDescent="0.3">
      <c r="A42" s="107" t="s">
        <v>897</v>
      </c>
      <c r="B42" s="107" t="s">
        <v>1886</v>
      </c>
      <c r="C42" s="107" t="s">
        <v>8</v>
      </c>
      <c r="D42" s="106" t="s">
        <v>1369</v>
      </c>
      <c r="E42" s="104">
        <v>6</v>
      </c>
      <c r="F42" s="103" t="s">
        <v>1370</v>
      </c>
      <c r="G42" s="103" t="s">
        <v>1371</v>
      </c>
      <c r="H42" s="106" t="s">
        <v>1372</v>
      </c>
      <c r="I42" s="103">
        <v>1</v>
      </c>
      <c r="J42" s="104">
        <v>0.45</v>
      </c>
      <c r="K42" s="106" t="s">
        <v>1910</v>
      </c>
      <c r="L42" s="103"/>
      <c r="M42" s="105">
        <f t="shared" si="2"/>
        <v>2.7</v>
      </c>
    </row>
    <row r="43" spans="1:13" x14ac:dyDescent="0.3">
      <c r="A43" s="107" t="s">
        <v>897</v>
      </c>
      <c r="B43" s="107" t="s">
        <v>1886</v>
      </c>
      <c r="C43" s="107" t="s">
        <v>8</v>
      </c>
      <c r="D43" s="106" t="s">
        <v>1357</v>
      </c>
      <c r="E43" s="104">
        <v>6</v>
      </c>
      <c r="F43" s="103" t="s">
        <v>1358</v>
      </c>
      <c r="G43" s="103" t="s">
        <v>1359</v>
      </c>
      <c r="H43" s="106" t="s">
        <v>1360</v>
      </c>
      <c r="I43" s="103">
        <v>1</v>
      </c>
      <c r="J43" s="104">
        <v>0.45</v>
      </c>
      <c r="K43" s="106" t="s">
        <v>1910</v>
      </c>
      <c r="L43" s="103"/>
      <c r="M43" s="105">
        <f t="shared" si="2"/>
        <v>2.7</v>
      </c>
    </row>
    <row r="44" spans="1:13" x14ac:dyDescent="0.3">
      <c r="A44" s="107" t="s">
        <v>897</v>
      </c>
      <c r="B44" s="107" t="s">
        <v>1886</v>
      </c>
      <c r="C44" s="107" t="s">
        <v>8</v>
      </c>
      <c r="D44" s="106" t="s">
        <v>2426</v>
      </c>
      <c r="E44" s="104">
        <v>6</v>
      </c>
      <c r="F44" s="103" t="s">
        <v>2427</v>
      </c>
      <c r="G44" s="103" t="s">
        <v>2428</v>
      </c>
      <c r="H44" s="106" t="s">
        <v>2429</v>
      </c>
      <c r="I44" s="103">
        <v>1</v>
      </c>
      <c r="J44" s="104">
        <v>1.95</v>
      </c>
      <c r="K44" s="107" t="s">
        <v>1910</v>
      </c>
    </row>
    <row r="45" spans="1:13" x14ac:dyDescent="0.3">
      <c r="A45" s="107" t="s">
        <v>897</v>
      </c>
      <c r="B45" s="107" t="s">
        <v>1885</v>
      </c>
      <c r="C45" s="107" t="s">
        <v>8</v>
      </c>
      <c r="D45" s="106" t="s">
        <v>1587</v>
      </c>
      <c r="E45" s="104">
        <v>10</v>
      </c>
      <c r="F45" s="103" t="s">
        <v>1588</v>
      </c>
      <c r="G45" s="103" t="s">
        <v>1589</v>
      </c>
      <c r="H45" s="106" t="s">
        <v>1590</v>
      </c>
      <c r="I45" s="103">
        <v>1</v>
      </c>
      <c r="J45" s="104">
        <v>0.35</v>
      </c>
      <c r="K45" s="106" t="s">
        <v>1910</v>
      </c>
      <c r="L45" s="103"/>
      <c r="M45" s="105">
        <f t="shared" ref="M45:M60" si="3">E45*J45</f>
        <v>3.5</v>
      </c>
    </row>
    <row r="46" spans="1:13" x14ac:dyDescent="0.3">
      <c r="A46" s="107" t="s">
        <v>897</v>
      </c>
      <c r="B46" s="107" t="s">
        <v>1885</v>
      </c>
      <c r="C46" s="107" t="s">
        <v>8</v>
      </c>
      <c r="D46" s="106" t="s">
        <v>1583</v>
      </c>
      <c r="E46" s="104">
        <v>10</v>
      </c>
      <c r="F46" s="103" t="s">
        <v>1584</v>
      </c>
      <c r="G46" s="103" t="s">
        <v>1585</v>
      </c>
      <c r="H46" s="106" t="s">
        <v>1586</v>
      </c>
      <c r="I46" s="103">
        <v>1</v>
      </c>
      <c r="J46" s="104">
        <v>0.5</v>
      </c>
      <c r="K46" s="106" t="s">
        <v>1910</v>
      </c>
      <c r="L46" s="103"/>
      <c r="M46" s="105">
        <f t="shared" si="3"/>
        <v>5</v>
      </c>
    </row>
    <row r="47" spans="1:13" x14ac:dyDescent="0.3">
      <c r="A47" s="107" t="s">
        <v>897</v>
      </c>
      <c r="B47" s="107" t="s">
        <v>1888</v>
      </c>
      <c r="C47" s="107" t="s">
        <v>8</v>
      </c>
      <c r="D47" s="106" t="s">
        <v>457</v>
      </c>
      <c r="E47" s="104">
        <v>0</v>
      </c>
      <c r="F47" s="103" t="s">
        <v>458</v>
      </c>
      <c r="G47" s="103" t="s">
        <v>459</v>
      </c>
      <c r="H47" s="106" t="s">
        <v>460</v>
      </c>
      <c r="I47" s="103">
        <v>1</v>
      </c>
      <c r="J47" s="104">
        <v>0.75</v>
      </c>
      <c r="K47" s="106" t="s">
        <v>1910</v>
      </c>
      <c r="L47" s="103"/>
      <c r="M47" s="105">
        <f t="shared" si="3"/>
        <v>0</v>
      </c>
    </row>
    <row r="48" spans="1:13" x14ac:dyDescent="0.3">
      <c r="A48" s="107" t="s">
        <v>897</v>
      </c>
      <c r="B48" s="107" t="s">
        <v>1888</v>
      </c>
      <c r="C48" s="107" t="s">
        <v>8</v>
      </c>
      <c r="D48" s="106" t="s">
        <v>901</v>
      </c>
      <c r="E48" s="104">
        <v>10</v>
      </c>
      <c r="F48" s="103" t="s">
        <v>902</v>
      </c>
      <c r="G48" s="103" t="s">
        <v>903</v>
      </c>
      <c r="H48" s="106" t="s">
        <v>904</v>
      </c>
      <c r="I48" s="103">
        <v>1</v>
      </c>
      <c r="J48" s="104">
        <v>0.95</v>
      </c>
      <c r="K48" s="106" t="s">
        <v>1911</v>
      </c>
      <c r="L48" s="103"/>
      <c r="M48" s="105">
        <f t="shared" si="3"/>
        <v>9.5</v>
      </c>
    </row>
    <row r="49" spans="1:13" x14ac:dyDescent="0.3">
      <c r="A49" s="107" t="s">
        <v>897</v>
      </c>
      <c r="B49" s="107" t="s">
        <v>1888</v>
      </c>
      <c r="C49" s="107" t="s">
        <v>8</v>
      </c>
      <c r="D49" s="106" t="s">
        <v>1413</v>
      </c>
      <c r="E49" s="104">
        <v>10</v>
      </c>
      <c r="F49" s="103" t="s">
        <v>1414</v>
      </c>
      <c r="G49" s="103" t="s">
        <v>1415</v>
      </c>
      <c r="H49" s="106" t="s">
        <v>1416</v>
      </c>
      <c r="I49" s="103">
        <v>1</v>
      </c>
      <c r="J49" s="104">
        <v>0.95</v>
      </c>
      <c r="K49" s="106" t="s">
        <v>1911</v>
      </c>
      <c r="L49" s="103"/>
      <c r="M49" s="105">
        <f t="shared" si="3"/>
        <v>9.5</v>
      </c>
    </row>
    <row r="50" spans="1:13" x14ac:dyDescent="0.3">
      <c r="A50" s="107" t="s">
        <v>897</v>
      </c>
      <c r="B50" s="107" t="s">
        <v>1888</v>
      </c>
      <c r="C50" s="107" t="s">
        <v>8</v>
      </c>
      <c r="D50" s="106" t="s">
        <v>1377</v>
      </c>
      <c r="E50" s="104">
        <v>0</v>
      </c>
      <c r="F50" s="103" t="s">
        <v>1378</v>
      </c>
      <c r="G50" s="103" t="s">
        <v>1379</v>
      </c>
      <c r="H50" s="106" t="s">
        <v>1380</v>
      </c>
      <c r="I50" s="103">
        <v>1</v>
      </c>
      <c r="J50" s="104">
        <v>1.5</v>
      </c>
      <c r="K50" s="106" t="s">
        <v>1910</v>
      </c>
      <c r="L50" s="103"/>
      <c r="M50" s="105">
        <f t="shared" si="3"/>
        <v>0</v>
      </c>
    </row>
    <row r="51" spans="1:13" x14ac:dyDescent="0.3">
      <c r="A51" s="107" t="s">
        <v>897</v>
      </c>
      <c r="B51" s="107" t="s">
        <v>1888</v>
      </c>
      <c r="C51" s="107" t="s">
        <v>8</v>
      </c>
      <c r="D51" s="106" t="s">
        <v>1417</v>
      </c>
      <c r="E51" s="104">
        <v>0</v>
      </c>
      <c r="F51" s="103" t="s">
        <v>1418</v>
      </c>
      <c r="G51" s="103" t="s">
        <v>1419</v>
      </c>
      <c r="H51" s="106" t="s">
        <v>1420</v>
      </c>
      <c r="I51" s="103">
        <v>1</v>
      </c>
      <c r="J51" s="104">
        <v>1.5</v>
      </c>
      <c r="K51" s="106" t="s">
        <v>1910</v>
      </c>
      <c r="L51" s="103"/>
      <c r="M51" s="105">
        <f t="shared" si="3"/>
        <v>0</v>
      </c>
    </row>
    <row r="52" spans="1:13" x14ac:dyDescent="0.3">
      <c r="A52" s="107" t="s">
        <v>897</v>
      </c>
      <c r="B52" s="107" t="s">
        <v>1888</v>
      </c>
      <c r="C52" s="107" t="s">
        <v>8</v>
      </c>
      <c r="D52" s="106" t="s">
        <v>453</v>
      </c>
      <c r="E52" s="104">
        <v>0</v>
      </c>
      <c r="F52" s="103" t="s">
        <v>454</v>
      </c>
      <c r="G52" s="103" t="s">
        <v>455</v>
      </c>
      <c r="H52" s="106" t="s">
        <v>456</v>
      </c>
      <c r="I52" s="103">
        <v>1</v>
      </c>
      <c r="J52" s="104">
        <v>1.5</v>
      </c>
      <c r="K52" s="106" t="s">
        <v>1910</v>
      </c>
      <c r="L52" s="103"/>
      <c r="M52" s="105">
        <f t="shared" si="3"/>
        <v>0</v>
      </c>
    </row>
    <row r="53" spans="1:13" x14ac:dyDescent="0.3">
      <c r="A53" s="107" t="s">
        <v>897</v>
      </c>
      <c r="B53" s="107" t="s">
        <v>1888</v>
      </c>
      <c r="C53" s="107" t="s">
        <v>8</v>
      </c>
      <c r="D53" s="106" t="s">
        <v>449</v>
      </c>
      <c r="E53" s="104">
        <v>2</v>
      </c>
      <c r="F53" s="103" t="s">
        <v>450</v>
      </c>
      <c r="G53" s="103" t="s">
        <v>451</v>
      </c>
      <c r="H53" s="106" t="s">
        <v>452</v>
      </c>
      <c r="I53" s="103">
        <v>1</v>
      </c>
      <c r="J53" s="104">
        <v>1.5</v>
      </c>
      <c r="K53" s="106" t="s">
        <v>1910</v>
      </c>
      <c r="L53" s="103"/>
      <c r="M53" s="105">
        <f t="shared" si="3"/>
        <v>3</v>
      </c>
    </row>
    <row r="54" spans="1:13" x14ac:dyDescent="0.3">
      <c r="A54" s="107" t="s">
        <v>897</v>
      </c>
      <c r="B54" s="107" t="s">
        <v>1887</v>
      </c>
      <c r="C54" s="107" t="s">
        <v>8</v>
      </c>
      <c r="D54" s="106" t="s">
        <v>1669</v>
      </c>
      <c r="E54" s="104">
        <v>0</v>
      </c>
      <c r="F54" s="103" t="s">
        <v>1670</v>
      </c>
      <c r="G54" s="103" t="s">
        <v>1671</v>
      </c>
      <c r="H54" s="106" t="s">
        <v>1672</v>
      </c>
      <c r="I54" s="103">
        <v>1</v>
      </c>
      <c r="J54" s="104">
        <v>1.25</v>
      </c>
      <c r="K54" s="106" t="s">
        <v>1910</v>
      </c>
      <c r="L54" s="103"/>
      <c r="M54" s="105">
        <f t="shared" si="3"/>
        <v>0</v>
      </c>
    </row>
    <row r="55" spans="1:13" x14ac:dyDescent="0.3">
      <c r="A55" s="107" t="s">
        <v>897</v>
      </c>
      <c r="B55" s="107" t="s">
        <v>1887</v>
      </c>
      <c r="C55" s="107" t="s">
        <v>8</v>
      </c>
      <c r="D55" s="106" t="s">
        <v>1721</v>
      </c>
      <c r="E55" s="104">
        <v>0</v>
      </c>
      <c r="F55" s="103" t="s">
        <v>1722</v>
      </c>
      <c r="G55" s="103" t="s">
        <v>1723</v>
      </c>
      <c r="H55" s="106" t="s">
        <v>1724</v>
      </c>
      <c r="I55" s="103">
        <v>1</v>
      </c>
      <c r="J55" s="104">
        <v>1.95</v>
      </c>
      <c r="K55" s="106" t="s">
        <v>1910</v>
      </c>
      <c r="L55" s="103"/>
      <c r="M55" s="105">
        <f t="shared" si="3"/>
        <v>0</v>
      </c>
    </row>
    <row r="56" spans="1:13" x14ac:dyDescent="0.3">
      <c r="A56" s="107" t="s">
        <v>897</v>
      </c>
      <c r="B56" s="107" t="s">
        <v>1887</v>
      </c>
      <c r="C56" s="107" t="s">
        <v>8</v>
      </c>
      <c r="D56" s="106" t="s">
        <v>1725</v>
      </c>
      <c r="E56" s="104">
        <v>0</v>
      </c>
      <c r="F56" s="103" t="s">
        <v>1726</v>
      </c>
      <c r="G56" s="103" t="s">
        <v>1727</v>
      </c>
      <c r="H56" s="106" t="s">
        <v>1728</v>
      </c>
      <c r="I56" s="103">
        <v>1</v>
      </c>
      <c r="J56" s="104">
        <v>3.95</v>
      </c>
      <c r="K56" s="106" t="s">
        <v>1910</v>
      </c>
      <c r="L56" s="103"/>
      <c r="M56" s="105">
        <f t="shared" si="3"/>
        <v>0</v>
      </c>
    </row>
    <row r="57" spans="1:13" x14ac:dyDescent="0.3">
      <c r="A57" s="107" t="s">
        <v>897</v>
      </c>
      <c r="B57" s="107" t="s">
        <v>1887</v>
      </c>
      <c r="C57" s="107" t="s">
        <v>8</v>
      </c>
      <c r="D57" s="106" t="s">
        <v>1717</v>
      </c>
      <c r="E57" s="104">
        <v>0</v>
      </c>
      <c r="F57" s="103" t="s">
        <v>1718</v>
      </c>
      <c r="G57" s="103" t="s">
        <v>1719</v>
      </c>
      <c r="H57" s="106" t="s">
        <v>1720</v>
      </c>
      <c r="I57" s="103">
        <v>1</v>
      </c>
      <c r="J57" s="104">
        <v>1.95</v>
      </c>
      <c r="K57" s="106" t="s">
        <v>1910</v>
      </c>
      <c r="L57" s="103"/>
      <c r="M57" s="105">
        <f t="shared" si="3"/>
        <v>0</v>
      </c>
    </row>
    <row r="58" spans="1:13" x14ac:dyDescent="0.3">
      <c r="A58" s="107" t="s">
        <v>897</v>
      </c>
      <c r="B58" s="107" t="s">
        <v>1889</v>
      </c>
      <c r="C58" s="107" t="s">
        <v>8</v>
      </c>
      <c r="D58" s="106" t="s">
        <v>703</v>
      </c>
      <c r="E58" s="104">
        <v>6</v>
      </c>
      <c r="F58" s="103" t="s">
        <v>704</v>
      </c>
      <c r="G58" s="103" t="s">
        <v>705</v>
      </c>
      <c r="H58" s="106" t="s">
        <v>706</v>
      </c>
      <c r="I58" s="103">
        <v>1</v>
      </c>
      <c r="J58" s="104">
        <v>1.95</v>
      </c>
      <c r="K58" s="106" t="s">
        <v>1910</v>
      </c>
      <c r="L58" s="103"/>
      <c r="M58" s="105">
        <f t="shared" si="3"/>
        <v>11.7</v>
      </c>
    </row>
    <row r="59" spans="1:13" x14ac:dyDescent="0.3">
      <c r="A59" s="107" t="s">
        <v>897</v>
      </c>
      <c r="B59" s="107" t="s">
        <v>1889</v>
      </c>
      <c r="C59" s="107" t="s">
        <v>8</v>
      </c>
      <c r="D59" s="106" t="s">
        <v>699</v>
      </c>
      <c r="E59" s="104">
        <v>6</v>
      </c>
      <c r="F59" s="103" t="s">
        <v>700</v>
      </c>
      <c r="G59" s="103" t="s">
        <v>701</v>
      </c>
      <c r="H59" s="106" t="s">
        <v>702</v>
      </c>
      <c r="I59" s="103">
        <v>1</v>
      </c>
      <c r="J59" s="104">
        <v>1.95</v>
      </c>
      <c r="K59" s="106" t="s">
        <v>1910</v>
      </c>
      <c r="L59" s="103"/>
      <c r="M59" s="105">
        <f t="shared" si="3"/>
        <v>11.7</v>
      </c>
    </row>
    <row r="60" spans="1:13" x14ac:dyDescent="0.3">
      <c r="A60" s="107" t="s">
        <v>897</v>
      </c>
      <c r="B60" s="107" t="s">
        <v>1889</v>
      </c>
      <c r="C60" s="107" t="s">
        <v>8</v>
      </c>
      <c r="D60" s="106" t="s">
        <v>751</v>
      </c>
      <c r="E60" s="104">
        <v>0</v>
      </c>
      <c r="F60" s="103" t="s">
        <v>752</v>
      </c>
      <c r="G60" s="103" t="s">
        <v>753</v>
      </c>
      <c r="H60" s="106" t="s">
        <v>754</v>
      </c>
      <c r="I60" s="103">
        <v>1</v>
      </c>
      <c r="J60" s="104">
        <v>0.35</v>
      </c>
      <c r="K60" s="106" t="s">
        <v>1910</v>
      </c>
      <c r="L60" s="103"/>
      <c r="M60" s="105">
        <f t="shared" si="3"/>
        <v>0</v>
      </c>
    </row>
    <row r="61" spans="1:13" x14ac:dyDescent="0.3">
      <c r="A61" s="106" t="s">
        <v>897</v>
      </c>
      <c r="B61" s="106" t="s">
        <v>1889</v>
      </c>
      <c r="C61" s="106" t="s">
        <v>1898</v>
      </c>
      <c r="D61" s="106">
        <v>3525</v>
      </c>
      <c r="E61" s="104">
        <v>1</v>
      </c>
      <c r="F61" s="103"/>
      <c r="G61" s="103"/>
      <c r="H61" s="107" t="s">
        <v>2150</v>
      </c>
      <c r="J61" s="111">
        <v>0.95</v>
      </c>
      <c r="K61" s="107" t="s">
        <v>1910</v>
      </c>
    </row>
    <row r="62" spans="1:13" x14ac:dyDescent="0.3">
      <c r="A62" s="107" t="s">
        <v>897</v>
      </c>
      <c r="B62" s="107" t="s">
        <v>1617</v>
      </c>
      <c r="C62" s="107" t="s">
        <v>8</v>
      </c>
      <c r="D62" s="106" t="s">
        <v>367</v>
      </c>
      <c r="E62" s="104">
        <v>0</v>
      </c>
      <c r="F62" s="103" t="s">
        <v>368</v>
      </c>
      <c r="G62" s="103" t="s">
        <v>369</v>
      </c>
      <c r="H62" s="106" t="s">
        <v>370</v>
      </c>
      <c r="I62" s="103">
        <v>1</v>
      </c>
      <c r="J62" s="104">
        <v>14.95</v>
      </c>
      <c r="K62" s="106" t="s">
        <v>1913</v>
      </c>
      <c r="L62" s="103"/>
      <c r="M62" s="105">
        <f>E62*J62</f>
        <v>0</v>
      </c>
    </row>
    <row r="63" spans="1:13" x14ac:dyDescent="0.3">
      <c r="A63" s="106" t="s">
        <v>897</v>
      </c>
      <c r="B63" s="106" t="s">
        <v>1617</v>
      </c>
      <c r="C63" s="106" t="s">
        <v>1898</v>
      </c>
      <c r="D63" s="106" t="s">
        <v>2153</v>
      </c>
      <c r="E63" s="104">
        <v>1</v>
      </c>
      <c r="F63" s="103"/>
      <c r="G63" s="103"/>
      <c r="H63" s="107" t="s">
        <v>2154</v>
      </c>
      <c r="J63" s="111">
        <v>19.95</v>
      </c>
      <c r="K63" s="107" t="s">
        <v>1910</v>
      </c>
    </row>
    <row r="64" spans="1:13" x14ac:dyDescent="0.3">
      <c r="A64" s="107" t="s">
        <v>897</v>
      </c>
      <c r="B64" s="107" t="s">
        <v>1617</v>
      </c>
      <c r="C64" s="107" t="s">
        <v>8</v>
      </c>
      <c r="D64" s="106" t="s">
        <v>1567</v>
      </c>
      <c r="E64" s="104">
        <v>0</v>
      </c>
      <c r="F64" s="103" t="s">
        <v>1568</v>
      </c>
      <c r="G64" s="103" t="s">
        <v>1569</v>
      </c>
      <c r="H64" s="106" t="s">
        <v>1570</v>
      </c>
      <c r="I64" s="103">
        <v>1</v>
      </c>
      <c r="J64" s="104">
        <v>0.5</v>
      </c>
      <c r="K64" s="106" t="s">
        <v>1910</v>
      </c>
      <c r="L64" s="103"/>
      <c r="M64" s="105">
        <f t="shared" ref="M64:M75" si="4">E64*J64</f>
        <v>0</v>
      </c>
    </row>
    <row r="65" spans="1:13" x14ac:dyDescent="0.3">
      <c r="A65" s="107" t="s">
        <v>897</v>
      </c>
      <c r="B65" s="107" t="s">
        <v>1617</v>
      </c>
      <c r="C65" s="107" t="s">
        <v>8</v>
      </c>
      <c r="D65" s="106" t="s">
        <v>1571</v>
      </c>
      <c r="E65" s="104">
        <v>0</v>
      </c>
      <c r="F65" s="103" t="s">
        <v>1572</v>
      </c>
      <c r="G65" s="103" t="s">
        <v>1573</v>
      </c>
      <c r="H65" s="106" t="s">
        <v>1574</v>
      </c>
      <c r="I65" s="103">
        <v>1</v>
      </c>
      <c r="J65" s="104">
        <v>0.5</v>
      </c>
      <c r="K65" s="106" t="s">
        <v>1910</v>
      </c>
      <c r="L65" s="103"/>
      <c r="M65" s="105">
        <f t="shared" si="4"/>
        <v>0</v>
      </c>
    </row>
    <row r="66" spans="1:13" x14ac:dyDescent="0.3">
      <c r="A66" s="107" t="s">
        <v>897</v>
      </c>
      <c r="B66" s="107" t="s">
        <v>1617</v>
      </c>
      <c r="C66" s="107" t="s">
        <v>8</v>
      </c>
      <c r="D66" s="106" t="s">
        <v>1555</v>
      </c>
      <c r="E66" s="104">
        <v>0</v>
      </c>
      <c r="F66" s="103" t="s">
        <v>1556</v>
      </c>
      <c r="G66" s="103" t="s">
        <v>1557</v>
      </c>
      <c r="H66" s="106" t="s">
        <v>1558</v>
      </c>
      <c r="I66" s="103">
        <v>1</v>
      </c>
      <c r="J66" s="104">
        <v>0.5</v>
      </c>
      <c r="K66" s="106" t="s">
        <v>1910</v>
      </c>
      <c r="L66" s="103"/>
      <c r="M66" s="105">
        <f t="shared" si="4"/>
        <v>0</v>
      </c>
    </row>
    <row r="67" spans="1:13" x14ac:dyDescent="0.3">
      <c r="A67" s="107" t="s">
        <v>897</v>
      </c>
      <c r="B67" s="107" t="s">
        <v>1617</v>
      </c>
      <c r="C67" s="107" t="s">
        <v>8</v>
      </c>
      <c r="D67" s="106" t="s">
        <v>1559</v>
      </c>
      <c r="E67" s="104">
        <v>0</v>
      </c>
      <c r="F67" s="103" t="s">
        <v>1560</v>
      </c>
      <c r="G67" s="103" t="s">
        <v>1561</v>
      </c>
      <c r="H67" s="106" t="s">
        <v>1562</v>
      </c>
      <c r="I67" s="103">
        <v>1</v>
      </c>
      <c r="J67" s="104">
        <v>0.95</v>
      </c>
      <c r="K67" s="106" t="s">
        <v>1910</v>
      </c>
      <c r="L67" s="103"/>
      <c r="M67" s="105">
        <f t="shared" si="4"/>
        <v>0</v>
      </c>
    </row>
    <row r="68" spans="1:13" x14ac:dyDescent="0.3">
      <c r="A68" s="107" t="s">
        <v>897</v>
      </c>
      <c r="B68" s="107" t="s">
        <v>1617</v>
      </c>
      <c r="C68" s="107" t="s">
        <v>8</v>
      </c>
      <c r="D68" s="106" t="s">
        <v>1563</v>
      </c>
      <c r="E68" s="104">
        <v>0</v>
      </c>
      <c r="F68" s="103" t="s">
        <v>1564</v>
      </c>
      <c r="G68" s="103" t="s">
        <v>1565</v>
      </c>
      <c r="H68" s="106" t="s">
        <v>1566</v>
      </c>
      <c r="I68" s="103">
        <v>1</v>
      </c>
      <c r="J68" s="104">
        <v>0.95</v>
      </c>
      <c r="K68" s="106" t="s">
        <v>1913</v>
      </c>
      <c r="L68" s="103"/>
      <c r="M68" s="105">
        <f t="shared" si="4"/>
        <v>0</v>
      </c>
    </row>
    <row r="69" spans="1:13" x14ac:dyDescent="0.3">
      <c r="A69" s="107" t="s">
        <v>897</v>
      </c>
      <c r="B69" s="107" t="s">
        <v>1617</v>
      </c>
      <c r="C69" s="107" t="s">
        <v>8</v>
      </c>
      <c r="D69" s="106" t="s">
        <v>1575</v>
      </c>
      <c r="E69" s="104">
        <v>0</v>
      </c>
      <c r="F69" s="103" t="s">
        <v>1576</v>
      </c>
      <c r="G69" s="103" t="s">
        <v>1577</v>
      </c>
      <c r="H69" s="106" t="s">
        <v>1578</v>
      </c>
      <c r="I69" s="103"/>
      <c r="J69" s="104">
        <v>1.95</v>
      </c>
      <c r="K69" s="106" t="s">
        <v>1913</v>
      </c>
      <c r="L69" s="103"/>
      <c r="M69" s="105">
        <f t="shared" si="4"/>
        <v>0</v>
      </c>
    </row>
    <row r="70" spans="1:13" x14ac:dyDescent="0.3">
      <c r="A70" s="107" t="s">
        <v>897</v>
      </c>
      <c r="B70" s="107" t="s">
        <v>1617</v>
      </c>
      <c r="C70" s="107" t="s">
        <v>8</v>
      </c>
      <c r="D70" s="106" t="s">
        <v>391</v>
      </c>
      <c r="E70" s="104">
        <v>6</v>
      </c>
      <c r="F70" s="103" t="s">
        <v>392</v>
      </c>
      <c r="G70" s="103" t="s">
        <v>393</v>
      </c>
      <c r="H70" s="106" t="s">
        <v>394</v>
      </c>
      <c r="I70" s="103">
        <v>1</v>
      </c>
      <c r="J70" s="104">
        <v>0.5</v>
      </c>
      <c r="K70" s="106" t="s">
        <v>1910</v>
      </c>
      <c r="L70" s="103"/>
      <c r="M70" s="105">
        <f t="shared" si="4"/>
        <v>3</v>
      </c>
    </row>
    <row r="71" spans="1:13" x14ac:dyDescent="0.3">
      <c r="A71" s="107" t="s">
        <v>897</v>
      </c>
      <c r="B71" s="107" t="s">
        <v>1617</v>
      </c>
      <c r="C71" s="107" t="s">
        <v>8</v>
      </c>
      <c r="D71" s="106" t="s">
        <v>379</v>
      </c>
      <c r="E71" s="104">
        <v>2</v>
      </c>
      <c r="F71" s="103" t="s">
        <v>380</v>
      </c>
      <c r="G71" s="103" t="s">
        <v>381</v>
      </c>
      <c r="H71" s="106" t="s">
        <v>382</v>
      </c>
      <c r="I71" s="103">
        <v>1</v>
      </c>
      <c r="J71" s="104">
        <v>1.95</v>
      </c>
      <c r="K71" s="106" t="s">
        <v>1910</v>
      </c>
      <c r="L71" s="103"/>
      <c r="M71" s="105">
        <f t="shared" si="4"/>
        <v>3.9</v>
      </c>
    </row>
    <row r="72" spans="1:13" x14ac:dyDescent="0.3">
      <c r="A72" s="107" t="s">
        <v>897</v>
      </c>
      <c r="B72" s="107" t="s">
        <v>1617</v>
      </c>
      <c r="C72" s="107" t="s">
        <v>8</v>
      </c>
      <c r="D72" s="106" t="s">
        <v>395</v>
      </c>
      <c r="E72" s="104">
        <v>3</v>
      </c>
      <c r="F72" s="103" t="s">
        <v>396</v>
      </c>
      <c r="G72" s="103" t="s">
        <v>397</v>
      </c>
      <c r="H72" s="106" t="s">
        <v>398</v>
      </c>
      <c r="I72" s="103">
        <v>1</v>
      </c>
      <c r="J72" s="104">
        <v>0.95</v>
      </c>
      <c r="K72" s="106" t="s">
        <v>1910</v>
      </c>
      <c r="L72" s="103"/>
      <c r="M72" s="105">
        <f t="shared" si="4"/>
        <v>2.8499999999999996</v>
      </c>
    </row>
    <row r="73" spans="1:13" x14ac:dyDescent="0.3">
      <c r="A73" s="107" t="s">
        <v>897</v>
      </c>
      <c r="B73" s="107" t="s">
        <v>1617</v>
      </c>
      <c r="C73" s="107" t="s">
        <v>8</v>
      </c>
      <c r="D73" s="106" t="s">
        <v>1272</v>
      </c>
      <c r="E73" s="104">
        <v>2</v>
      </c>
      <c r="F73" s="103" t="s">
        <v>1273</v>
      </c>
      <c r="G73" s="103" t="s">
        <v>1274</v>
      </c>
      <c r="H73" s="106" t="s">
        <v>1275</v>
      </c>
      <c r="I73" s="103">
        <v>1</v>
      </c>
      <c r="J73" s="104">
        <v>1.5</v>
      </c>
      <c r="K73" s="106" t="s">
        <v>1910</v>
      </c>
      <c r="L73" s="103"/>
      <c r="M73" s="105">
        <f t="shared" si="4"/>
        <v>3</v>
      </c>
    </row>
    <row r="74" spans="1:13" x14ac:dyDescent="0.3">
      <c r="A74" s="107" t="s">
        <v>897</v>
      </c>
      <c r="B74" s="107" t="s">
        <v>1617</v>
      </c>
      <c r="C74" s="107" t="s">
        <v>8</v>
      </c>
      <c r="D74" s="106" t="s">
        <v>383</v>
      </c>
      <c r="E74" s="104">
        <v>1</v>
      </c>
      <c r="F74" s="103" t="s">
        <v>384</v>
      </c>
      <c r="G74" s="103" t="s">
        <v>385</v>
      </c>
      <c r="H74" s="106" t="s">
        <v>386</v>
      </c>
      <c r="I74" s="103">
        <v>1</v>
      </c>
      <c r="J74" s="104">
        <v>1.95</v>
      </c>
      <c r="K74" s="106" t="s">
        <v>1910</v>
      </c>
      <c r="L74" s="103"/>
      <c r="M74" s="105">
        <f t="shared" si="4"/>
        <v>1.95</v>
      </c>
    </row>
    <row r="75" spans="1:13" x14ac:dyDescent="0.3">
      <c r="A75" s="107" t="s">
        <v>897</v>
      </c>
      <c r="B75" s="107" t="s">
        <v>1617</v>
      </c>
      <c r="C75" s="107" t="s">
        <v>8</v>
      </c>
      <c r="D75" s="106" t="s">
        <v>1843</v>
      </c>
      <c r="E75" s="104">
        <v>1</v>
      </c>
      <c r="F75" s="103" t="s">
        <v>1844</v>
      </c>
      <c r="G75" s="103" t="s">
        <v>1845</v>
      </c>
      <c r="H75" s="106" t="s">
        <v>1846</v>
      </c>
      <c r="I75" s="103">
        <v>1</v>
      </c>
      <c r="J75" s="104">
        <v>0.5</v>
      </c>
      <c r="K75" s="106" t="s">
        <v>1913</v>
      </c>
      <c r="L75" s="103"/>
      <c r="M75" s="105">
        <f t="shared" si="4"/>
        <v>0.5</v>
      </c>
    </row>
    <row r="76" spans="1:13" x14ac:dyDescent="0.3">
      <c r="A76" s="118" t="s">
        <v>897</v>
      </c>
      <c r="B76" s="118" t="s">
        <v>1617</v>
      </c>
      <c r="C76" s="118" t="s">
        <v>1898</v>
      </c>
      <c r="D76" s="118" t="s">
        <v>2477</v>
      </c>
      <c r="E76" s="119">
        <v>0</v>
      </c>
      <c r="H76" s="118" t="s">
        <v>2476</v>
      </c>
      <c r="I76" s="120">
        <v>114</v>
      </c>
      <c r="J76" s="119">
        <v>0.75</v>
      </c>
      <c r="K76" s="102" t="s">
        <v>1910</v>
      </c>
    </row>
    <row r="77" spans="1:13" x14ac:dyDescent="0.3">
      <c r="A77" s="107" t="s">
        <v>897</v>
      </c>
      <c r="B77" s="107" t="s">
        <v>1617</v>
      </c>
      <c r="C77" s="107" t="s">
        <v>8</v>
      </c>
      <c r="D77" s="106" t="s">
        <v>663</v>
      </c>
      <c r="E77" s="104">
        <v>5</v>
      </c>
      <c r="F77" s="103" t="s">
        <v>664</v>
      </c>
      <c r="G77" s="103" t="s">
        <v>665</v>
      </c>
      <c r="H77" s="106" t="s">
        <v>666</v>
      </c>
      <c r="I77" s="103">
        <v>1</v>
      </c>
      <c r="J77" s="104">
        <v>0.95</v>
      </c>
      <c r="K77" s="106" t="s">
        <v>1913</v>
      </c>
      <c r="L77" s="103"/>
      <c r="M77" s="105">
        <f>E77*J77</f>
        <v>4.75</v>
      </c>
    </row>
    <row r="78" spans="1:13" x14ac:dyDescent="0.3">
      <c r="A78" s="107" t="s">
        <v>897</v>
      </c>
      <c r="B78" s="107" t="s">
        <v>1617</v>
      </c>
      <c r="C78" s="107" t="s">
        <v>8</v>
      </c>
      <c r="D78" s="106" t="s">
        <v>961</v>
      </c>
      <c r="E78" s="104">
        <v>1</v>
      </c>
      <c r="F78" s="103" t="s">
        <v>962</v>
      </c>
      <c r="G78" s="103" t="s">
        <v>963</v>
      </c>
      <c r="H78" s="106" t="s">
        <v>964</v>
      </c>
      <c r="I78" s="103">
        <v>1</v>
      </c>
      <c r="J78" s="104">
        <v>1.5</v>
      </c>
      <c r="K78" s="106" t="s">
        <v>1910</v>
      </c>
      <c r="L78" s="103"/>
      <c r="M78" s="105">
        <f>E78*J78</f>
        <v>1.5</v>
      </c>
    </row>
    <row r="79" spans="1:13" x14ac:dyDescent="0.3">
      <c r="A79" s="107" t="s">
        <v>897</v>
      </c>
      <c r="B79" s="107" t="s">
        <v>1617</v>
      </c>
      <c r="C79" s="107" t="s">
        <v>8</v>
      </c>
      <c r="D79" s="106" t="s">
        <v>403</v>
      </c>
      <c r="E79" s="104">
        <v>2</v>
      </c>
      <c r="F79" s="103" t="s">
        <v>404</v>
      </c>
      <c r="G79" s="103" t="s">
        <v>405</v>
      </c>
      <c r="H79" s="106" t="s">
        <v>406</v>
      </c>
      <c r="I79" s="103">
        <v>1</v>
      </c>
      <c r="J79" s="104">
        <v>0.95</v>
      </c>
      <c r="K79" s="106" t="s">
        <v>1910</v>
      </c>
      <c r="L79" s="103"/>
      <c r="M79" s="105">
        <f>E79*J79</f>
        <v>1.9</v>
      </c>
    </row>
    <row r="80" spans="1:13" x14ac:dyDescent="0.3">
      <c r="A80" s="107" t="s">
        <v>897</v>
      </c>
      <c r="B80" s="107" t="s">
        <v>1617</v>
      </c>
      <c r="C80" s="107" t="s">
        <v>8</v>
      </c>
      <c r="D80" s="106" t="s">
        <v>399</v>
      </c>
      <c r="E80" s="104">
        <v>3</v>
      </c>
      <c r="F80" s="103" t="s">
        <v>400</v>
      </c>
      <c r="G80" s="103" t="s">
        <v>401</v>
      </c>
      <c r="H80" s="106" t="s">
        <v>402</v>
      </c>
      <c r="I80" s="103">
        <v>1</v>
      </c>
      <c r="J80" s="104">
        <v>2.2999999999999998</v>
      </c>
      <c r="K80" s="106" t="s">
        <v>1910</v>
      </c>
      <c r="L80" s="103" t="s">
        <v>2529</v>
      </c>
      <c r="M80" s="105">
        <f>E80*J80</f>
        <v>6.8999999999999995</v>
      </c>
    </row>
    <row r="81" spans="1:13" x14ac:dyDescent="0.3">
      <c r="A81" s="107" t="s">
        <v>897</v>
      </c>
      <c r="B81" s="107" t="s">
        <v>1617</v>
      </c>
      <c r="C81" s="107" t="s">
        <v>8</v>
      </c>
      <c r="D81" s="106" t="s">
        <v>1096</v>
      </c>
      <c r="E81" s="104">
        <v>1</v>
      </c>
      <c r="F81" s="103" t="s">
        <v>1097</v>
      </c>
      <c r="G81" s="103" t="s">
        <v>1098</v>
      </c>
      <c r="H81" s="106" t="s">
        <v>1099</v>
      </c>
      <c r="I81" s="103">
        <v>1</v>
      </c>
      <c r="J81" s="104">
        <v>1.95</v>
      </c>
      <c r="K81" s="106" t="s">
        <v>1910</v>
      </c>
      <c r="L81" s="103"/>
      <c r="M81" s="105">
        <f>E81*J81</f>
        <v>1.95</v>
      </c>
    </row>
    <row r="82" spans="1:13" x14ac:dyDescent="0.3">
      <c r="A82" s="106" t="s">
        <v>897</v>
      </c>
      <c r="B82" s="106" t="s">
        <v>1617</v>
      </c>
      <c r="C82" s="106" t="s">
        <v>1898</v>
      </c>
      <c r="D82" s="106" t="s">
        <v>2151</v>
      </c>
      <c r="E82" s="104">
        <v>0</v>
      </c>
      <c r="F82" s="103"/>
      <c r="G82" s="103"/>
      <c r="H82" s="107" t="s">
        <v>2152</v>
      </c>
      <c r="J82" s="111">
        <v>1.5</v>
      </c>
      <c r="K82" s="107" t="s">
        <v>1910</v>
      </c>
    </row>
    <row r="83" spans="1:13" x14ac:dyDescent="0.3">
      <c r="A83" s="107" t="s">
        <v>897</v>
      </c>
      <c r="B83" s="107" t="s">
        <v>1617</v>
      </c>
      <c r="C83" s="107" t="s">
        <v>8</v>
      </c>
      <c r="D83" s="106" t="s">
        <v>679</v>
      </c>
      <c r="E83" s="104">
        <v>0</v>
      </c>
      <c r="F83" s="103" t="s">
        <v>680</v>
      </c>
      <c r="G83" s="103" t="s">
        <v>681</v>
      </c>
      <c r="H83" s="106" t="s">
        <v>682</v>
      </c>
      <c r="I83" s="103">
        <v>1</v>
      </c>
      <c r="J83" s="104">
        <v>1.95</v>
      </c>
      <c r="K83" s="106" t="s">
        <v>1910</v>
      </c>
      <c r="L83" s="103"/>
      <c r="M83" s="105">
        <f>E83*J83</f>
        <v>0</v>
      </c>
    </row>
    <row r="84" spans="1:13" x14ac:dyDescent="0.3">
      <c r="A84" s="107" t="s">
        <v>897</v>
      </c>
      <c r="B84" s="107" t="s">
        <v>1617</v>
      </c>
      <c r="C84" s="107" t="s">
        <v>8</v>
      </c>
      <c r="D84" s="106" t="s">
        <v>407</v>
      </c>
      <c r="E84" s="104">
        <v>0</v>
      </c>
      <c r="F84" s="103" t="s">
        <v>408</v>
      </c>
      <c r="G84" s="103" t="s">
        <v>409</v>
      </c>
      <c r="H84" s="106" t="s">
        <v>410</v>
      </c>
      <c r="I84" s="103">
        <v>1</v>
      </c>
      <c r="J84" s="104">
        <v>0.95</v>
      </c>
      <c r="K84" s="106" t="s">
        <v>1910</v>
      </c>
      <c r="L84" s="103"/>
      <c r="M84" s="105">
        <f>E84*J84</f>
        <v>0</v>
      </c>
    </row>
    <row r="85" spans="1:13" x14ac:dyDescent="0.3">
      <c r="A85" s="107" t="s">
        <v>897</v>
      </c>
      <c r="B85" s="107" t="s">
        <v>1617</v>
      </c>
      <c r="C85" s="107" t="s">
        <v>8</v>
      </c>
      <c r="D85" s="106" t="s">
        <v>411</v>
      </c>
      <c r="E85" s="104">
        <v>0</v>
      </c>
      <c r="F85" s="103" t="s">
        <v>412</v>
      </c>
      <c r="G85" s="103" t="s">
        <v>413</v>
      </c>
      <c r="H85" s="106" t="s">
        <v>221</v>
      </c>
      <c r="I85" s="103">
        <v>1</v>
      </c>
      <c r="J85" s="104">
        <v>3.95</v>
      </c>
      <c r="K85" s="106" t="s">
        <v>2490</v>
      </c>
      <c r="L85" s="103"/>
      <c r="M85" s="105">
        <f>E85*J85</f>
        <v>0</v>
      </c>
    </row>
    <row r="86" spans="1:13" x14ac:dyDescent="0.3">
      <c r="A86" s="107" t="s">
        <v>897</v>
      </c>
      <c r="B86" s="107" t="s">
        <v>1617</v>
      </c>
      <c r="C86" s="107" t="s">
        <v>8</v>
      </c>
      <c r="D86" s="106" t="s">
        <v>433</v>
      </c>
      <c r="E86" s="104">
        <v>5</v>
      </c>
      <c r="F86" s="103" t="s">
        <v>434</v>
      </c>
      <c r="G86" s="103" t="s">
        <v>435</v>
      </c>
      <c r="H86" s="106" t="s">
        <v>436</v>
      </c>
      <c r="I86" s="103">
        <v>1</v>
      </c>
      <c r="J86" s="104">
        <v>1.5</v>
      </c>
      <c r="K86" s="106" t="s">
        <v>1911</v>
      </c>
      <c r="L86" s="103"/>
      <c r="M86" s="105">
        <f>E86*J86</f>
        <v>7.5</v>
      </c>
    </row>
    <row r="87" spans="1:13" x14ac:dyDescent="0.3">
      <c r="A87" s="102" t="s">
        <v>897</v>
      </c>
      <c r="B87" s="102" t="s">
        <v>1893</v>
      </c>
      <c r="C87" s="102" t="s">
        <v>8</v>
      </c>
      <c r="D87" s="103" t="s">
        <v>775</v>
      </c>
      <c r="E87" s="104">
        <v>0</v>
      </c>
      <c r="F87" s="103" t="s">
        <v>776</v>
      </c>
      <c r="G87" s="103" t="s">
        <v>777</v>
      </c>
      <c r="H87" s="103" t="s">
        <v>778</v>
      </c>
      <c r="I87" s="103">
        <v>1</v>
      </c>
      <c r="J87" s="104">
        <v>0.5</v>
      </c>
      <c r="K87" s="103" t="s">
        <v>1910</v>
      </c>
      <c r="L87" s="103"/>
      <c r="M87" s="132">
        <f t="shared" ref="M87:M112" si="5">E87*J87</f>
        <v>0</v>
      </c>
    </row>
    <row r="88" spans="1:13" x14ac:dyDescent="0.3">
      <c r="A88" s="102" t="s">
        <v>897</v>
      </c>
      <c r="B88" s="102" t="s">
        <v>1893</v>
      </c>
      <c r="C88" s="102" t="s">
        <v>8</v>
      </c>
      <c r="D88" s="103" t="s">
        <v>1775</v>
      </c>
      <c r="E88" s="104">
        <v>1</v>
      </c>
      <c r="F88" s="103" t="s">
        <v>1776</v>
      </c>
      <c r="G88" s="103" t="s">
        <v>1777</v>
      </c>
      <c r="H88" s="103" t="s">
        <v>1778</v>
      </c>
      <c r="I88" s="103">
        <v>1</v>
      </c>
      <c r="J88" s="104">
        <v>2.95</v>
      </c>
      <c r="K88" s="103" t="s">
        <v>1910</v>
      </c>
      <c r="L88" s="103"/>
      <c r="M88" s="132">
        <f t="shared" si="5"/>
        <v>2.95</v>
      </c>
    </row>
    <row r="89" spans="1:13" x14ac:dyDescent="0.3">
      <c r="A89" s="102" t="s">
        <v>897</v>
      </c>
      <c r="B89" s="102" t="s">
        <v>1893</v>
      </c>
      <c r="C89" s="102" t="s">
        <v>8</v>
      </c>
      <c r="D89" s="103" t="s">
        <v>523</v>
      </c>
      <c r="E89" s="104">
        <v>0</v>
      </c>
      <c r="F89" s="103" t="s">
        <v>524</v>
      </c>
      <c r="G89" s="103" t="s">
        <v>525</v>
      </c>
      <c r="H89" s="103" t="s">
        <v>526</v>
      </c>
      <c r="I89" s="103">
        <v>1</v>
      </c>
      <c r="J89" s="104">
        <v>1.5</v>
      </c>
      <c r="K89" s="103" t="s">
        <v>1910</v>
      </c>
      <c r="L89" s="103"/>
      <c r="M89" s="132">
        <f t="shared" si="5"/>
        <v>0</v>
      </c>
    </row>
    <row r="90" spans="1:13" x14ac:dyDescent="0.3">
      <c r="A90" s="102" t="s">
        <v>897</v>
      </c>
      <c r="B90" s="102" t="s">
        <v>1893</v>
      </c>
      <c r="C90" s="102" t="s">
        <v>8</v>
      </c>
      <c r="D90" s="103" t="s">
        <v>527</v>
      </c>
      <c r="E90" s="104">
        <v>0</v>
      </c>
      <c r="F90" s="103" t="s">
        <v>528</v>
      </c>
      <c r="G90" s="103" t="s">
        <v>529</v>
      </c>
      <c r="H90" s="103" t="s">
        <v>530</v>
      </c>
      <c r="I90" s="103">
        <v>1</v>
      </c>
      <c r="J90" s="104">
        <v>0.5</v>
      </c>
      <c r="K90" s="103" t="s">
        <v>1910</v>
      </c>
      <c r="L90" s="103"/>
      <c r="M90" s="132">
        <f t="shared" si="5"/>
        <v>0</v>
      </c>
    </row>
    <row r="91" spans="1:13" x14ac:dyDescent="0.3">
      <c r="A91" s="102" t="s">
        <v>897</v>
      </c>
      <c r="B91" s="102" t="s">
        <v>1893</v>
      </c>
      <c r="C91" s="102" t="s">
        <v>8</v>
      </c>
      <c r="D91" s="103" t="s">
        <v>579</v>
      </c>
      <c r="E91" s="104">
        <v>0</v>
      </c>
      <c r="F91" s="103" t="s">
        <v>580</v>
      </c>
      <c r="G91" s="103" t="s">
        <v>581</v>
      </c>
      <c r="H91" s="103" t="s">
        <v>582</v>
      </c>
      <c r="I91" s="103">
        <v>1</v>
      </c>
      <c r="J91" s="104">
        <v>1.5</v>
      </c>
      <c r="K91" s="103" t="s">
        <v>1910</v>
      </c>
      <c r="L91" s="103"/>
      <c r="M91" s="132">
        <f t="shared" si="5"/>
        <v>0</v>
      </c>
    </row>
    <row r="92" spans="1:13" x14ac:dyDescent="0.3">
      <c r="A92" s="102" t="s">
        <v>897</v>
      </c>
      <c r="B92" s="102" t="s">
        <v>1893</v>
      </c>
      <c r="C92" s="102" t="s">
        <v>8</v>
      </c>
      <c r="D92" s="103" t="s">
        <v>481</v>
      </c>
      <c r="E92" s="104">
        <v>0</v>
      </c>
      <c r="F92" s="103" t="s">
        <v>482</v>
      </c>
      <c r="G92" s="103" t="s">
        <v>483</v>
      </c>
      <c r="H92" s="103" t="s">
        <v>484</v>
      </c>
      <c r="I92" s="103"/>
      <c r="J92" s="104">
        <v>0.5</v>
      </c>
      <c r="K92" s="103" t="s">
        <v>1910</v>
      </c>
      <c r="L92" s="103"/>
      <c r="M92" s="132">
        <f t="shared" si="5"/>
        <v>0</v>
      </c>
    </row>
    <row r="93" spans="1:13" x14ac:dyDescent="0.3">
      <c r="A93" s="102" t="s">
        <v>897</v>
      </c>
      <c r="B93" s="102" t="s">
        <v>1893</v>
      </c>
      <c r="C93" s="102" t="s">
        <v>8</v>
      </c>
      <c r="D93" s="103" t="s">
        <v>477</v>
      </c>
      <c r="E93" s="104">
        <v>0</v>
      </c>
      <c r="F93" s="103" t="s">
        <v>478</v>
      </c>
      <c r="G93" s="103" t="s">
        <v>479</v>
      </c>
      <c r="H93" s="103" t="s">
        <v>480</v>
      </c>
      <c r="I93" s="103">
        <v>1</v>
      </c>
      <c r="J93" s="104">
        <v>1.5</v>
      </c>
      <c r="K93" s="103" t="s">
        <v>1910</v>
      </c>
      <c r="L93" s="103"/>
      <c r="M93" s="132">
        <f t="shared" si="5"/>
        <v>0</v>
      </c>
    </row>
    <row r="94" spans="1:13" x14ac:dyDescent="0.3">
      <c r="A94" s="103" t="s">
        <v>897</v>
      </c>
      <c r="B94" s="103" t="s">
        <v>1893</v>
      </c>
      <c r="C94" s="103" t="s">
        <v>1898</v>
      </c>
      <c r="D94" s="103" t="s">
        <v>2193</v>
      </c>
      <c r="E94" s="104">
        <v>5</v>
      </c>
      <c r="F94" s="103"/>
      <c r="G94" s="103"/>
      <c r="H94" s="102" t="s">
        <v>2194</v>
      </c>
      <c r="J94" s="111">
        <v>1.95</v>
      </c>
      <c r="K94" s="102" t="s">
        <v>1910</v>
      </c>
      <c r="M94" s="132"/>
    </row>
    <row r="95" spans="1:13" x14ac:dyDescent="0.3">
      <c r="A95" s="103" t="s">
        <v>897</v>
      </c>
      <c r="B95" s="103" t="s">
        <v>1893</v>
      </c>
      <c r="C95" s="103" t="s">
        <v>1898</v>
      </c>
      <c r="D95" s="103" t="s">
        <v>2175</v>
      </c>
      <c r="E95" s="104">
        <v>3</v>
      </c>
      <c r="F95" s="103"/>
      <c r="G95" s="103"/>
      <c r="H95" s="102" t="s">
        <v>2176</v>
      </c>
      <c r="J95" s="111">
        <v>2.95</v>
      </c>
      <c r="K95" s="102" t="s">
        <v>1910</v>
      </c>
      <c r="M95" s="132"/>
    </row>
    <row r="96" spans="1:13" x14ac:dyDescent="0.3">
      <c r="A96" s="102" t="s">
        <v>897</v>
      </c>
      <c r="B96" s="102" t="s">
        <v>1891</v>
      </c>
      <c r="C96" s="102" t="s">
        <v>8</v>
      </c>
      <c r="D96" s="103" t="s">
        <v>771</v>
      </c>
      <c r="E96" s="104">
        <v>0</v>
      </c>
      <c r="F96" s="103" t="s">
        <v>772</v>
      </c>
      <c r="G96" s="103" t="s">
        <v>773</v>
      </c>
      <c r="H96" s="103" t="s">
        <v>774</v>
      </c>
      <c r="I96" s="103">
        <v>1</v>
      </c>
      <c r="J96" s="104">
        <v>0.5</v>
      </c>
      <c r="K96" s="103" t="s">
        <v>1910</v>
      </c>
      <c r="L96" s="103"/>
      <c r="M96" s="132">
        <f t="shared" si="5"/>
        <v>0</v>
      </c>
    </row>
    <row r="97" spans="1:13" x14ac:dyDescent="0.3">
      <c r="A97" s="102" t="s">
        <v>897</v>
      </c>
      <c r="B97" s="102" t="s">
        <v>1891</v>
      </c>
      <c r="C97" s="102" t="s">
        <v>8</v>
      </c>
      <c r="D97" s="103" t="s">
        <v>515</v>
      </c>
      <c r="E97" s="104">
        <v>0</v>
      </c>
      <c r="F97" s="103" t="s">
        <v>516</v>
      </c>
      <c r="G97" s="103" t="s">
        <v>517</v>
      </c>
      <c r="H97" s="103" t="s">
        <v>518</v>
      </c>
      <c r="I97" s="103">
        <v>1</v>
      </c>
      <c r="J97" s="104">
        <v>0.95</v>
      </c>
      <c r="K97" s="103" t="s">
        <v>1910</v>
      </c>
      <c r="L97" s="103"/>
      <c r="M97" s="132">
        <f t="shared" si="5"/>
        <v>0</v>
      </c>
    </row>
    <row r="98" spans="1:13" x14ac:dyDescent="0.3">
      <c r="A98" s="102" t="s">
        <v>897</v>
      </c>
      <c r="B98" s="102" t="s">
        <v>1891</v>
      </c>
      <c r="C98" s="102" t="s">
        <v>8</v>
      </c>
      <c r="D98" s="103" t="s">
        <v>1791</v>
      </c>
      <c r="E98" s="104">
        <v>1</v>
      </c>
      <c r="F98" s="103" t="s">
        <v>1792</v>
      </c>
      <c r="G98" s="103" t="s">
        <v>1793</v>
      </c>
      <c r="H98" s="103" t="s">
        <v>1794</v>
      </c>
      <c r="I98" s="103">
        <v>1</v>
      </c>
      <c r="J98" s="104">
        <v>0.95</v>
      </c>
      <c r="K98" s="103" t="s">
        <v>1910</v>
      </c>
      <c r="L98" s="103"/>
      <c r="M98" s="132">
        <f t="shared" si="5"/>
        <v>0.95</v>
      </c>
    </row>
    <row r="99" spans="1:13" x14ac:dyDescent="0.3">
      <c r="A99" s="102" t="s">
        <v>897</v>
      </c>
      <c r="B99" s="102" t="s">
        <v>1891</v>
      </c>
      <c r="C99" s="102" t="s">
        <v>8</v>
      </c>
      <c r="D99" s="103" t="s">
        <v>755</v>
      </c>
      <c r="E99" s="104">
        <v>0</v>
      </c>
      <c r="F99" s="103" t="s">
        <v>756</v>
      </c>
      <c r="G99" s="103" t="s">
        <v>757</v>
      </c>
      <c r="H99" s="103" t="s">
        <v>758</v>
      </c>
      <c r="I99" s="103">
        <v>1</v>
      </c>
      <c r="J99" s="104">
        <v>1.5</v>
      </c>
      <c r="K99" s="103" t="s">
        <v>1910</v>
      </c>
      <c r="L99" s="103"/>
      <c r="M99" s="132">
        <f t="shared" si="5"/>
        <v>0</v>
      </c>
    </row>
    <row r="100" spans="1:13" x14ac:dyDescent="0.3">
      <c r="A100" s="103" t="s">
        <v>897</v>
      </c>
      <c r="B100" s="103" t="s">
        <v>1891</v>
      </c>
      <c r="C100" s="103" t="s">
        <v>1898</v>
      </c>
      <c r="D100" s="103" t="s">
        <v>2189</v>
      </c>
      <c r="E100" s="104">
        <v>1</v>
      </c>
      <c r="F100" s="103"/>
      <c r="G100" s="103"/>
      <c r="H100" s="102" t="s">
        <v>2190</v>
      </c>
      <c r="J100" s="111">
        <v>4.95</v>
      </c>
      <c r="K100" s="102" t="s">
        <v>1910</v>
      </c>
      <c r="M100" s="132"/>
    </row>
    <row r="101" spans="1:13" x14ac:dyDescent="0.3">
      <c r="A101" s="103" t="s">
        <v>897</v>
      </c>
      <c r="B101" s="103" t="s">
        <v>1891</v>
      </c>
      <c r="C101" s="103" t="s">
        <v>1898</v>
      </c>
      <c r="D101" s="103" t="s">
        <v>2181</v>
      </c>
      <c r="E101" s="104">
        <v>1</v>
      </c>
      <c r="F101" s="103"/>
      <c r="G101" s="103"/>
      <c r="H101" s="102" t="s">
        <v>2182</v>
      </c>
      <c r="J101" s="111">
        <v>4.95</v>
      </c>
      <c r="K101" s="102" t="s">
        <v>1910</v>
      </c>
      <c r="M101" s="132"/>
    </row>
    <row r="102" spans="1:13" x14ac:dyDescent="0.3">
      <c r="A102" s="102" t="s">
        <v>897</v>
      </c>
      <c r="B102" s="102" t="s">
        <v>1891</v>
      </c>
      <c r="C102" s="102" t="s">
        <v>8</v>
      </c>
      <c r="D102" s="103" t="s">
        <v>489</v>
      </c>
      <c r="E102" s="104">
        <v>5</v>
      </c>
      <c r="F102" s="103" t="s">
        <v>490</v>
      </c>
      <c r="G102" s="103" t="s">
        <v>491</v>
      </c>
      <c r="H102" s="103" t="s">
        <v>492</v>
      </c>
      <c r="I102" s="103">
        <v>1</v>
      </c>
      <c r="J102" s="104">
        <v>2.95</v>
      </c>
      <c r="K102" s="103" t="s">
        <v>1910</v>
      </c>
      <c r="L102" s="103"/>
      <c r="M102" s="132">
        <f t="shared" si="5"/>
        <v>14.75</v>
      </c>
    </row>
    <row r="103" spans="1:13" x14ac:dyDescent="0.3">
      <c r="A103" s="102" t="s">
        <v>897</v>
      </c>
      <c r="B103" s="102" t="s">
        <v>1891</v>
      </c>
      <c r="C103" s="102" t="s">
        <v>8</v>
      </c>
      <c r="D103" s="103" t="s">
        <v>473</v>
      </c>
      <c r="E103" s="104">
        <v>5</v>
      </c>
      <c r="F103" s="103" t="s">
        <v>474</v>
      </c>
      <c r="G103" s="103" t="s">
        <v>475</v>
      </c>
      <c r="H103" s="103" t="s">
        <v>476</v>
      </c>
      <c r="I103" s="103">
        <v>1</v>
      </c>
      <c r="J103" s="104">
        <v>0.75</v>
      </c>
      <c r="K103" s="103" t="s">
        <v>1910</v>
      </c>
      <c r="L103" s="103"/>
      <c r="M103" s="132">
        <f t="shared" si="5"/>
        <v>3.75</v>
      </c>
    </row>
    <row r="104" spans="1:13" x14ac:dyDescent="0.3">
      <c r="A104" s="118" t="s">
        <v>897</v>
      </c>
      <c r="B104" s="118" t="s">
        <v>1891</v>
      </c>
      <c r="C104" s="118" t="s">
        <v>1898</v>
      </c>
      <c r="D104" s="118" t="s">
        <v>2483</v>
      </c>
      <c r="E104" s="119">
        <v>0</v>
      </c>
      <c r="H104" s="118" t="s">
        <v>2482</v>
      </c>
      <c r="I104" s="120">
        <v>117</v>
      </c>
      <c r="J104" s="119">
        <v>3</v>
      </c>
      <c r="K104" s="102" t="s">
        <v>1910</v>
      </c>
      <c r="M104" s="132"/>
    </row>
    <row r="105" spans="1:13" x14ac:dyDescent="0.3">
      <c r="A105" s="102" t="s">
        <v>897</v>
      </c>
      <c r="B105" s="102" t="s">
        <v>1891</v>
      </c>
      <c r="C105" s="102" t="s">
        <v>8</v>
      </c>
      <c r="D105" s="103" t="s">
        <v>759</v>
      </c>
      <c r="E105" s="104">
        <v>0</v>
      </c>
      <c r="F105" s="103" t="s">
        <v>760</v>
      </c>
      <c r="G105" s="103" t="s">
        <v>761</v>
      </c>
      <c r="H105" s="103" t="s">
        <v>762</v>
      </c>
      <c r="I105" s="103">
        <v>1</v>
      </c>
      <c r="J105" s="104">
        <v>1.95</v>
      </c>
      <c r="K105" s="103" t="s">
        <v>1910</v>
      </c>
      <c r="L105" s="103"/>
      <c r="M105" s="132">
        <f t="shared" si="5"/>
        <v>0</v>
      </c>
    </row>
    <row r="106" spans="1:13" x14ac:dyDescent="0.3">
      <c r="A106" s="103" t="s">
        <v>897</v>
      </c>
      <c r="B106" s="103" t="s">
        <v>1891</v>
      </c>
      <c r="C106" s="103" t="s">
        <v>1898</v>
      </c>
      <c r="D106" s="103" t="s">
        <v>2191</v>
      </c>
      <c r="E106" s="104">
        <v>0</v>
      </c>
      <c r="F106" s="103"/>
      <c r="G106" s="103"/>
      <c r="H106" s="102" t="s">
        <v>2192</v>
      </c>
      <c r="J106" s="111">
        <v>5.95</v>
      </c>
      <c r="K106" s="102" t="s">
        <v>1913</v>
      </c>
      <c r="M106" s="132"/>
    </row>
    <row r="107" spans="1:13" x14ac:dyDescent="0.3">
      <c r="A107" s="103" t="s">
        <v>897</v>
      </c>
      <c r="B107" s="103" t="s">
        <v>1891</v>
      </c>
      <c r="C107" s="103" t="s">
        <v>1898</v>
      </c>
      <c r="D107" s="103" t="s">
        <v>2183</v>
      </c>
      <c r="E107" s="104">
        <v>0</v>
      </c>
      <c r="F107" s="103"/>
      <c r="G107" s="103"/>
      <c r="H107" s="102" t="s">
        <v>2184</v>
      </c>
      <c r="J107" s="111">
        <v>0.95</v>
      </c>
      <c r="K107" s="102" t="s">
        <v>1910</v>
      </c>
      <c r="M107" s="132"/>
    </row>
    <row r="108" spans="1:13" x14ac:dyDescent="0.3">
      <c r="A108" s="103" t="s">
        <v>897</v>
      </c>
      <c r="B108" s="103" t="s">
        <v>1891</v>
      </c>
      <c r="C108" s="103" t="s">
        <v>1898</v>
      </c>
      <c r="D108" s="103" t="s">
        <v>2185</v>
      </c>
      <c r="E108" s="104">
        <v>1</v>
      </c>
      <c r="F108" s="103"/>
      <c r="G108" s="103"/>
      <c r="H108" s="102" t="s">
        <v>2186</v>
      </c>
      <c r="J108" s="111">
        <v>7.5</v>
      </c>
      <c r="K108" s="102" t="s">
        <v>1910</v>
      </c>
      <c r="M108" s="132"/>
    </row>
    <row r="109" spans="1:13" x14ac:dyDescent="0.3">
      <c r="A109" s="103" t="s">
        <v>897</v>
      </c>
      <c r="B109" s="103" t="s">
        <v>1891</v>
      </c>
      <c r="C109" s="103" t="s">
        <v>1898</v>
      </c>
      <c r="D109" s="103" t="s">
        <v>2187</v>
      </c>
      <c r="E109" s="104">
        <v>1</v>
      </c>
      <c r="F109" s="103"/>
      <c r="G109" s="103"/>
      <c r="H109" s="102" t="s">
        <v>2188</v>
      </c>
      <c r="J109" s="111">
        <v>5.95</v>
      </c>
      <c r="K109" s="102" t="s">
        <v>1910</v>
      </c>
      <c r="M109" s="132"/>
    </row>
    <row r="110" spans="1:13" x14ac:dyDescent="0.3">
      <c r="A110" s="102" t="s">
        <v>897</v>
      </c>
      <c r="B110" s="102" t="s">
        <v>1891</v>
      </c>
      <c r="C110" s="102" t="s">
        <v>8</v>
      </c>
      <c r="D110" s="103" t="s">
        <v>763</v>
      </c>
      <c r="E110" s="104">
        <v>0</v>
      </c>
      <c r="F110" s="103" t="s">
        <v>764</v>
      </c>
      <c r="G110" s="103" t="s">
        <v>765</v>
      </c>
      <c r="H110" s="103" t="s">
        <v>766</v>
      </c>
      <c r="I110" s="103">
        <v>1</v>
      </c>
      <c r="J110" s="104">
        <v>1.95</v>
      </c>
      <c r="K110" s="103" t="s">
        <v>1910</v>
      </c>
      <c r="L110" s="103"/>
      <c r="M110" s="132">
        <f t="shared" si="5"/>
        <v>0</v>
      </c>
    </row>
    <row r="111" spans="1:13" x14ac:dyDescent="0.3">
      <c r="A111" s="102" t="s">
        <v>897</v>
      </c>
      <c r="B111" s="102" t="s">
        <v>1891</v>
      </c>
      <c r="C111" s="102" t="s">
        <v>8</v>
      </c>
      <c r="D111" s="103" t="s">
        <v>1304</v>
      </c>
      <c r="E111" s="104">
        <v>0</v>
      </c>
      <c r="F111" s="103" t="s">
        <v>1305</v>
      </c>
      <c r="G111" s="103" t="s">
        <v>1306</v>
      </c>
      <c r="H111" s="103" t="s">
        <v>1307</v>
      </c>
      <c r="I111" s="103">
        <v>1</v>
      </c>
      <c r="J111" s="104">
        <v>4.95</v>
      </c>
      <c r="K111" s="103" t="s">
        <v>1910</v>
      </c>
      <c r="L111" s="103"/>
      <c r="M111" s="132">
        <f t="shared" si="5"/>
        <v>0</v>
      </c>
    </row>
    <row r="112" spans="1:13" x14ac:dyDescent="0.3">
      <c r="A112" s="102" t="s">
        <v>897</v>
      </c>
      <c r="B112" s="102" t="s">
        <v>1891</v>
      </c>
      <c r="C112" s="102" t="s">
        <v>8</v>
      </c>
      <c r="D112" s="103" t="s">
        <v>783</v>
      </c>
      <c r="E112" s="104">
        <v>0</v>
      </c>
      <c r="F112" s="103" t="s">
        <v>784</v>
      </c>
      <c r="G112" s="103" t="s">
        <v>785</v>
      </c>
      <c r="H112" s="103" t="s">
        <v>786</v>
      </c>
      <c r="I112" s="103">
        <v>1</v>
      </c>
      <c r="J112" s="104">
        <v>0.95</v>
      </c>
      <c r="K112" s="103" t="s">
        <v>1910</v>
      </c>
      <c r="L112" s="103"/>
      <c r="M112" s="132">
        <f t="shared" si="5"/>
        <v>0</v>
      </c>
    </row>
    <row r="113" spans="1:13" x14ac:dyDescent="0.3">
      <c r="A113" s="103" t="s">
        <v>897</v>
      </c>
      <c r="B113" s="103" t="s">
        <v>1891</v>
      </c>
      <c r="C113" s="103" t="s">
        <v>1898</v>
      </c>
      <c r="D113" s="103" t="s">
        <v>2179</v>
      </c>
      <c r="E113" s="104">
        <v>1</v>
      </c>
      <c r="F113" s="103"/>
      <c r="G113" s="103"/>
      <c r="H113" s="102" t="s">
        <v>2180</v>
      </c>
      <c r="J113" s="111">
        <v>2.95</v>
      </c>
      <c r="K113" s="102" t="s">
        <v>1910</v>
      </c>
      <c r="M113" s="132"/>
    </row>
    <row r="114" spans="1:13" x14ac:dyDescent="0.3">
      <c r="A114" s="103" t="s">
        <v>897</v>
      </c>
      <c r="B114" s="103" t="s">
        <v>1892</v>
      </c>
      <c r="C114" s="103" t="s">
        <v>1898</v>
      </c>
      <c r="D114" s="103" t="s">
        <v>2177</v>
      </c>
      <c r="E114" s="104">
        <v>0</v>
      </c>
      <c r="F114" s="103"/>
      <c r="G114" s="103"/>
      <c r="H114" s="102" t="s">
        <v>2178</v>
      </c>
      <c r="J114" s="111">
        <v>0.95</v>
      </c>
      <c r="K114" s="102" t="s">
        <v>1910</v>
      </c>
      <c r="M114" s="132"/>
    </row>
    <row r="115" spans="1:13" x14ac:dyDescent="0.3">
      <c r="A115" s="103" t="s">
        <v>897</v>
      </c>
      <c r="B115" s="103" t="s">
        <v>1892</v>
      </c>
      <c r="C115" s="103" t="s">
        <v>1898</v>
      </c>
      <c r="D115" s="103" t="s">
        <v>2171</v>
      </c>
      <c r="E115" s="104">
        <v>1</v>
      </c>
      <c r="F115" s="103"/>
      <c r="G115" s="103"/>
      <c r="H115" s="102" t="s">
        <v>2172</v>
      </c>
      <c r="J115" s="111">
        <v>2.95</v>
      </c>
      <c r="K115" s="102" t="s">
        <v>1910</v>
      </c>
      <c r="M115" s="132"/>
    </row>
    <row r="116" spans="1:13" x14ac:dyDescent="0.3">
      <c r="A116" s="103" t="s">
        <v>897</v>
      </c>
      <c r="B116" s="103" t="s">
        <v>1892</v>
      </c>
      <c r="C116" s="103" t="s">
        <v>1898</v>
      </c>
      <c r="D116" s="103" t="s">
        <v>2173</v>
      </c>
      <c r="E116" s="104">
        <v>1</v>
      </c>
      <c r="F116" s="103"/>
      <c r="G116" s="103"/>
      <c r="H116" s="102" t="s">
        <v>2174</v>
      </c>
      <c r="J116" s="111">
        <v>7.95</v>
      </c>
      <c r="K116" s="102" t="s">
        <v>1910</v>
      </c>
      <c r="M116" s="132"/>
    </row>
    <row r="117" spans="1:13" x14ac:dyDescent="0.3">
      <c r="A117" s="103" t="s">
        <v>897</v>
      </c>
      <c r="B117" s="103" t="s">
        <v>1892</v>
      </c>
      <c r="C117" s="103" t="s">
        <v>1898</v>
      </c>
      <c r="D117" s="103" t="s">
        <v>2163</v>
      </c>
      <c r="E117" s="104">
        <v>1</v>
      </c>
      <c r="F117" s="103"/>
      <c r="G117" s="103"/>
      <c r="H117" s="102" t="s">
        <v>2164</v>
      </c>
      <c r="J117" s="111">
        <v>4.95</v>
      </c>
      <c r="K117" s="102" t="s">
        <v>1910</v>
      </c>
      <c r="M117" s="132"/>
    </row>
    <row r="118" spans="1:13" x14ac:dyDescent="0.3">
      <c r="A118" s="103" t="s">
        <v>897</v>
      </c>
      <c r="B118" s="103" t="s">
        <v>1892</v>
      </c>
      <c r="C118" s="103" t="s">
        <v>1898</v>
      </c>
      <c r="D118" s="103" t="s">
        <v>2161</v>
      </c>
      <c r="E118" s="104">
        <v>1</v>
      </c>
      <c r="F118" s="103"/>
      <c r="G118" s="103"/>
      <c r="H118" s="102" t="s">
        <v>2162</v>
      </c>
      <c r="J118" s="111">
        <v>5.95</v>
      </c>
      <c r="K118" s="102" t="s">
        <v>1910</v>
      </c>
      <c r="M118" s="132"/>
    </row>
    <row r="119" spans="1:13" x14ac:dyDescent="0.3">
      <c r="A119" s="103" t="s">
        <v>897</v>
      </c>
      <c r="B119" s="103" t="s">
        <v>1892</v>
      </c>
      <c r="C119" s="103" t="s">
        <v>1898</v>
      </c>
      <c r="D119" s="103" t="s">
        <v>2157</v>
      </c>
      <c r="E119" s="104">
        <v>0</v>
      </c>
      <c r="F119" s="103"/>
      <c r="G119" s="103"/>
      <c r="H119" s="102" t="s">
        <v>2158</v>
      </c>
      <c r="J119" s="111">
        <v>1.5</v>
      </c>
      <c r="K119" s="102" t="s">
        <v>1910</v>
      </c>
      <c r="M119" s="132"/>
    </row>
    <row r="120" spans="1:13" x14ac:dyDescent="0.3">
      <c r="A120" s="103" t="s">
        <v>897</v>
      </c>
      <c r="B120" s="103" t="s">
        <v>1892</v>
      </c>
      <c r="C120" s="103" t="s">
        <v>1898</v>
      </c>
      <c r="D120" s="103" t="s">
        <v>2159</v>
      </c>
      <c r="E120" s="104">
        <v>1</v>
      </c>
      <c r="F120" s="103"/>
      <c r="G120" s="103"/>
      <c r="H120" s="102" t="s">
        <v>2160</v>
      </c>
      <c r="J120" s="111">
        <v>7.95</v>
      </c>
      <c r="K120" s="102" t="s">
        <v>1910</v>
      </c>
      <c r="M120" s="132"/>
    </row>
    <row r="121" spans="1:13" x14ac:dyDescent="0.3">
      <c r="A121" s="103" t="s">
        <v>897</v>
      </c>
      <c r="B121" s="103" t="s">
        <v>1892</v>
      </c>
      <c r="C121" s="103" t="s">
        <v>1898</v>
      </c>
      <c r="D121" s="103" t="s">
        <v>2169</v>
      </c>
      <c r="E121" s="104">
        <v>0</v>
      </c>
      <c r="F121" s="103"/>
      <c r="G121" s="103"/>
      <c r="H121" s="102" t="s">
        <v>2170</v>
      </c>
      <c r="J121" s="111">
        <v>0</v>
      </c>
      <c r="K121" s="102" t="s">
        <v>1910</v>
      </c>
      <c r="M121" s="132"/>
    </row>
    <row r="122" spans="1:13" x14ac:dyDescent="0.3">
      <c r="A122" s="102" t="s">
        <v>897</v>
      </c>
      <c r="B122" s="102" t="s">
        <v>1892</v>
      </c>
      <c r="C122" s="102" t="s">
        <v>8</v>
      </c>
      <c r="D122" s="103" t="s">
        <v>767</v>
      </c>
      <c r="E122" s="104">
        <v>0</v>
      </c>
      <c r="F122" s="103" t="s">
        <v>768</v>
      </c>
      <c r="G122" s="103" t="s">
        <v>769</v>
      </c>
      <c r="H122" s="103" t="s">
        <v>770</v>
      </c>
      <c r="I122" s="103">
        <v>1</v>
      </c>
      <c r="J122" s="104">
        <v>0.5</v>
      </c>
      <c r="K122" s="103" t="s">
        <v>1910</v>
      </c>
      <c r="L122" s="103"/>
      <c r="M122" s="132">
        <f>E122*J122</f>
        <v>0</v>
      </c>
    </row>
    <row r="123" spans="1:13" x14ac:dyDescent="0.3">
      <c r="A123" s="102" t="s">
        <v>897</v>
      </c>
      <c r="B123" s="102" t="s">
        <v>1892</v>
      </c>
      <c r="C123" s="102" t="s">
        <v>8</v>
      </c>
      <c r="D123" s="103" t="s">
        <v>1535</v>
      </c>
      <c r="E123" s="104">
        <v>5</v>
      </c>
      <c r="F123" s="103" t="s">
        <v>1536</v>
      </c>
      <c r="G123" s="103" t="s">
        <v>1537</v>
      </c>
      <c r="H123" s="103" t="s">
        <v>1538</v>
      </c>
      <c r="I123" s="103">
        <v>1</v>
      </c>
      <c r="J123" s="104">
        <v>1.5</v>
      </c>
      <c r="K123" s="103" t="s">
        <v>1910</v>
      </c>
      <c r="L123" s="103"/>
      <c r="M123" s="132">
        <f>E123*J123</f>
        <v>7.5</v>
      </c>
    </row>
    <row r="124" spans="1:13" x14ac:dyDescent="0.3">
      <c r="A124" s="102" t="s">
        <v>897</v>
      </c>
      <c r="B124" s="102" t="s">
        <v>1892</v>
      </c>
      <c r="C124" s="102" t="s">
        <v>8</v>
      </c>
      <c r="D124" s="103" t="s">
        <v>1539</v>
      </c>
      <c r="E124" s="104">
        <v>5</v>
      </c>
      <c r="F124" s="103" t="s">
        <v>1540</v>
      </c>
      <c r="G124" s="103" t="s">
        <v>1541</v>
      </c>
      <c r="H124" s="103" t="s">
        <v>1542</v>
      </c>
      <c r="I124" s="103">
        <v>1</v>
      </c>
      <c r="J124" s="104">
        <v>1.5</v>
      </c>
      <c r="K124" s="103" t="s">
        <v>1910</v>
      </c>
      <c r="L124" s="103"/>
      <c r="M124" s="132">
        <f>E124*J124</f>
        <v>7.5</v>
      </c>
    </row>
    <row r="125" spans="1:13" x14ac:dyDescent="0.3">
      <c r="A125" s="118" t="s">
        <v>897</v>
      </c>
      <c r="B125" s="118" t="s">
        <v>1892</v>
      </c>
      <c r="C125" s="118" t="s">
        <v>1898</v>
      </c>
      <c r="D125" s="118" t="s">
        <v>2481</v>
      </c>
      <c r="E125" s="119">
        <v>0</v>
      </c>
      <c r="H125" s="118" t="s">
        <v>2480</v>
      </c>
      <c r="I125" s="120">
        <v>116</v>
      </c>
      <c r="J125" s="119">
        <v>0.95</v>
      </c>
      <c r="K125" s="102" t="s">
        <v>1910</v>
      </c>
      <c r="M125" s="132"/>
    </row>
    <row r="126" spans="1:13" x14ac:dyDescent="0.3">
      <c r="A126" s="102" t="s">
        <v>897</v>
      </c>
      <c r="B126" s="102" t="s">
        <v>1892</v>
      </c>
      <c r="C126" s="102" t="s">
        <v>8</v>
      </c>
      <c r="D126" s="103" t="s">
        <v>779</v>
      </c>
      <c r="E126" s="104">
        <v>0</v>
      </c>
      <c r="F126" s="103" t="s">
        <v>780</v>
      </c>
      <c r="G126" s="103" t="s">
        <v>781</v>
      </c>
      <c r="H126" s="103" t="s">
        <v>782</v>
      </c>
      <c r="I126" s="103">
        <v>1</v>
      </c>
      <c r="J126" s="104">
        <v>1</v>
      </c>
      <c r="K126" s="103" t="s">
        <v>1910</v>
      </c>
      <c r="L126" s="103"/>
      <c r="M126" s="132">
        <f>E126*J126</f>
        <v>0</v>
      </c>
    </row>
    <row r="127" spans="1:13" x14ac:dyDescent="0.3">
      <c r="A127" s="103" t="s">
        <v>897</v>
      </c>
      <c r="B127" s="103" t="s">
        <v>1892</v>
      </c>
      <c r="C127" s="103" t="s">
        <v>1898</v>
      </c>
      <c r="D127" s="103" t="s">
        <v>2165</v>
      </c>
      <c r="E127" s="104">
        <v>2</v>
      </c>
      <c r="F127" s="103"/>
      <c r="G127" s="103"/>
      <c r="H127" s="102" t="s">
        <v>2166</v>
      </c>
      <c r="J127" s="111">
        <v>0.95</v>
      </c>
      <c r="K127" s="102" t="s">
        <v>1910</v>
      </c>
      <c r="M127" s="132"/>
    </row>
    <row r="128" spans="1:13" x14ac:dyDescent="0.3">
      <c r="A128" s="103" t="s">
        <v>897</v>
      </c>
      <c r="B128" s="103" t="s">
        <v>1892</v>
      </c>
      <c r="C128" s="103" t="s">
        <v>1898</v>
      </c>
      <c r="D128" s="103" t="s">
        <v>2167</v>
      </c>
      <c r="E128" s="104">
        <v>1</v>
      </c>
      <c r="F128" s="103"/>
      <c r="G128" s="103"/>
      <c r="H128" s="102" t="s">
        <v>2168</v>
      </c>
      <c r="J128" s="111">
        <v>3.95</v>
      </c>
      <c r="K128" s="102" t="s">
        <v>1910</v>
      </c>
      <c r="M128" s="132"/>
    </row>
    <row r="129" spans="1:13" x14ac:dyDescent="0.3">
      <c r="A129" s="107" t="s">
        <v>897</v>
      </c>
      <c r="B129" s="107" t="s">
        <v>1890</v>
      </c>
      <c r="C129" s="107" t="s">
        <v>8</v>
      </c>
      <c r="D129" s="106" t="s">
        <v>823</v>
      </c>
      <c r="E129" s="104">
        <v>15</v>
      </c>
      <c r="F129" s="103" t="s">
        <v>824</v>
      </c>
      <c r="G129" s="103" t="s">
        <v>825</v>
      </c>
      <c r="H129" s="106" t="s">
        <v>826</v>
      </c>
      <c r="I129" s="103">
        <v>1</v>
      </c>
      <c r="J129" s="104">
        <v>1.95</v>
      </c>
      <c r="K129" s="106" t="s">
        <v>1910</v>
      </c>
      <c r="L129" s="103"/>
      <c r="M129" s="105">
        <f>E129*J129</f>
        <v>29.25</v>
      </c>
    </row>
    <row r="130" spans="1:13" x14ac:dyDescent="0.3">
      <c r="A130" s="107" t="s">
        <v>897</v>
      </c>
      <c r="B130" s="107" t="s">
        <v>1890</v>
      </c>
      <c r="C130" s="107" t="s">
        <v>8</v>
      </c>
      <c r="D130" s="106" t="s">
        <v>819</v>
      </c>
      <c r="E130" s="104">
        <v>0</v>
      </c>
      <c r="F130" s="103" t="s">
        <v>820</v>
      </c>
      <c r="G130" s="103" t="s">
        <v>821</v>
      </c>
      <c r="H130" s="106" t="s">
        <v>822</v>
      </c>
      <c r="I130" s="103">
        <v>1</v>
      </c>
      <c r="J130" s="104">
        <v>0.95</v>
      </c>
      <c r="K130" s="106" t="s">
        <v>1910</v>
      </c>
      <c r="L130" s="103"/>
      <c r="M130" s="105">
        <f>E130*J130</f>
        <v>0</v>
      </c>
    </row>
    <row r="131" spans="1:13" x14ac:dyDescent="0.3">
      <c r="A131" s="106" t="s">
        <v>897</v>
      </c>
      <c r="B131" s="106" t="s">
        <v>2025</v>
      </c>
      <c r="C131" s="106" t="s">
        <v>1898</v>
      </c>
      <c r="D131" s="106" t="s">
        <v>2205</v>
      </c>
      <c r="E131" s="104">
        <v>3</v>
      </c>
      <c r="F131" s="103"/>
      <c r="G131" s="103"/>
      <c r="H131" s="107" t="s">
        <v>2206</v>
      </c>
      <c r="J131" s="111">
        <v>1.95</v>
      </c>
      <c r="K131" s="107" t="s">
        <v>1910</v>
      </c>
    </row>
    <row r="132" spans="1:13" x14ac:dyDescent="0.3">
      <c r="A132" s="106" t="s">
        <v>897</v>
      </c>
      <c r="B132" s="106" t="s">
        <v>2025</v>
      </c>
      <c r="C132" s="106" t="s">
        <v>1898</v>
      </c>
      <c r="D132" s="106" t="s">
        <v>2195</v>
      </c>
      <c r="E132" s="104">
        <v>1</v>
      </c>
      <c r="F132" s="103"/>
      <c r="G132" s="103"/>
      <c r="H132" s="107" t="s">
        <v>2196</v>
      </c>
      <c r="J132" s="111">
        <v>3.95</v>
      </c>
      <c r="K132" s="107" t="s">
        <v>1910</v>
      </c>
    </row>
    <row r="133" spans="1:13" x14ac:dyDescent="0.3">
      <c r="A133" s="106" t="s">
        <v>897</v>
      </c>
      <c r="B133" s="106" t="s">
        <v>2025</v>
      </c>
      <c r="C133" s="106" t="s">
        <v>1898</v>
      </c>
      <c r="D133" s="106" t="s">
        <v>2203</v>
      </c>
      <c r="E133" s="104">
        <v>2</v>
      </c>
      <c r="F133" s="103"/>
      <c r="G133" s="103"/>
      <c r="H133" s="107" t="s">
        <v>2204</v>
      </c>
      <c r="J133" s="111">
        <v>1.95</v>
      </c>
      <c r="K133" s="107" t="s">
        <v>1910</v>
      </c>
    </row>
    <row r="134" spans="1:13" x14ac:dyDescent="0.3">
      <c r="A134" s="106" t="s">
        <v>897</v>
      </c>
      <c r="B134" s="106" t="s">
        <v>2025</v>
      </c>
      <c r="C134" s="106" t="s">
        <v>1898</v>
      </c>
      <c r="D134" s="106" t="s">
        <v>2197</v>
      </c>
      <c r="E134" s="104">
        <v>1</v>
      </c>
      <c r="F134" s="103"/>
      <c r="G134" s="103"/>
      <c r="H134" s="107" t="s">
        <v>2198</v>
      </c>
      <c r="J134" s="111">
        <v>2.95</v>
      </c>
      <c r="K134" s="107" t="s">
        <v>1910</v>
      </c>
    </row>
    <row r="135" spans="1:13" x14ac:dyDescent="0.3">
      <c r="A135" s="106" t="s">
        <v>897</v>
      </c>
      <c r="B135" s="106" t="s">
        <v>2025</v>
      </c>
      <c r="C135" s="106" t="s">
        <v>1898</v>
      </c>
      <c r="D135" s="106" t="s">
        <v>2199</v>
      </c>
      <c r="E135" s="104">
        <v>6</v>
      </c>
      <c r="F135" s="103"/>
      <c r="G135" s="103"/>
      <c r="H135" s="107" t="s">
        <v>2200</v>
      </c>
      <c r="J135" s="111">
        <v>2.95</v>
      </c>
      <c r="K135" s="107" t="s">
        <v>1910</v>
      </c>
    </row>
    <row r="136" spans="1:13" x14ac:dyDescent="0.3">
      <c r="A136" s="106" t="s">
        <v>897</v>
      </c>
      <c r="B136" s="106" t="s">
        <v>2025</v>
      </c>
      <c r="C136" s="106" t="s">
        <v>1898</v>
      </c>
      <c r="D136" s="106" t="s">
        <v>2201</v>
      </c>
      <c r="E136" s="104">
        <v>6</v>
      </c>
      <c r="F136" s="103"/>
      <c r="G136" s="103"/>
      <c r="H136" s="107" t="s">
        <v>2202</v>
      </c>
      <c r="J136" s="111">
        <v>3.95</v>
      </c>
      <c r="K136" s="107" t="s">
        <v>1910</v>
      </c>
    </row>
    <row r="137" spans="1:13" x14ac:dyDescent="0.3">
      <c r="A137" s="107" t="s">
        <v>897</v>
      </c>
      <c r="B137" s="107" t="s">
        <v>2434</v>
      </c>
      <c r="C137" s="107" t="s">
        <v>8</v>
      </c>
      <c r="D137" s="106" t="s">
        <v>595</v>
      </c>
      <c r="E137" s="104">
        <v>0</v>
      </c>
      <c r="F137" s="103" t="s">
        <v>596</v>
      </c>
      <c r="G137" s="103" t="s">
        <v>597</v>
      </c>
      <c r="H137" s="106" t="s">
        <v>598</v>
      </c>
      <c r="I137" s="103">
        <v>1</v>
      </c>
      <c r="J137" s="104">
        <v>0.95</v>
      </c>
      <c r="K137" s="106" t="s">
        <v>1910</v>
      </c>
      <c r="L137" s="103" t="s">
        <v>2399</v>
      </c>
      <c r="M137" s="105">
        <f>E137*J137</f>
        <v>0</v>
      </c>
    </row>
    <row r="138" spans="1:13" x14ac:dyDescent="0.3">
      <c r="A138" s="107" t="s">
        <v>897</v>
      </c>
      <c r="B138" s="107" t="s">
        <v>2434</v>
      </c>
      <c r="C138" s="107" t="s">
        <v>8</v>
      </c>
      <c r="D138" s="106" t="s">
        <v>591</v>
      </c>
      <c r="E138" s="104">
        <v>0</v>
      </c>
      <c r="F138" s="103" t="s">
        <v>592</v>
      </c>
      <c r="G138" s="103" t="s">
        <v>593</v>
      </c>
      <c r="H138" s="106" t="s">
        <v>594</v>
      </c>
      <c r="I138" s="103">
        <v>1</v>
      </c>
      <c r="J138" s="104">
        <v>0.95</v>
      </c>
      <c r="K138" s="106" t="s">
        <v>1910</v>
      </c>
      <c r="L138" s="103" t="s">
        <v>2399</v>
      </c>
      <c r="M138" s="105">
        <f>E138*J138</f>
        <v>0</v>
      </c>
    </row>
    <row r="139" spans="1:13" x14ac:dyDescent="0.3">
      <c r="A139" s="107" t="s">
        <v>897</v>
      </c>
      <c r="B139" s="107" t="s">
        <v>2434</v>
      </c>
      <c r="C139" s="107" t="s">
        <v>8</v>
      </c>
      <c r="D139" s="106" t="s">
        <v>511</v>
      </c>
      <c r="E139" s="104">
        <v>10</v>
      </c>
      <c r="F139" s="103" t="s">
        <v>512</v>
      </c>
      <c r="G139" s="103" t="s">
        <v>513</v>
      </c>
      <c r="H139" s="106" t="s">
        <v>514</v>
      </c>
      <c r="I139" s="103">
        <v>1</v>
      </c>
      <c r="J139" s="104">
        <v>0.95</v>
      </c>
      <c r="K139" s="106" t="s">
        <v>1911</v>
      </c>
      <c r="L139" s="103" t="s">
        <v>2399</v>
      </c>
      <c r="M139" s="105">
        <f>E139*J139</f>
        <v>9.5</v>
      </c>
    </row>
    <row r="140" spans="1:13" x14ac:dyDescent="0.3">
      <c r="A140" s="107" t="s">
        <v>897</v>
      </c>
      <c r="B140" s="107" t="s">
        <v>2434</v>
      </c>
      <c r="C140" s="107" t="s">
        <v>8</v>
      </c>
      <c r="D140" s="106" t="s">
        <v>1353</v>
      </c>
      <c r="E140" s="104">
        <v>5</v>
      </c>
      <c r="F140" s="103" t="s">
        <v>1354</v>
      </c>
      <c r="G140" s="103" t="s">
        <v>1355</v>
      </c>
      <c r="H140" s="106" t="s">
        <v>1356</v>
      </c>
      <c r="I140" s="103">
        <v>1</v>
      </c>
      <c r="J140" s="104">
        <v>1.5</v>
      </c>
      <c r="K140" s="106" t="s">
        <v>1911</v>
      </c>
      <c r="L140" s="103" t="s">
        <v>2399</v>
      </c>
      <c r="M140" s="105">
        <f>E140*J140</f>
        <v>7.5</v>
      </c>
    </row>
    <row r="141" spans="1:13" x14ac:dyDescent="0.3">
      <c r="A141" s="107" t="s">
        <v>897</v>
      </c>
      <c r="B141" s="107" t="s">
        <v>2434</v>
      </c>
      <c r="C141" s="107" t="s">
        <v>8</v>
      </c>
      <c r="D141" s="106" t="s">
        <v>485</v>
      </c>
      <c r="E141" s="104">
        <v>10</v>
      </c>
      <c r="F141" s="103" t="s">
        <v>486</v>
      </c>
      <c r="G141" s="103" t="s">
        <v>487</v>
      </c>
      <c r="H141" s="106" t="s">
        <v>488</v>
      </c>
      <c r="I141" s="103"/>
      <c r="J141" s="104">
        <v>1.5</v>
      </c>
      <c r="K141" s="106" t="s">
        <v>1911</v>
      </c>
      <c r="L141" s="103" t="s">
        <v>2399</v>
      </c>
      <c r="M141" s="105">
        <f>E141*J141</f>
        <v>15</v>
      </c>
    </row>
    <row r="142" spans="1:13" x14ac:dyDescent="0.3">
      <c r="A142" s="106" t="s">
        <v>897</v>
      </c>
      <c r="B142" s="106" t="s">
        <v>2434</v>
      </c>
      <c r="C142" s="106" t="s">
        <v>1898</v>
      </c>
      <c r="D142" s="106" t="s">
        <v>2209</v>
      </c>
      <c r="E142" s="104">
        <v>5</v>
      </c>
      <c r="F142" s="103"/>
      <c r="G142" s="103"/>
      <c r="H142" s="107" t="s">
        <v>2210</v>
      </c>
      <c r="J142" s="111">
        <v>2.95</v>
      </c>
      <c r="K142" s="107" t="s">
        <v>1911</v>
      </c>
      <c r="L142" s="105" t="s">
        <v>2399</v>
      </c>
    </row>
    <row r="143" spans="1:13" x14ac:dyDescent="0.3">
      <c r="A143" s="106" t="s">
        <v>897</v>
      </c>
      <c r="B143" s="106" t="s">
        <v>2434</v>
      </c>
      <c r="C143" s="106" t="s">
        <v>1898</v>
      </c>
      <c r="D143" s="106" t="s">
        <v>2211</v>
      </c>
      <c r="E143" s="104">
        <v>0</v>
      </c>
      <c r="F143" s="103"/>
      <c r="G143" s="103"/>
      <c r="H143" s="107" t="s">
        <v>2212</v>
      </c>
      <c r="J143" s="111">
        <v>0.75</v>
      </c>
      <c r="K143" s="107" t="s">
        <v>1910</v>
      </c>
      <c r="L143" s="105" t="s">
        <v>2399</v>
      </c>
    </row>
    <row r="144" spans="1:13" x14ac:dyDescent="0.3">
      <c r="A144" s="107" t="s">
        <v>897</v>
      </c>
      <c r="B144" s="107" t="s">
        <v>2435</v>
      </c>
      <c r="C144" s="107" t="s">
        <v>8</v>
      </c>
      <c r="D144" s="106" t="s">
        <v>1819</v>
      </c>
      <c r="E144" s="104">
        <v>5</v>
      </c>
      <c r="F144" s="103" t="s">
        <v>1820</v>
      </c>
      <c r="G144" s="103" t="s">
        <v>1821</v>
      </c>
      <c r="H144" s="106" t="s">
        <v>1822</v>
      </c>
      <c r="I144" s="103"/>
      <c r="J144" s="104">
        <v>1.5</v>
      </c>
      <c r="K144" s="106" t="s">
        <v>1911</v>
      </c>
      <c r="L144" s="103" t="s">
        <v>2398</v>
      </c>
      <c r="M144" s="105">
        <f>E144*J144</f>
        <v>7.5</v>
      </c>
    </row>
    <row r="145" spans="1:13" x14ac:dyDescent="0.3">
      <c r="A145" s="107" t="s">
        <v>897</v>
      </c>
      <c r="B145" s="107" t="s">
        <v>2435</v>
      </c>
      <c r="C145" s="107" t="s">
        <v>8</v>
      </c>
      <c r="D145" s="106" t="s">
        <v>1811</v>
      </c>
      <c r="E145" s="104">
        <v>0</v>
      </c>
      <c r="F145" s="103" t="s">
        <v>1812</v>
      </c>
      <c r="G145" s="103" t="s">
        <v>1813</v>
      </c>
      <c r="H145" s="106" t="s">
        <v>1814</v>
      </c>
      <c r="I145" s="103"/>
      <c r="J145" s="104">
        <v>2.95</v>
      </c>
      <c r="K145" s="106" t="s">
        <v>1910</v>
      </c>
      <c r="L145" s="103" t="s">
        <v>2398</v>
      </c>
      <c r="M145" s="105">
        <f>E145*J145</f>
        <v>0</v>
      </c>
    </row>
    <row r="146" spans="1:13" x14ac:dyDescent="0.3">
      <c r="A146" s="107" t="s">
        <v>897</v>
      </c>
      <c r="B146" s="107" t="s">
        <v>2435</v>
      </c>
      <c r="C146" s="107" t="s">
        <v>8</v>
      </c>
      <c r="D146" s="106" t="s">
        <v>1803</v>
      </c>
      <c r="E146" s="104">
        <v>0</v>
      </c>
      <c r="F146" s="103" t="s">
        <v>1804</v>
      </c>
      <c r="G146" s="103" t="s">
        <v>1805</v>
      </c>
      <c r="H146" s="106" t="s">
        <v>1806</v>
      </c>
      <c r="I146" s="103"/>
      <c r="J146" s="104">
        <v>1.5</v>
      </c>
      <c r="K146" s="106" t="s">
        <v>1910</v>
      </c>
      <c r="L146" s="103" t="s">
        <v>2398</v>
      </c>
      <c r="M146" s="105">
        <f>E146*J146</f>
        <v>0</v>
      </c>
    </row>
    <row r="147" spans="1:13" x14ac:dyDescent="0.3">
      <c r="A147" s="107" t="s">
        <v>897</v>
      </c>
      <c r="B147" s="107" t="s">
        <v>2435</v>
      </c>
      <c r="C147" s="107" t="s">
        <v>8</v>
      </c>
      <c r="D147" s="106" t="s">
        <v>1815</v>
      </c>
      <c r="E147" s="104">
        <v>0</v>
      </c>
      <c r="F147" s="103" t="s">
        <v>1816</v>
      </c>
      <c r="G147" s="103" t="s">
        <v>1817</v>
      </c>
      <c r="H147" s="106" t="s">
        <v>1818</v>
      </c>
      <c r="I147" s="103">
        <v>1</v>
      </c>
      <c r="J147" s="104">
        <v>2.95</v>
      </c>
      <c r="K147" s="106" t="s">
        <v>1910</v>
      </c>
      <c r="L147" s="103" t="s">
        <v>2398</v>
      </c>
      <c r="M147" s="105">
        <f>E147*J147</f>
        <v>0</v>
      </c>
    </row>
    <row r="148" spans="1:13" x14ac:dyDescent="0.3">
      <c r="A148" s="107" t="s">
        <v>897</v>
      </c>
      <c r="B148" s="107" t="s">
        <v>2435</v>
      </c>
      <c r="C148" s="107" t="s">
        <v>8</v>
      </c>
      <c r="D148" s="106" t="s">
        <v>2430</v>
      </c>
      <c r="E148" s="104">
        <v>0</v>
      </c>
      <c r="F148" s="103" t="s">
        <v>2431</v>
      </c>
      <c r="G148" s="103" t="s">
        <v>2432</v>
      </c>
      <c r="H148" s="106" t="s">
        <v>2433</v>
      </c>
      <c r="I148" s="103">
        <v>1</v>
      </c>
      <c r="J148" s="104">
        <v>0.95</v>
      </c>
      <c r="K148" s="107" t="s">
        <v>1910</v>
      </c>
      <c r="L148" s="105" t="s">
        <v>2398</v>
      </c>
    </row>
    <row r="149" spans="1:13" x14ac:dyDescent="0.3">
      <c r="A149" s="106" t="s">
        <v>897</v>
      </c>
      <c r="B149" s="106" t="s">
        <v>2436</v>
      </c>
      <c r="C149" s="106" t="s">
        <v>1898</v>
      </c>
      <c r="D149" s="106" t="s">
        <v>2207</v>
      </c>
      <c r="E149" s="104">
        <v>0</v>
      </c>
      <c r="F149" s="103"/>
      <c r="G149" s="103"/>
      <c r="H149" s="107" t="s">
        <v>2208</v>
      </c>
      <c r="J149" s="111">
        <v>1.5</v>
      </c>
      <c r="K149" s="107" t="s">
        <v>1913</v>
      </c>
      <c r="L149" s="105" t="s">
        <v>2399</v>
      </c>
    </row>
    <row r="150" spans="1:13" x14ac:dyDescent="0.3">
      <c r="A150" s="107" t="s">
        <v>897</v>
      </c>
      <c r="B150" s="107" t="s">
        <v>1611</v>
      </c>
      <c r="C150" s="107" t="s">
        <v>8</v>
      </c>
      <c r="D150" s="106" t="s">
        <v>519</v>
      </c>
      <c r="E150" s="104">
        <v>5</v>
      </c>
      <c r="F150" s="103" t="s">
        <v>520</v>
      </c>
      <c r="G150" s="103" t="s">
        <v>521</v>
      </c>
      <c r="H150" s="106" t="s">
        <v>522</v>
      </c>
      <c r="I150" s="103">
        <v>1</v>
      </c>
      <c r="J150" s="104">
        <v>1.5</v>
      </c>
      <c r="K150" s="106" t="s">
        <v>1910</v>
      </c>
      <c r="L150" s="103" t="s">
        <v>2399</v>
      </c>
      <c r="M150" s="105">
        <f>E150*J150</f>
        <v>7.5</v>
      </c>
    </row>
    <row r="151" spans="1:13" x14ac:dyDescent="0.3">
      <c r="A151" s="107" t="s">
        <v>897</v>
      </c>
      <c r="B151" s="107" t="s">
        <v>1611</v>
      </c>
      <c r="C151" s="107" t="s">
        <v>8</v>
      </c>
      <c r="D151" s="106" t="s">
        <v>583</v>
      </c>
      <c r="E151" s="104">
        <v>0</v>
      </c>
      <c r="F151" s="103" t="s">
        <v>584</v>
      </c>
      <c r="G151" s="103" t="s">
        <v>585</v>
      </c>
      <c r="H151" s="106" t="s">
        <v>586</v>
      </c>
      <c r="I151" s="103">
        <v>1</v>
      </c>
      <c r="J151" s="104">
        <v>1.5</v>
      </c>
      <c r="K151" s="106" t="s">
        <v>1910</v>
      </c>
      <c r="L151" s="103" t="s">
        <v>2399</v>
      </c>
      <c r="M151" s="105">
        <f>E151*J151</f>
        <v>0</v>
      </c>
    </row>
    <row r="152" spans="1:13" x14ac:dyDescent="0.3">
      <c r="A152" s="107" t="s">
        <v>897</v>
      </c>
      <c r="B152" s="107" t="s">
        <v>1611</v>
      </c>
      <c r="C152" s="107" t="s">
        <v>8</v>
      </c>
      <c r="D152" s="106" t="s">
        <v>1751</v>
      </c>
      <c r="E152" s="104">
        <v>0</v>
      </c>
      <c r="F152" s="103" t="s">
        <v>1752</v>
      </c>
      <c r="G152" s="103" t="s">
        <v>1753</v>
      </c>
      <c r="H152" s="106" t="s">
        <v>1754</v>
      </c>
      <c r="I152" s="103">
        <v>1</v>
      </c>
      <c r="J152" s="104">
        <v>1.5</v>
      </c>
      <c r="K152" s="106" t="s">
        <v>1910</v>
      </c>
      <c r="L152" s="103" t="s">
        <v>2399</v>
      </c>
      <c r="M152" s="105">
        <f>E152*J152</f>
        <v>0</v>
      </c>
    </row>
    <row r="153" spans="1:13" x14ac:dyDescent="0.3">
      <c r="A153" s="118" t="s">
        <v>897</v>
      </c>
      <c r="B153" s="118" t="s">
        <v>1611</v>
      </c>
      <c r="C153" s="118" t="s">
        <v>1898</v>
      </c>
      <c r="D153" s="118" t="s">
        <v>2463</v>
      </c>
      <c r="E153" s="119">
        <v>0</v>
      </c>
      <c r="H153" s="118" t="s">
        <v>2462</v>
      </c>
      <c r="I153" s="120">
        <v>107</v>
      </c>
      <c r="J153" s="119">
        <v>1.95</v>
      </c>
      <c r="K153" s="102" t="s">
        <v>1910</v>
      </c>
    </row>
    <row r="154" spans="1:13" x14ac:dyDescent="0.3">
      <c r="A154" s="118" t="s">
        <v>897</v>
      </c>
      <c r="B154" s="118" t="s">
        <v>2436</v>
      </c>
      <c r="C154" s="118" t="s">
        <v>1898</v>
      </c>
      <c r="D154" s="118" t="s">
        <v>2450</v>
      </c>
      <c r="E154" s="119">
        <v>0</v>
      </c>
      <c r="H154" s="118" t="s">
        <v>2449</v>
      </c>
      <c r="I154" s="120">
        <v>100</v>
      </c>
      <c r="J154" s="119">
        <v>0.75</v>
      </c>
      <c r="K154" s="102" t="s">
        <v>1910</v>
      </c>
    </row>
    <row r="155" spans="1:13" x14ac:dyDescent="0.3">
      <c r="A155" s="118" t="s">
        <v>897</v>
      </c>
      <c r="B155" s="118" t="s">
        <v>2434</v>
      </c>
      <c r="C155" s="118" t="s">
        <v>1898</v>
      </c>
      <c r="D155" s="118" t="s">
        <v>2452</v>
      </c>
      <c r="E155" s="119">
        <v>0</v>
      </c>
      <c r="H155" s="118" t="s">
        <v>2451</v>
      </c>
      <c r="I155" s="120">
        <v>101</v>
      </c>
      <c r="J155" s="119">
        <v>0.75</v>
      </c>
      <c r="K155" s="102" t="s">
        <v>1910</v>
      </c>
    </row>
    <row r="156" spans="1:13" x14ac:dyDescent="0.3">
      <c r="A156" s="118" t="s">
        <v>897</v>
      </c>
      <c r="B156" s="118" t="s">
        <v>2434</v>
      </c>
      <c r="C156" s="118" t="s">
        <v>1898</v>
      </c>
      <c r="D156" s="118" t="s">
        <v>2146</v>
      </c>
      <c r="E156" s="119">
        <v>0</v>
      </c>
      <c r="H156" s="118" t="s">
        <v>2453</v>
      </c>
      <c r="I156" s="120">
        <v>102</v>
      </c>
      <c r="J156" s="119">
        <v>0.75</v>
      </c>
      <c r="K156" s="102" t="s">
        <v>1910</v>
      </c>
    </row>
    <row r="157" spans="1:13" x14ac:dyDescent="0.3">
      <c r="A157" s="107" t="s">
        <v>897</v>
      </c>
      <c r="B157" s="107" t="s">
        <v>1883</v>
      </c>
      <c r="C157" s="107" t="s">
        <v>8</v>
      </c>
      <c r="D157" s="106" t="s">
        <v>1755</v>
      </c>
      <c r="E157" s="104">
        <v>10</v>
      </c>
      <c r="F157" s="103" t="s">
        <v>1756</v>
      </c>
      <c r="G157" s="103" t="s">
        <v>1757</v>
      </c>
      <c r="H157" s="106" t="s">
        <v>1758</v>
      </c>
      <c r="I157" s="103"/>
      <c r="J157" s="104">
        <v>0.95</v>
      </c>
      <c r="K157" s="106" t="s">
        <v>1910</v>
      </c>
      <c r="L157" s="103"/>
      <c r="M157" s="105">
        <f t="shared" ref="M157:M197" si="6">E157*J157</f>
        <v>9.5</v>
      </c>
    </row>
    <row r="158" spans="1:13" x14ac:dyDescent="0.3">
      <c r="A158" s="107" t="s">
        <v>897</v>
      </c>
      <c r="B158" s="107" t="s">
        <v>1883</v>
      </c>
      <c r="C158" s="107" t="s">
        <v>8</v>
      </c>
      <c r="D158" s="106" t="s">
        <v>1767</v>
      </c>
      <c r="E158" s="104">
        <v>10</v>
      </c>
      <c r="F158" s="103" t="s">
        <v>1768</v>
      </c>
      <c r="G158" s="103" t="s">
        <v>1769</v>
      </c>
      <c r="H158" s="106" t="s">
        <v>1770</v>
      </c>
      <c r="I158" s="103">
        <v>1</v>
      </c>
      <c r="J158" s="104">
        <v>1.95</v>
      </c>
      <c r="K158" s="106" t="s">
        <v>1910</v>
      </c>
      <c r="L158" s="103"/>
      <c r="M158" s="105">
        <f t="shared" si="6"/>
        <v>19.5</v>
      </c>
    </row>
    <row r="159" spans="1:13" x14ac:dyDescent="0.3">
      <c r="A159" s="107" t="s">
        <v>897</v>
      </c>
      <c r="B159" s="107" t="s">
        <v>1608</v>
      </c>
      <c r="C159" s="107" t="s">
        <v>8</v>
      </c>
      <c r="D159" s="106" t="s">
        <v>469</v>
      </c>
      <c r="E159" s="104">
        <v>0</v>
      </c>
      <c r="F159" s="103" t="s">
        <v>470</v>
      </c>
      <c r="G159" s="103" t="s">
        <v>471</v>
      </c>
      <c r="H159" s="106" t="s">
        <v>472</v>
      </c>
      <c r="I159" s="103">
        <v>1</v>
      </c>
      <c r="J159" s="104">
        <v>1.5</v>
      </c>
      <c r="K159" s="106" t="s">
        <v>1910</v>
      </c>
      <c r="L159" s="103"/>
      <c r="M159" s="105">
        <f t="shared" si="6"/>
        <v>0</v>
      </c>
    </row>
    <row r="160" spans="1:13" x14ac:dyDescent="0.3">
      <c r="A160" s="107" t="s">
        <v>897</v>
      </c>
      <c r="B160" s="107" t="s">
        <v>1608</v>
      </c>
      <c r="C160" s="107" t="s">
        <v>8</v>
      </c>
      <c r="D160" s="106" t="s">
        <v>465</v>
      </c>
      <c r="E160" s="104">
        <v>0</v>
      </c>
      <c r="F160" s="103" t="s">
        <v>466</v>
      </c>
      <c r="G160" s="103" t="s">
        <v>467</v>
      </c>
      <c r="H160" s="106" t="s">
        <v>468</v>
      </c>
      <c r="I160" s="103">
        <v>1</v>
      </c>
      <c r="J160" s="104">
        <v>0.95</v>
      </c>
      <c r="K160" s="106" t="s">
        <v>1910</v>
      </c>
      <c r="L160" s="103"/>
      <c r="M160" s="105">
        <f t="shared" si="6"/>
        <v>0</v>
      </c>
    </row>
    <row r="161" spans="1:13" x14ac:dyDescent="0.3">
      <c r="A161" s="107" t="s">
        <v>897</v>
      </c>
      <c r="B161" s="107" t="s">
        <v>1608</v>
      </c>
      <c r="C161" s="107" t="s">
        <v>8</v>
      </c>
      <c r="D161" s="106" t="s">
        <v>587</v>
      </c>
      <c r="E161" s="104">
        <v>0</v>
      </c>
      <c r="F161" s="103" t="s">
        <v>588</v>
      </c>
      <c r="G161" s="103" t="s">
        <v>589</v>
      </c>
      <c r="H161" s="106" t="s">
        <v>590</v>
      </c>
      <c r="I161" s="103"/>
      <c r="J161" s="104">
        <v>1.5</v>
      </c>
      <c r="K161" s="106" t="s">
        <v>1910</v>
      </c>
      <c r="L161" s="103"/>
      <c r="M161" s="105">
        <f t="shared" si="6"/>
        <v>0</v>
      </c>
    </row>
    <row r="162" spans="1:13" x14ac:dyDescent="0.3">
      <c r="A162" s="107" t="s">
        <v>897</v>
      </c>
      <c r="B162" s="107" t="s">
        <v>1608</v>
      </c>
      <c r="C162" s="107" t="s">
        <v>8</v>
      </c>
      <c r="D162" s="106" t="s">
        <v>575</v>
      </c>
      <c r="E162" s="104">
        <v>0</v>
      </c>
      <c r="F162" s="103" t="s">
        <v>576</v>
      </c>
      <c r="G162" s="103" t="s">
        <v>577</v>
      </c>
      <c r="H162" s="106" t="s">
        <v>578</v>
      </c>
      <c r="I162" s="103"/>
      <c r="J162" s="104">
        <v>1.95</v>
      </c>
      <c r="K162" s="106" t="s">
        <v>1910</v>
      </c>
      <c r="L162" s="103"/>
      <c r="M162" s="105">
        <f t="shared" si="6"/>
        <v>0</v>
      </c>
    </row>
    <row r="163" spans="1:13" x14ac:dyDescent="0.3">
      <c r="A163" s="107" t="s">
        <v>897</v>
      </c>
      <c r="B163" s="107" t="s">
        <v>1608</v>
      </c>
      <c r="C163" s="107" t="s">
        <v>8</v>
      </c>
      <c r="D163" s="106" t="s">
        <v>539</v>
      </c>
      <c r="E163" s="104">
        <v>0</v>
      </c>
      <c r="F163" s="103" t="s">
        <v>540</v>
      </c>
      <c r="G163" s="103" t="s">
        <v>541</v>
      </c>
      <c r="H163" s="106" t="s">
        <v>542</v>
      </c>
      <c r="I163" s="103">
        <v>1</v>
      </c>
      <c r="J163" s="104">
        <v>1.5</v>
      </c>
      <c r="K163" s="106" t="s">
        <v>1910</v>
      </c>
      <c r="L163" s="103"/>
      <c r="M163" s="105">
        <f t="shared" si="6"/>
        <v>0</v>
      </c>
    </row>
    <row r="164" spans="1:13" x14ac:dyDescent="0.3">
      <c r="A164" s="107" t="s">
        <v>897</v>
      </c>
      <c r="B164" s="107" t="s">
        <v>1608</v>
      </c>
      <c r="C164" s="107" t="s">
        <v>8</v>
      </c>
      <c r="D164" s="106" t="s">
        <v>499</v>
      </c>
      <c r="E164" s="104">
        <v>0</v>
      </c>
      <c r="F164" s="103" t="s">
        <v>500</v>
      </c>
      <c r="G164" s="103" t="s">
        <v>501</v>
      </c>
      <c r="H164" s="106" t="s">
        <v>502</v>
      </c>
      <c r="I164" s="103"/>
      <c r="J164" s="104">
        <v>1.5</v>
      </c>
      <c r="K164" s="106" t="s">
        <v>1910</v>
      </c>
      <c r="L164" s="103"/>
      <c r="M164" s="105">
        <f t="shared" si="6"/>
        <v>0</v>
      </c>
    </row>
    <row r="165" spans="1:13" x14ac:dyDescent="0.3">
      <c r="A165" s="107" t="s">
        <v>897</v>
      </c>
      <c r="B165" s="107" t="s">
        <v>1608</v>
      </c>
      <c r="C165" s="107" t="s">
        <v>8</v>
      </c>
      <c r="D165" s="106" t="s">
        <v>535</v>
      </c>
      <c r="E165" s="104">
        <v>0</v>
      </c>
      <c r="F165" s="103" t="s">
        <v>536</v>
      </c>
      <c r="G165" s="103" t="s">
        <v>537</v>
      </c>
      <c r="H165" s="106" t="s">
        <v>538</v>
      </c>
      <c r="I165" s="103"/>
      <c r="J165" s="104">
        <v>1.5</v>
      </c>
      <c r="K165" s="106" t="s">
        <v>1910</v>
      </c>
      <c r="L165" s="103"/>
      <c r="M165" s="105">
        <f t="shared" si="6"/>
        <v>0</v>
      </c>
    </row>
    <row r="166" spans="1:13" x14ac:dyDescent="0.3">
      <c r="A166" s="107" t="s">
        <v>897</v>
      </c>
      <c r="B166" s="107" t="s">
        <v>1608</v>
      </c>
      <c r="C166" s="107" t="s">
        <v>8</v>
      </c>
      <c r="D166" s="106" t="s">
        <v>503</v>
      </c>
      <c r="E166" s="104">
        <v>0</v>
      </c>
      <c r="F166" s="103" t="s">
        <v>504</v>
      </c>
      <c r="G166" s="103" t="s">
        <v>505</v>
      </c>
      <c r="H166" s="106" t="s">
        <v>506</v>
      </c>
      <c r="I166" s="103"/>
      <c r="J166" s="104">
        <v>1.95</v>
      </c>
      <c r="K166" s="106" t="s">
        <v>1910</v>
      </c>
      <c r="L166" s="103"/>
      <c r="M166" s="105">
        <f t="shared" si="6"/>
        <v>0</v>
      </c>
    </row>
    <row r="167" spans="1:13" x14ac:dyDescent="0.3">
      <c r="A167" s="107" t="s">
        <v>897</v>
      </c>
      <c r="B167" s="107" t="s">
        <v>1608</v>
      </c>
      <c r="C167" s="107" t="s">
        <v>8</v>
      </c>
      <c r="D167" s="106" t="s">
        <v>507</v>
      </c>
      <c r="E167" s="104">
        <v>0</v>
      </c>
      <c r="F167" s="103" t="s">
        <v>508</v>
      </c>
      <c r="G167" s="103" t="s">
        <v>509</v>
      </c>
      <c r="H167" s="106" t="s">
        <v>510</v>
      </c>
      <c r="I167" s="103"/>
      <c r="J167" s="104">
        <v>1.5</v>
      </c>
      <c r="K167" s="106" t="s">
        <v>1910</v>
      </c>
      <c r="L167" s="103"/>
      <c r="M167" s="105">
        <f t="shared" si="6"/>
        <v>0</v>
      </c>
    </row>
    <row r="168" spans="1:13" x14ac:dyDescent="0.3">
      <c r="A168" s="107" t="s">
        <v>897</v>
      </c>
      <c r="B168" s="107" t="s">
        <v>1608</v>
      </c>
      <c r="C168" s="107" t="s">
        <v>8</v>
      </c>
      <c r="D168" s="106" t="s">
        <v>547</v>
      </c>
      <c r="E168" s="104">
        <v>0</v>
      </c>
      <c r="F168" s="103" t="s">
        <v>548</v>
      </c>
      <c r="G168" s="103" t="s">
        <v>549</v>
      </c>
      <c r="H168" s="106" t="s">
        <v>550</v>
      </c>
      <c r="I168" s="103">
        <v>1</v>
      </c>
      <c r="J168" s="104">
        <v>1.95</v>
      </c>
      <c r="K168" s="106" t="s">
        <v>1910</v>
      </c>
      <c r="L168" s="103"/>
      <c r="M168" s="105">
        <f t="shared" si="6"/>
        <v>0</v>
      </c>
    </row>
    <row r="169" spans="1:13" x14ac:dyDescent="0.3">
      <c r="A169" s="107" t="s">
        <v>897</v>
      </c>
      <c r="B169" s="107" t="s">
        <v>1608</v>
      </c>
      <c r="C169" s="107" t="s">
        <v>8</v>
      </c>
      <c r="D169" s="106" t="s">
        <v>551</v>
      </c>
      <c r="E169" s="104">
        <v>0</v>
      </c>
      <c r="F169" s="103" t="s">
        <v>552</v>
      </c>
      <c r="G169" s="103" t="s">
        <v>553</v>
      </c>
      <c r="H169" s="106" t="s">
        <v>554</v>
      </c>
      <c r="I169" s="103">
        <v>1</v>
      </c>
      <c r="J169" s="104">
        <v>4.95</v>
      </c>
      <c r="K169" s="106" t="s">
        <v>1910</v>
      </c>
      <c r="L169" s="103"/>
      <c r="M169" s="105">
        <f t="shared" si="6"/>
        <v>0</v>
      </c>
    </row>
    <row r="170" spans="1:13" x14ac:dyDescent="0.3">
      <c r="A170" s="107" t="s">
        <v>897</v>
      </c>
      <c r="B170" s="107" t="s">
        <v>1608</v>
      </c>
      <c r="C170" s="107" t="s">
        <v>8</v>
      </c>
      <c r="D170" s="106" t="s">
        <v>599</v>
      </c>
      <c r="E170" s="104">
        <v>0</v>
      </c>
      <c r="F170" s="103" t="s">
        <v>600</v>
      </c>
      <c r="G170" s="103" t="s">
        <v>601</v>
      </c>
      <c r="H170" s="106" t="s">
        <v>602</v>
      </c>
      <c r="I170" s="103">
        <v>1</v>
      </c>
      <c r="J170" s="104">
        <v>4.5</v>
      </c>
      <c r="K170" s="106" t="s">
        <v>1910</v>
      </c>
      <c r="L170" s="103"/>
      <c r="M170" s="105">
        <f t="shared" si="6"/>
        <v>0</v>
      </c>
    </row>
    <row r="171" spans="1:13" x14ac:dyDescent="0.3">
      <c r="A171" s="107" t="s">
        <v>897</v>
      </c>
      <c r="B171" s="107" t="s">
        <v>1608</v>
      </c>
      <c r="C171" s="107" t="s">
        <v>8</v>
      </c>
      <c r="D171" s="106" t="s">
        <v>559</v>
      </c>
      <c r="E171" s="104">
        <v>0</v>
      </c>
      <c r="F171" s="103" t="s">
        <v>560</v>
      </c>
      <c r="G171" s="103" t="s">
        <v>561</v>
      </c>
      <c r="H171" s="106" t="s">
        <v>562</v>
      </c>
      <c r="I171" s="103">
        <v>1</v>
      </c>
      <c r="J171" s="104">
        <v>3.95</v>
      </c>
      <c r="K171" s="106" t="s">
        <v>1910</v>
      </c>
      <c r="L171" s="103"/>
      <c r="M171" s="105">
        <f t="shared" si="6"/>
        <v>0</v>
      </c>
    </row>
    <row r="172" spans="1:13" x14ac:dyDescent="0.3">
      <c r="A172" s="107" t="s">
        <v>897</v>
      </c>
      <c r="B172" s="107" t="s">
        <v>1608</v>
      </c>
      <c r="C172" s="107" t="s">
        <v>8</v>
      </c>
      <c r="D172" s="106" t="s">
        <v>567</v>
      </c>
      <c r="E172" s="104">
        <v>0</v>
      </c>
      <c r="F172" s="103" t="s">
        <v>568</v>
      </c>
      <c r="G172" s="103" t="s">
        <v>569</v>
      </c>
      <c r="H172" s="106" t="s">
        <v>570</v>
      </c>
      <c r="I172" s="103">
        <v>1</v>
      </c>
      <c r="J172" s="104">
        <v>4.5</v>
      </c>
      <c r="K172" s="106" t="s">
        <v>1910</v>
      </c>
      <c r="L172" s="103"/>
      <c r="M172" s="105">
        <f t="shared" si="6"/>
        <v>0</v>
      </c>
    </row>
    <row r="173" spans="1:13" x14ac:dyDescent="0.3">
      <c r="A173" s="107" t="s">
        <v>897</v>
      </c>
      <c r="B173" s="107" t="s">
        <v>1608</v>
      </c>
      <c r="C173" s="107" t="s">
        <v>8</v>
      </c>
      <c r="D173" s="106" t="s">
        <v>543</v>
      </c>
      <c r="E173" s="104">
        <v>0</v>
      </c>
      <c r="F173" s="103" t="s">
        <v>544</v>
      </c>
      <c r="G173" s="103" t="s">
        <v>545</v>
      </c>
      <c r="H173" s="106" t="s">
        <v>546</v>
      </c>
      <c r="I173" s="103">
        <v>1</v>
      </c>
      <c r="J173" s="104">
        <v>1.95</v>
      </c>
      <c r="K173" s="106" t="s">
        <v>1910</v>
      </c>
      <c r="L173" s="103"/>
      <c r="M173" s="105">
        <f t="shared" si="6"/>
        <v>0</v>
      </c>
    </row>
    <row r="174" spans="1:13" x14ac:dyDescent="0.3">
      <c r="A174" s="107" t="s">
        <v>897</v>
      </c>
      <c r="B174" s="107" t="s">
        <v>1608</v>
      </c>
      <c r="C174" s="107" t="s">
        <v>8</v>
      </c>
      <c r="D174" s="106" t="s">
        <v>1352</v>
      </c>
      <c r="E174" s="104">
        <v>0</v>
      </c>
      <c r="F174" s="103" t="s">
        <v>552</v>
      </c>
      <c r="G174" s="103" t="s">
        <v>553</v>
      </c>
      <c r="H174" s="106" t="s">
        <v>1351</v>
      </c>
      <c r="I174" s="103">
        <v>1</v>
      </c>
      <c r="J174" s="104">
        <v>4.95</v>
      </c>
      <c r="K174" s="106" t="s">
        <v>1910</v>
      </c>
      <c r="L174" s="103"/>
      <c r="M174" s="105">
        <f t="shared" si="6"/>
        <v>0</v>
      </c>
    </row>
    <row r="175" spans="1:13" x14ac:dyDescent="0.3">
      <c r="A175" s="107" t="s">
        <v>897</v>
      </c>
      <c r="B175" s="107" t="s">
        <v>1608</v>
      </c>
      <c r="C175" s="107" t="s">
        <v>8</v>
      </c>
      <c r="D175" s="106" t="s">
        <v>563</v>
      </c>
      <c r="E175" s="104">
        <v>0</v>
      </c>
      <c r="F175" s="103" t="s">
        <v>564</v>
      </c>
      <c r="G175" s="103" t="s">
        <v>565</v>
      </c>
      <c r="H175" s="106" t="s">
        <v>566</v>
      </c>
      <c r="I175" s="103">
        <v>1</v>
      </c>
      <c r="J175" s="104">
        <v>3.95</v>
      </c>
      <c r="K175" s="106" t="s">
        <v>1910</v>
      </c>
      <c r="L175" s="103"/>
      <c r="M175" s="105">
        <f t="shared" si="6"/>
        <v>0</v>
      </c>
    </row>
    <row r="176" spans="1:13" x14ac:dyDescent="0.3">
      <c r="A176" s="107" t="s">
        <v>897</v>
      </c>
      <c r="B176" s="107" t="s">
        <v>1608</v>
      </c>
      <c r="C176" s="107" t="s">
        <v>8</v>
      </c>
      <c r="D176" s="106" t="s">
        <v>555</v>
      </c>
      <c r="E176" s="104">
        <v>0</v>
      </c>
      <c r="F176" s="103" t="s">
        <v>556</v>
      </c>
      <c r="G176" s="103" t="s">
        <v>557</v>
      </c>
      <c r="H176" s="106" t="s">
        <v>558</v>
      </c>
      <c r="I176" s="103">
        <v>1</v>
      </c>
      <c r="J176" s="104">
        <v>1.95</v>
      </c>
      <c r="K176" s="106" t="s">
        <v>1910</v>
      </c>
      <c r="L176" s="103"/>
      <c r="M176" s="105">
        <f t="shared" si="6"/>
        <v>0</v>
      </c>
    </row>
    <row r="177" spans="1:13" x14ac:dyDescent="0.3">
      <c r="A177" s="107" t="s">
        <v>897</v>
      </c>
      <c r="B177" s="107" t="s">
        <v>1012</v>
      </c>
      <c r="C177" s="107" t="s">
        <v>8</v>
      </c>
      <c r="D177" s="106" t="s">
        <v>371</v>
      </c>
      <c r="E177" s="104">
        <v>1</v>
      </c>
      <c r="F177" s="103" t="s">
        <v>372</v>
      </c>
      <c r="G177" s="103" t="s">
        <v>373</v>
      </c>
      <c r="H177" s="106" t="s">
        <v>374</v>
      </c>
      <c r="I177" s="103">
        <v>1</v>
      </c>
      <c r="J177" s="104">
        <v>7.95</v>
      </c>
      <c r="K177" s="106" t="s">
        <v>1910</v>
      </c>
      <c r="L177" s="103"/>
      <c r="M177" s="105">
        <f t="shared" si="6"/>
        <v>7.95</v>
      </c>
    </row>
    <row r="178" spans="1:13" x14ac:dyDescent="0.3">
      <c r="A178" s="107" t="s">
        <v>897</v>
      </c>
      <c r="B178" s="107" t="s">
        <v>1012</v>
      </c>
      <c r="C178" s="107" t="s">
        <v>8</v>
      </c>
      <c r="D178" s="106" t="s">
        <v>437</v>
      </c>
      <c r="E178" s="104">
        <v>5</v>
      </c>
      <c r="F178" s="103" t="s">
        <v>438</v>
      </c>
      <c r="G178" s="103" t="s">
        <v>439</v>
      </c>
      <c r="H178" s="106" t="s">
        <v>440</v>
      </c>
      <c r="I178" s="103">
        <v>1</v>
      </c>
      <c r="J178" s="104">
        <v>0.5</v>
      </c>
      <c r="K178" s="106" t="s">
        <v>1910</v>
      </c>
      <c r="L178" s="103"/>
      <c r="M178" s="105">
        <f t="shared" si="6"/>
        <v>2.5</v>
      </c>
    </row>
    <row r="179" spans="1:13" x14ac:dyDescent="0.3">
      <c r="A179" s="107" t="s">
        <v>897</v>
      </c>
      <c r="B179" s="107" t="s">
        <v>1012</v>
      </c>
      <c r="C179" s="107" t="s">
        <v>8</v>
      </c>
      <c r="D179" s="106" t="s">
        <v>441</v>
      </c>
      <c r="E179" s="104">
        <v>5</v>
      </c>
      <c r="F179" s="103" t="s">
        <v>442</v>
      </c>
      <c r="G179" s="103" t="s">
        <v>443</v>
      </c>
      <c r="H179" s="106" t="s">
        <v>444</v>
      </c>
      <c r="I179" s="103">
        <v>1</v>
      </c>
      <c r="J179" s="104">
        <v>0.5</v>
      </c>
      <c r="K179" s="106" t="s">
        <v>1910</v>
      </c>
      <c r="L179" s="103"/>
      <c r="M179" s="105">
        <f t="shared" si="6"/>
        <v>2.5</v>
      </c>
    </row>
    <row r="180" spans="1:13" x14ac:dyDescent="0.3">
      <c r="A180" s="107" t="s">
        <v>897</v>
      </c>
      <c r="B180" s="107" t="s">
        <v>1012</v>
      </c>
      <c r="C180" s="107" t="s">
        <v>8</v>
      </c>
      <c r="D180" s="106" t="s">
        <v>1697</v>
      </c>
      <c r="E180" s="104">
        <v>1</v>
      </c>
      <c r="F180" s="103" t="s">
        <v>1698</v>
      </c>
      <c r="G180" s="103" t="s">
        <v>1699</v>
      </c>
      <c r="H180" s="106" t="s">
        <v>1700</v>
      </c>
      <c r="I180" s="103">
        <v>1</v>
      </c>
      <c r="J180" s="104">
        <v>0.95</v>
      </c>
      <c r="K180" s="106" t="s">
        <v>1911</v>
      </c>
      <c r="L180" s="103"/>
      <c r="M180" s="105">
        <f t="shared" si="6"/>
        <v>0.95</v>
      </c>
    </row>
    <row r="181" spans="1:13" x14ac:dyDescent="0.3">
      <c r="A181" s="107" t="s">
        <v>897</v>
      </c>
      <c r="B181" s="107" t="s">
        <v>1012</v>
      </c>
      <c r="C181" s="107" t="s">
        <v>8</v>
      </c>
      <c r="D181" s="106" t="s">
        <v>1701</v>
      </c>
      <c r="E181" s="104">
        <v>1</v>
      </c>
      <c r="F181" s="103" t="s">
        <v>1702</v>
      </c>
      <c r="G181" s="103" t="s">
        <v>1703</v>
      </c>
      <c r="H181" s="106" t="s">
        <v>1704</v>
      </c>
      <c r="I181" s="103">
        <v>1</v>
      </c>
      <c r="J181" s="104">
        <v>1.95</v>
      </c>
      <c r="K181" s="106" t="s">
        <v>1910</v>
      </c>
      <c r="L181" s="103"/>
      <c r="M181" s="105">
        <f t="shared" si="6"/>
        <v>1.95</v>
      </c>
    </row>
    <row r="182" spans="1:13" x14ac:dyDescent="0.3">
      <c r="A182" s="107" t="s">
        <v>897</v>
      </c>
      <c r="B182" s="107" t="s">
        <v>1012</v>
      </c>
      <c r="C182" s="107" t="s">
        <v>8</v>
      </c>
      <c r="D182" s="106" t="s">
        <v>1681</v>
      </c>
      <c r="E182" s="104">
        <v>1</v>
      </c>
      <c r="F182" s="103" t="s">
        <v>1682</v>
      </c>
      <c r="G182" s="103" t="s">
        <v>1683</v>
      </c>
      <c r="H182" s="106" t="s">
        <v>1684</v>
      </c>
      <c r="I182" s="103">
        <v>1</v>
      </c>
      <c r="J182" s="104">
        <v>2.5</v>
      </c>
      <c r="K182" s="106" t="s">
        <v>1910</v>
      </c>
      <c r="L182" s="103"/>
      <c r="M182" s="105">
        <f t="shared" si="6"/>
        <v>2.5</v>
      </c>
    </row>
    <row r="183" spans="1:13" x14ac:dyDescent="0.3">
      <c r="A183" s="107" t="s">
        <v>897</v>
      </c>
      <c r="B183" s="107" t="s">
        <v>1012</v>
      </c>
      <c r="C183" s="107" t="s">
        <v>8</v>
      </c>
      <c r="D183" s="106" t="s">
        <v>1835</v>
      </c>
      <c r="E183" s="104">
        <v>1</v>
      </c>
      <c r="F183" s="103" t="s">
        <v>1836</v>
      </c>
      <c r="G183" s="103" t="s">
        <v>1837</v>
      </c>
      <c r="H183" s="106" t="s">
        <v>1838</v>
      </c>
      <c r="I183" s="103">
        <v>1</v>
      </c>
      <c r="J183" s="104">
        <v>2.95</v>
      </c>
      <c r="K183" s="106" t="s">
        <v>1910</v>
      </c>
      <c r="L183" s="103"/>
      <c r="M183" s="105">
        <f t="shared" si="6"/>
        <v>2.95</v>
      </c>
    </row>
    <row r="184" spans="1:13" x14ac:dyDescent="0.3">
      <c r="A184" s="107" t="s">
        <v>897</v>
      </c>
      <c r="B184" s="107" t="s">
        <v>1012</v>
      </c>
      <c r="C184" s="107" t="s">
        <v>8</v>
      </c>
      <c r="D184" s="106" t="s">
        <v>611</v>
      </c>
      <c r="E184" s="104">
        <v>4</v>
      </c>
      <c r="F184" s="103" t="s">
        <v>612</v>
      </c>
      <c r="G184" s="103" t="s">
        <v>613</v>
      </c>
      <c r="H184" s="106" t="s">
        <v>614</v>
      </c>
      <c r="I184" s="103">
        <v>1</v>
      </c>
      <c r="J184" s="104">
        <v>0.95</v>
      </c>
      <c r="K184" s="106" t="s">
        <v>1910</v>
      </c>
      <c r="L184" s="103"/>
      <c r="M184" s="105">
        <f t="shared" si="6"/>
        <v>3.8</v>
      </c>
    </row>
    <row r="185" spans="1:13" x14ac:dyDescent="0.3">
      <c r="A185" s="107" t="s">
        <v>897</v>
      </c>
      <c r="B185" s="107" t="s">
        <v>1012</v>
      </c>
      <c r="C185" s="107" t="s">
        <v>8</v>
      </c>
      <c r="D185" s="106" t="s">
        <v>375</v>
      </c>
      <c r="E185" s="104">
        <v>1</v>
      </c>
      <c r="F185" s="103" t="s">
        <v>376</v>
      </c>
      <c r="G185" s="103" t="s">
        <v>377</v>
      </c>
      <c r="H185" s="106" t="s">
        <v>378</v>
      </c>
      <c r="I185" s="103"/>
      <c r="J185" s="104">
        <v>6.95</v>
      </c>
      <c r="K185" s="106" t="s">
        <v>1910</v>
      </c>
      <c r="L185" s="103"/>
      <c r="M185" s="105">
        <f t="shared" si="6"/>
        <v>6.95</v>
      </c>
    </row>
    <row r="186" spans="1:13" x14ac:dyDescent="0.3">
      <c r="A186" s="107" t="s">
        <v>897</v>
      </c>
      <c r="B186" s="107" t="s">
        <v>1012</v>
      </c>
      <c r="C186" s="107" t="s">
        <v>8</v>
      </c>
      <c r="D186" s="106" t="s">
        <v>727</v>
      </c>
      <c r="E186" s="104">
        <v>3</v>
      </c>
      <c r="F186" s="103" t="s">
        <v>728</v>
      </c>
      <c r="G186" s="103" t="s">
        <v>729</v>
      </c>
      <c r="H186" s="106" t="s">
        <v>730</v>
      </c>
      <c r="I186" s="103">
        <v>1</v>
      </c>
      <c r="J186" s="104">
        <v>0.35</v>
      </c>
      <c r="K186" s="106" t="s">
        <v>1910</v>
      </c>
      <c r="L186" s="103"/>
      <c r="M186" s="105">
        <f t="shared" si="6"/>
        <v>1.0499999999999998</v>
      </c>
    </row>
    <row r="187" spans="1:13" x14ac:dyDescent="0.3">
      <c r="A187" s="107" t="s">
        <v>897</v>
      </c>
      <c r="B187" s="107" t="s">
        <v>1012</v>
      </c>
      <c r="C187" s="107" t="s">
        <v>8</v>
      </c>
      <c r="D187" s="106" t="s">
        <v>723</v>
      </c>
      <c r="E187" s="104">
        <v>3</v>
      </c>
      <c r="F187" s="103" t="s">
        <v>724</v>
      </c>
      <c r="G187" s="103" t="s">
        <v>725</v>
      </c>
      <c r="H187" s="106" t="s">
        <v>726</v>
      </c>
      <c r="I187" s="103">
        <v>1</v>
      </c>
      <c r="J187" s="104">
        <v>0.45</v>
      </c>
      <c r="K187" s="106" t="s">
        <v>1910</v>
      </c>
      <c r="L187" s="103"/>
      <c r="M187" s="105">
        <f t="shared" si="6"/>
        <v>1.35</v>
      </c>
    </row>
    <row r="188" spans="1:13" x14ac:dyDescent="0.3">
      <c r="A188" s="107" t="s">
        <v>897</v>
      </c>
      <c r="B188" s="107" t="s">
        <v>1012</v>
      </c>
      <c r="C188" s="107" t="s">
        <v>8</v>
      </c>
      <c r="D188" s="106" t="s">
        <v>715</v>
      </c>
      <c r="E188" s="104">
        <v>3</v>
      </c>
      <c r="F188" s="103" t="s">
        <v>716</v>
      </c>
      <c r="G188" s="103" t="s">
        <v>717</v>
      </c>
      <c r="H188" s="106" t="s">
        <v>718</v>
      </c>
      <c r="I188" s="103">
        <v>1</v>
      </c>
      <c r="J188" s="104">
        <v>4.95</v>
      </c>
      <c r="K188" s="106" t="s">
        <v>1910</v>
      </c>
      <c r="L188" s="103"/>
      <c r="M188" s="105">
        <f t="shared" si="6"/>
        <v>14.850000000000001</v>
      </c>
    </row>
    <row r="189" spans="1:13" x14ac:dyDescent="0.3">
      <c r="A189" s="107" t="s">
        <v>897</v>
      </c>
      <c r="B189" s="107" t="s">
        <v>1012</v>
      </c>
      <c r="C189" s="107" t="s">
        <v>8</v>
      </c>
      <c r="D189" s="106" t="s">
        <v>711</v>
      </c>
      <c r="E189" s="104">
        <v>10</v>
      </c>
      <c r="F189" s="103" t="s">
        <v>712</v>
      </c>
      <c r="G189" s="103" t="s">
        <v>713</v>
      </c>
      <c r="H189" s="106" t="s">
        <v>714</v>
      </c>
      <c r="I189" s="103">
        <v>1</v>
      </c>
      <c r="J189" s="104">
        <v>0.75</v>
      </c>
      <c r="K189" s="106" t="s">
        <v>1910</v>
      </c>
      <c r="L189" s="103"/>
      <c r="M189" s="105">
        <f t="shared" si="6"/>
        <v>7.5</v>
      </c>
    </row>
    <row r="190" spans="1:13" x14ac:dyDescent="0.3">
      <c r="A190" s="107" t="s">
        <v>897</v>
      </c>
      <c r="B190" s="107" t="s">
        <v>1012</v>
      </c>
      <c r="C190" s="107" t="s">
        <v>8</v>
      </c>
      <c r="D190" s="106" t="s">
        <v>425</v>
      </c>
      <c r="E190" s="104">
        <v>10</v>
      </c>
      <c r="F190" s="103" t="s">
        <v>426</v>
      </c>
      <c r="G190" s="103" t="s">
        <v>427</v>
      </c>
      <c r="H190" s="106" t="s">
        <v>428</v>
      </c>
      <c r="I190" s="103">
        <v>1</v>
      </c>
      <c r="J190" s="104">
        <v>0.15</v>
      </c>
      <c r="K190" s="106" t="s">
        <v>1910</v>
      </c>
      <c r="L190" s="103"/>
      <c r="M190" s="105">
        <f t="shared" si="6"/>
        <v>1.5</v>
      </c>
    </row>
    <row r="191" spans="1:13" x14ac:dyDescent="0.3">
      <c r="A191" s="107" t="s">
        <v>897</v>
      </c>
      <c r="B191" s="107" t="s">
        <v>1012</v>
      </c>
      <c r="C191" s="107" t="s">
        <v>8</v>
      </c>
      <c r="D191" s="106" t="s">
        <v>429</v>
      </c>
      <c r="E191" s="104">
        <v>10</v>
      </c>
      <c r="F191" s="103" t="s">
        <v>430</v>
      </c>
      <c r="G191" s="103" t="s">
        <v>431</v>
      </c>
      <c r="H191" s="106" t="s">
        <v>432</v>
      </c>
      <c r="I191" s="103">
        <v>1</v>
      </c>
      <c r="J191" s="104">
        <v>0.15</v>
      </c>
      <c r="K191" s="106" t="s">
        <v>1910</v>
      </c>
      <c r="L191" s="103"/>
      <c r="M191" s="105">
        <f t="shared" si="6"/>
        <v>1.5</v>
      </c>
    </row>
    <row r="192" spans="1:13" x14ac:dyDescent="0.3">
      <c r="A192" s="107" t="s">
        <v>897</v>
      </c>
      <c r="B192" s="107" t="s">
        <v>1012</v>
      </c>
      <c r="C192" s="107" t="s">
        <v>8</v>
      </c>
      <c r="D192" s="106" t="s">
        <v>671</v>
      </c>
      <c r="E192" s="104">
        <v>10</v>
      </c>
      <c r="F192" s="103" t="s">
        <v>672</v>
      </c>
      <c r="G192" s="103" t="s">
        <v>673</v>
      </c>
      <c r="H192" s="106" t="s">
        <v>674</v>
      </c>
      <c r="I192" s="103">
        <v>1</v>
      </c>
      <c r="J192" s="104">
        <v>0.15</v>
      </c>
      <c r="K192" s="106" t="s">
        <v>1910</v>
      </c>
      <c r="L192" s="103"/>
      <c r="M192" s="105">
        <f t="shared" si="6"/>
        <v>1.5</v>
      </c>
    </row>
    <row r="193" spans="1:13" x14ac:dyDescent="0.3">
      <c r="A193" s="107" t="s">
        <v>897</v>
      </c>
      <c r="B193" s="107" t="s">
        <v>1012</v>
      </c>
      <c r="C193" s="107" t="s">
        <v>8</v>
      </c>
      <c r="D193" s="106" t="s">
        <v>421</v>
      </c>
      <c r="E193" s="104">
        <v>10</v>
      </c>
      <c r="F193" s="103" t="s">
        <v>422</v>
      </c>
      <c r="G193" s="103" t="s">
        <v>423</v>
      </c>
      <c r="H193" s="106" t="s">
        <v>424</v>
      </c>
      <c r="I193" s="103">
        <v>1</v>
      </c>
      <c r="J193" s="104">
        <v>0.25</v>
      </c>
      <c r="K193" s="106" t="s">
        <v>1910</v>
      </c>
      <c r="L193" s="103"/>
      <c r="M193" s="105">
        <f t="shared" si="6"/>
        <v>2.5</v>
      </c>
    </row>
    <row r="194" spans="1:13" x14ac:dyDescent="0.3">
      <c r="A194" s="107" t="s">
        <v>897</v>
      </c>
      <c r="B194" s="107" t="s">
        <v>1894</v>
      </c>
      <c r="C194" s="107" t="s">
        <v>8</v>
      </c>
      <c r="D194" s="106" t="s">
        <v>747</v>
      </c>
      <c r="E194" s="104">
        <v>2</v>
      </c>
      <c r="F194" s="103" t="s">
        <v>748</v>
      </c>
      <c r="G194" s="103" t="s">
        <v>749</v>
      </c>
      <c r="H194" s="106" t="s">
        <v>750</v>
      </c>
      <c r="I194" s="103"/>
      <c r="J194" s="104">
        <v>0.5</v>
      </c>
      <c r="K194" s="106" t="s">
        <v>1910</v>
      </c>
      <c r="L194" s="103"/>
      <c r="M194" s="105">
        <f t="shared" si="6"/>
        <v>1</v>
      </c>
    </row>
    <row r="195" spans="1:13" x14ac:dyDescent="0.3">
      <c r="A195" s="107" t="s">
        <v>897</v>
      </c>
      <c r="B195" s="107" t="s">
        <v>1894</v>
      </c>
      <c r="C195" s="107" t="s">
        <v>8</v>
      </c>
      <c r="D195" s="106" t="s">
        <v>743</v>
      </c>
      <c r="E195" s="104">
        <v>4</v>
      </c>
      <c r="F195" s="103" t="s">
        <v>744</v>
      </c>
      <c r="G195" s="103" t="s">
        <v>745</v>
      </c>
      <c r="H195" s="106" t="s">
        <v>746</v>
      </c>
      <c r="I195" s="103">
        <v>1</v>
      </c>
      <c r="J195" s="104">
        <v>1.5</v>
      </c>
      <c r="K195" s="106" t="s">
        <v>1910</v>
      </c>
      <c r="L195" s="103"/>
      <c r="M195" s="105">
        <f t="shared" si="6"/>
        <v>6</v>
      </c>
    </row>
    <row r="196" spans="1:13" x14ac:dyDescent="0.3">
      <c r="A196" s="107" t="s">
        <v>897</v>
      </c>
      <c r="B196" s="107" t="s">
        <v>1894</v>
      </c>
      <c r="C196" s="107" t="s">
        <v>8</v>
      </c>
      <c r="D196" s="106" t="s">
        <v>739</v>
      </c>
      <c r="E196" s="104">
        <v>8</v>
      </c>
      <c r="F196" s="103" t="s">
        <v>740</v>
      </c>
      <c r="G196" s="103" t="s">
        <v>741</v>
      </c>
      <c r="H196" s="106" t="s">
        <v>742</v>
      </c>
      <c r="I196" s="103"/>
      <c r="J196" s="104">
        <v>0.5</v>
      </c>
      <c r="K196" s="106" t="s">
        <v>1910</v>
      </c>
      <c r="L196" s="103"/>
      <c r="M196" s="105">
        <f t="shared" si="6"/>
        <v>4</v>
      </c>
    </row>
    <row r="197" spans="1:13" x14ac:dyDescent="0.3">
      <c r="A197" s="107" t="s">
        <v>897</v>
      </c>
      <c r="B197" s="107" t="s">
        <v>1894</v>
      </c>
      <c r="C197" s="107" t="s">
        <v>8</v>
      </c>
      <c r="D197" s="106" t="s">
        <v>905</v>
      </c>
      <c r="E197" s="104">
        <v>5</v>
      </c>
      <c r="F197" s="103" t="s">
        <v>906</v>
      </c>
      <c r="G197" s="103" t="s">
        <v>907</v>
      </c>
      <c r="H197" s="106" t="s">
        <v>908</v>
      </c>
      <c r="I197" s="103">
        <v>1</v>
      </c>
      <c r="J197" s="104">
        <v>0.95</v>
      </c>
      <c r="K197" s="106" t="s">
        <v>1911</v>
      </c>
      <c r="L197" s="103"/>
      <c r="M197" s="105">
        <f t="shared" si="6"/>
        <v>4.75</v>
      </c>
    </row>
    <row r="198" spans="1:13" x14ac:dyDescent="0.3">
      <c r="A198" s="106" t="s">
        <v>897</v>
      </c>
      <c r="B198" s="106" t="s">
        <v>1894</v>
      </c>
      <c r="C198" s="106" t="s">
        <v>1898</v>
      </c>
      <c r="D198" s="106" t="s">
        <v>2215</v>
      </c>
      <c r="E198" s="104">
        <v>0</v>
      </c>
      <c r="F198" s="103"/>
      <c r="G198" s="103"/>
      <c r="H198" s="107" t="s">
        <v>2216</v>
      </c>
      <c r="J198" s="111">
        <v>2.5</v>
      </c>
      <c r="K198" s="107" t="s">
        <v>1910</v>
      </c>
    </row>
    <row r="199" spans="1:13" x14ac:dyDescent="0.3">
      <c r="A199" s="106" t="s">
        <v>897</v>
      </c>
      <c r="B199" s="106" t="s">
        <v>1894</v>
      </c>
      <c r="C199" s="106" t="s">
        <v>1898</v>
      </c>
      <c r="D199" s="106" t="s">
        <v>2217</v>
      </c>
      <c r="E199" s="104">
        <v>0</v>
      </c>
      <c r="F199" s="103"/>
      <c r="G199" s="103"/>
      <c r="H199" s="107" t="s">
        <v>2218</v>
      </c>
      <c r="J199" s="111">
        <v>2.5</v>
      </c>
      <c r="K199" s="107" t="s">
        <v>1910</v>
      </c>
    </row>
    <row r="200" spans="1:13" x14ac:dyDescent="0.3">
      <c r="A200" s="106" t="s">
        <v>897</v>
      </c>
      <c r="B200" s="106" t="s">
        <v>1894</v>
      </c>
      <c r="C200" s="106" t="s">
        <v>1898</v>
      </c>
      <c r="D200" s="106" t="s">
        <v>2219</v>
      </c>
      <c r="E200" s="104">
        <v>0</v>
      </c>
      <c r="F200" s="103"/>
      <c r="G200" s="103"/>
      <c r="H200" s="107" t="s">
        <v>2220</v>
      </c>
      <c r="J200" s="111">
        <v>0.95</v>
      </c>
      <c r="K200" s="107" t="s">
        <v>1910</v>
      </c>
    </row>
    <row r="201" spans="1:13" x14ac:dyDescent="0.3">
      <c r="A201" s="106" t="s">
        <v>897</v>
      </c>
      <c r="B201" s="106" t="s">
        <v>1894</v>
      </c>
      <c r="C201" s="106" t="s">
        <v>1898</v>
      </c>
      <c r="D201" s="106" t="s">
        <v>2213</v>
      </c>
      <c r="E201" s="104">
        <v>0</v>
      </c>
      <c r="F201" s="103"/>
      <c r="G201" s="103"/>
      <c r="H201" s="107" t="s">
        <v>2214</v>
      </c>
      <c r="J201" s="111">
        <v>1.95</v>
      </c>
      <c r="K201" s="107" t="s">
        <v>1910</v>
      </c>
    </row>
    <row r="202" spans="1:13" x14ac:dyDescent="0.3">
      <c r="A202" s="106" t="s">
        <v>897</v>
      </c>
      <c r="B202" s="106" t="s">
        <v>2022</v>
      </c>
      <c r="C202" s="106" t="s">
        <v>1898</v>
      </c>
      <c r="D202" s="106" t="s">
        <v>2227</v>
      </c>
      <c r="E202" s="104">
        <v>1</v>
      </c>
      <c r="F202" s="103"/>
      <c r="G202" s="103"/>
      <c r="H202" s="107" t="s">
        <v>2228</v>
      </c>
      <c r="J202" s="111">
        <v>4.95</v>
      </c>
      <c r="K202" s="107" t="s">
        <v>1910</v>
      </c>
    </row>
    <row r="203" spans="1:13" x14ac:dyDescent="0.3">
      <c r="A203" s="106" t="s">
        <v>897</v>
      </c>
      <c r="B203" s="106" t="s">
        <v>2022</v>
      </c>
      <c r="C203" s="106" t="s">
        <v>1898</v>
      </c>
      <c r="D203" s="106" t="s">
        <v>2229</v>
      </c>
      <c r="E203" s="104">
        <v>1</v>
      </c>
      <c r="F203" s="103"/>
      <c r="G203" s="103"/>
      <c r="H203" s="107" t="s">
        <v>2230</v>
      </c>
      <c r="J203" s="111">
        <v>4.95</v>
      </c>
      <c r="K203" s="107" t="s">
        <v>1910</v>
      </c>
    </row>
    <row r="204" spans="1:13" x14ac:dyDescent="0.3">
      <c r="A204" s="106" t="s">
        <v>897</v>
      </c>
      <c r="B204" s="106" t="s">
        <v>2022</v>
      </c>
      <c r="C204" s="106" t="s">
        <v>1898</v>
      </c>
      <c r="D204" s="106" t="s">
        <v>2231</v>
      </c>
      <c r="E204" s="104">
        <v>1</v>
      </c>
      <c r="F204" s="103"/>
      <c r="G204" s="103"/>
      <c r="H204" s="107" t="s">
        <v>2232</v>
      </c>
      <c r="J204" s="111">
        <v>4.95</v>
      </c>
      <c r="K204" s="107" t="s">
        <v>1910</v>
      </c>
    </row>
    <row r="205" spans="1:13" x14ac:dyDescent="0.3">
      <c r="A205" s="106" t="s">
        <v>897</v>
      </c>
      <c r="B205" s="106" t="s">
        <v>2022</v>
      </c>
      <c r="C205" s="106" t="s">
        <v>1898</v>
      </c>
      <c r="D205" s="106" t="s">
        <v>2233</v>
      </c>
      <c r="E205" s="104">
        <v>1</v>
      </c>
      <c r="F205" s="103"/>
      <c r="G205" s="103"/>
      <c r="H205" s="107" t="s">
        <v>2234</v>
      </c>
      <c r="J205" s="111">
        <v>7.5</v>
      </c>
      <c r="K205" s="107" t="s">
        <v>1910</v>
      </c>
    </row>
    <row r="206" spans="1:13" x14ac:dyDescent="0.3">
      <c r="A206" s="107" t="s">
        <v>897</v>
      </c>
      <c r="B206" s="107" t="s">
        <v>2024</v>
      </c>
      <c r="C206" s="107" t="s">
        <v>8</v>
      </c>
      <c r="D206" s="106" t="s">
        <v>1595</v>
      </c>
      <c r="E206" s="104">
        <v>2</v>
      </c>
      <c r="F206" s="103" t="s">
        <v>1596</v>
      </c>
      <c r="G206" s="103" t="s">
        <v>1597</v>
      </c>
      <c r="H206" s="106" t="s">
        <v>1598</v>
      </c>
      <c r="I206" s="103">
        <v>1</v>
      </c>
      <c r="J206" s="104">
        <v>2.95</v>
      </c>
      <c r="K206" s="106" t="s">
        <v>1910</v>
      </c>
      <c r="L206" s="103"/>
      <c r="M206" s="105">
        <f>E206*J206</f>
        <v>5.9</v>
      </c>
    </row>
    <row r="207" spans="1:13" x14ac:dyDescent="0.3">
      <c r="A207" s="118" t="s">
        <v>897</v>
      </c>
      <c r="B207" s="118" t="s">
        <v>2024</v>
      </c>
      <c r="C207" s="118" t="s">
        <v>1898</v>
      </c>
      <c r="D207" s="118" t="s">
        <v>2461</v>
      </c>
      <c r="E207" s="119">
        <v>0</v>
      </c>
      <c r="H207" s="118" t="s">
        <v>2460</v>
      </c>
      <c r="I207" s="120">
        <v>106</v>
      </c>
      <c r="J207" s="119">
        <v>2</v>
      </c>
      <c r="K207" s="102" t="s">
        <v>1910</v>
      </c>
    </row>
    <row r="208" spans="1:13" x14ac:dyDescent="0.3">
      <c r="A208" s="107" t="s">
        <v>897</v>
      </c>
      <c r="B208" s="107" t="s">
        <v>2024</v>
      </c>
      <c r="C208" s="107" t="s">
        <v>8</v>
      </c>
      <c r="D208" s="106" t="s">
        <v>1591</v>
      </c>
      <c r="E208" s="104">
        <v>0</v>
      </c>
      <c r="F208" s="103" t="s">
        <v>1592</v>
      </c>
      <c r="G208" s="103" t="s">
        <v>1593</v>
      </c>
      <c r="H208" s="106" t="s">
        <v>1594</v>
      </c>
      <c r="I208" s="103">
        <v>1</v>
      </c>
      <c r="J208" s="104">
        <v>0.95</v>
      </c>
      <c r="K208" s="106" t="s">
        <v>1910</v>
      </c>
      <c r="L208" s="103"/>
      <c r="M208" s="105">
        <f>E208*J208</f>
        <v>0</v>
      </c>
    </row>
    <row r="209" spans="1:13" x14ac:dyDescent="0.3">
      <c r="A209" s="107" t="s">
        <v>897</v>
      </c>
      <c r="B209" s="107" t="s">
        <v>2024</v>
      </c>
      <c r="C209" s="107" t="s">
        <v>8</v>
      </c>
      <c r="D209" s="106" t="s">
        <v>1599</v>
      </c>
      <c r="E209" s="104">
        <v>1</v>
      </c>
      <c r="F209" s="103" t="s">
        <v>1600</v>
      </c>
      <c r="G209" s="103" t="s">
        <v>1601</v>
      </c>
      <c r="H209" s="106" t="s">
        <v>1602</v>
      </c>
      <c r="I209" s="103">
        <v>1</v>
      </c>
      <c r="J209" s="104">
        <v>4.95</v>
      </c>
      <c r="K209" s="106" t="s">
        <v>1910</v>
      </c>
      <c r="L209" s="103"/>
      <c r="M209" s="105">
        <f>E209*J209</f>
        <v>4.95</v>
      </c>
    </row>
    <row r="210" spans="1:13" x14ac:dyDescent="0.3">
      <c r="A210" s="118" t="s">
        <v>897</v>
      </c>
      <c r="B210" s="118" t="s">
        <v>2024</v>
      </c>
      <c r="C210" s="118" t="s">
        <v>1898</v>
      </c>
      <c r="D210" s="118" t="s">
        <v>2459</v>
      </c>
      <c r="E210" s="119">
        <v>0</v>
      </c>
      <c r="H210" s="118" t="s">
        <v>2458</v>
      </c>
      <c r="I210" s="120">
        <v>105</v>
      </c>
      <c r="J210" s="119">
        <v>1.5</v>
      </c>
      <c r="K210" s="102" t="s">
        <v>1910</v>
      </c>
    </row>
    <row r="211" spans="1:13" x14ac:dyDescent="0.3">
      <c r="A211" s="106" t="s">
        <v>897</v>
      </c>
      <c r="B211" s="106" t="s">
        <v>2024</v>
      </c>
      <c r="C211" s="106" t="s">
        <v>1898</v>
      </c>
      <c r="D211" s="106" t="s">
        <v>2235</v>
      </c>
      <c r="E211" s="104">
        <v>0</v>
      </c>
      <c r="F211" s="103"/>
      <c r="G211" s="103"/>
      <c r="H211" s="107" t="s">
        <v>2236</v>
      </c>
      <c r="J211" s="111">
        <v>2</v>
      </c>
      <c r="K211" s="107" t="s">
        <v>1910</v>
      </c>
    </row>
    <row r="212" spans="1:13" x14ac:dyDescent="0.3">
      <c r="A212" s="118" t="s">
        <v>897</v>
      </c>
      <c r="B212" s="107" t="s">
        <v>2024</v>
      </c>
      <c r="C212" s="118" t="s">
        <v>1898</v>
      </c>
      <c r="D212" s="118" t="s">
        <v>2457</v>
      </c>
      <c r="E212" s="119">
        <v>0</v>
      </c>
      <c r="H212" s="118" t="s">
        <v>2456</v>
      </c>
      <c r="I212" s="120">
        <v>104</v>
      </c>
      <c r="J212" s="119">
        <v>3.95</v>
      </c>
      <c r="K212" s="102" t="s">
        <v>1910</v>
      </c>
    </row>
    <row r="213" spans="1:13" x14ac:dyDescent="0.3">
      <c r="A213" s="107" t="s">
        <v>897</v>
      </c>
      <c r="B213" s="107" t="s">
        <v>2024</v>
      </c>
      <c r="C213" s="107" t="s">
        <v>8</v>
      </c>
      <c r="D213" s="106" t="s">
        <v>1531</v>
      </c>
      <c r="E213" s="104">
        <v>0</v>
      </c>
      <c r="F213" s="103" t="s">
        <v>1532</v>
      </c>
      <c r="G213" s="103" t="s">
        <v>1533</v>
      </c>
      <c r="H213" s="106" t="s">
        <v>1534</v>
      </c>
      <c r="I213" s="103">
        <v>1</v>
      </c>
      <c r="J213" s="104">
        <v>1.5</v>
      </c>
      <c r="K213" s="106" t="s">
        <v>1910</v>
      </c>
      <c r="L213" s="103"/>
      <c r="M213" s="105">
        <f>E213*J213</f>
        <v>0</v>
      </c>
    </row>
    <row r="214" spans="1:13" x14ac:dyDescent="0.3">
      <c r="A214" s="118" t="s">
        <v>897</v>
      </c>
      <c r="B214" s="118" t="s">
        <v>2024</v>
      </c>
      <c r="C214" s="118" t="s">
        <v>1898</v>
      </c>
      <c r="D214" s="118" t="s">
        <v>2455</v>
      </c>
      <c r="E214" s="119">
        <v>0</v>
      </c>
      <c r="H214" s="118" t="s">
        <v>2454</v>
      </c>
      <c r="I214" s="120">
        <v>103</v>
      </c>
      <c r="J214" s="119">
        <v>2.95</v>
      </c>
      <c r="K214" s="102" t="s">
        <v>1910</v>
      </c>
    </row>
    <row r="215" spans="1:13" x14ac:dyDescent="0.3">
      <c r="A215" s="107" t="s">
        <v>897</v>
      </c>
      <c r="B215" s="107" t="s">
        <v>2033</v>
      </c>
      <c r="C215" s="107" t="s">
        <v>8</v>
      </c>
      <c r="D215" s="106" t="s">
        <v>1000</v>
      </c>
      <c r="E215" s="104">
        <v>0</v>
      </c>
      <c r="F215" s="103" t="s">
        <v>1001</v>
      </c>
      <c r="G215" s="103" t="s">
        <v>1002</v>
      </c>
      <c r="H215" s="106" t="s">
        <v>1003</v>
      </c>
      <c r="I215" s="103"/>
      <c r="J215" s="104">
        <v>0.95</v>
      </c>
      <c r="K215" s="106" t="s">
        <v>1910</v>
      </c>
      <c r="L215" s="103"/>
      <c r="M215" s="105">
        <f>E215*J215</f>
        <v>0</v>
      </c>
    </row>
    <row r="216" spans="1:13" x14ac:dyDescent="0.3">
      <c r="A216" s="107" t="s">
        <v>897</v>
      </c>
      <c r="B216" s="107" t="s">
        <v>2033</v>
      </c>
      <c r="C216" s="107" t="s">
        <v>8</v>
      </c>
      <c r="D216" s="106" t="s">
        <v>996</v>
      </c>
      <c r="E216" s="104">
        <v>0</v>
      </c>
      <c r="F216" s="103" t="s">
        <v>997</v>
      </c>
      <c r="G216" s="103" t="s">
        <v>998</v>
      </c>
      <c r="H216" s="106" t="s">
        <v>999</v>
      </c>
      <c r="I216" s="103">
        <v>1</v>
      </c>
      <c r="J216" s="104">
        <v>0.95</v>
      </c>
      <c r="K216" s="106" t="s">
        <v>1910</v>
      </c>
      <c r="L216" s="103"/>
      <c r="M216" s="105">
        <f>E216*J216</f>
        <v>0</v>
      </c>
    </row>
    <row r="217" spans="1:13" x14ac:dyDescent="0.3">
      <c r="A217" s="107" t="s">
        <v>897</v>
      </c>
      <c r="B217" s="107" t="s">
        <v>2033</v>
      </c>
      <c r="C217" s="107" t="s">
        <v>8</v>
      </c>
      <c r="D217" s="106" t="s">
        <v>1004</v>
      </c>
      <c r="E217" s="104">
        <v>5</v>
      </c>
      <c r="F217" s="103" t="s">
        <v>1005</v>
      </c>
      <c r="G217" s="103" t="s">
        <v>1006</v>
      </c>
      <c r="H217" s="106" t="s">
        <v>1007</v>
      </c>
      <c r="I217" s="103">
        <v>1</v>
      </c>
      <c r="J217" s="104">
        <v>0.95</v>
      </c>
      <c r="K217" s="106" t="s">
        <v>1911</v>
      </c>
      <c r="L217" s="103"/>
      <c r="M217" s="105">
        <f>E217*J217</f>
        <v>4.75</v>
      </c>
    </row>
    <row r="218" spans="1:13" x14ac:dyDescent="0.3">
      <c r="A218" s="106" t="s">
        <v>897</v>
      </c>
      <c r="B218" s="106" t="s">
        <v>2033</v>
      </c>
      <c r="C218" s="106" t="s">
        <v>1898</v>
      </c>
      <c r="D218" s="106" t="s">
        <v>2239</v>
      </c>
      <c r="E218" s="104">
        <v>0</v>
      </c>
      <c r="F218" s="103"/>
      <c r="G218" s="103"/>
      <c r="H218" s="107" t="s">
        <v>2240</v>
      </c>
      <c r="J218" s="111">
        <v>1.5</v>
      </c>
      <c r="K218" s="107" t="s">
        <v>1910</v>
      </c>
    </row>
    <row r="219" spans="1:13" x14ac:dyDescent="0.3">
      <c r="A219" s="106" t="s">
        <v>897</v>
      </c>
      <c r="B219" s="106" t="s">
        <v>2033</v>
      </c>
      <c r="C219" s="106" t="s">
        <v>1898</v>
      </c>
      <c r="D219" s="106" t="s">
        <v>2241</v>
      </c>
      <c r="E219" s="104">
        <v>0</v>
      </c>
      <c r="F219" s="103"/>
      <c r="G219" s="103"/>
      <c r="H219" s="107" t="s">
        <v>2242</v>
      </c>
      <c r="J219" s="111">
        <v>1.75</v>
      </c>
      <c r="K219" s="107" t="s">
        <v>1910</v>
      </c>
    </row>
    <row r="220" spans="1:13" x14ac:dyDescent="0.3">
      <c r="A220" s="106" t="s">
        <v>897</v>
      </c>
      <c r="B220" s="106" t="s">
        <v>2033</v>
      </c>
      <c r="C220" s="106" t="s">
        <v>1898</v>
      </c>
      <c r="D220" s="106" t="s">
        <v>2243</v>
      </c>
      <c r="E220" s="104">
        <v>0</v>
      </c>
      <c r="F220" s="103"/>
      <c r="G220" s="103"/>
      <c r="H220" s="107" t="s">
        <v>2244</v>
      </c>
      <c r="J220" s="111">
        <v>0.95</v>
      </c>
      <c r="K220" s="107" t="s">
        <v>1910</v>
      </c>
    </row>
    <row r="221" spans="1:13" x14ac:dyDescent="0.3">
      <c r="A221" s="106" t="s">
        <v>897</v>
      </c>
      <c r="B221" s="106" t="s">
        <v>2033</v>
      </c>
      <c r="C221" s="106" t="s">
        <v>1898</v>
      </c>
      <c r="D221" s="106" t="s">
        <v>2245</v>
      </c>
      <c r="E221" s="104">
        <v>0</v>
      </c>
      <c r="F221" s="103"/>
      <c r="G221" s="103"/>
      <c r="H221" s="107" t="s">
        <v>2246</v>
      </c>
      <c r="J221" s="111">
        <v>0.95</v>
      </c>
      <c r="K221" s="107" t="s">
        <v>1910</v>
      </c>
    </row>
    <row r="222" spans="1:13" x14ac:dyDescent="0.3">
      <c r="A222" s="106" t="s">
        <v>897</v>
      </c>
      <c r="B222" s="106" t="s">
        <v>2033</v>
      </c>
      <c r="C222" s="106" t="s">
        <v>1898</v>
      </c>
      <c r="D222" s="106" t="s">
        <v>2247</v>
      </c>
      <c r="E222" s="104">
        <v>5</v>
      </c>
      <c r="F222" s="103"/>
      <c r="G222" s="103"/>
      <c r="H222" s="107" t="s">
        <v>2248</v>
      </c>
      <c r="J222" s="111">
        <v>1.5</v>
      </c>
      <c r="K222" s="107" t="s">
        <v>1911</v>
      </c>
    </row>
    <row r="223" spans="1:13" x14ac:dyDescent="0.3">
      <c r="A223" s="107" t="s">
        <v>897</v>
      </c>
      <c r="B223" s="107" t="s">
        <v>2033</v>
      </c>
      <c r="C223" s="107" t="s">
        <v>8</v>
      </c>
      <c r="D223" s="106" t="s">
        <v>1008</v>
      </c>
      <c r="E223" s="104">
        <v>0</v>
      </c>
      <c r="F223" s="103" t="s">
        <v>1009</v>
      </c>
      <c r="G223" s="103" t="s">
        <v>1010</v>
      </c>
      <c r="H223" s="106" t="s">
        <v>1011</v>
      </c>
      <c r="I223" s="103">
        <v>1</v>
      </c>
      <c r="J223" s="104">
        <v>2.95</v>
      </c>
      <c r="K223" s="106" t="s">
        <v>1910</v>
      </c>
      <c r="L223" s="103"/>
      <c r="M223" s="105">
        <f>E223*J223</f>
        <v>0</v>
      </c>
    </row>
    <row r="224" spans="1:13" x14ac:dyDescent="0.3">
      <c r="A224" s="107" t="s">
        <v>897</v>
      </c>
      <c r="B224" s="107" t="s">
        <v>2033</v>
      </c>
      <c r="C224" s="107" t="s">
        <v>8</v>
      </c>
      <c r="D224" s="106" t="s">
        <v>1705</v>
      </c>
      <c r="E224" s="104">
        <v>0</v>
      </c>
      <c r="F224" s="103" t="s">
        <v>1706</v>
      </c>
      <c r="G224" s="103" t="s">
        <v>1707</v>
      </c>
      <c r="H224" s="106" t="s">
        <v>1708</v>
      </c>
      <c r="I224" s="103">
        <v>1</v>
      </c>
      <c r="J224" s="104">
        <v>2.95</v>
      </c>
      <c r="K224" s="106" t="s">
        <v>1910</v>
      </c>
      <c r="L224" s="103"/>
      <c r="M224" s="105">
        <f>E224*J224</f>
        <v>0</v>
      </c>
    </row>
    <row r="225" spans="1:13" x14ac:dyDescent="0.3">
      <c r="A225" s="107" t="s">
        <v>897</v>
      </c>
      <c r="B225" s="107" t="s">
        <v>2033</v>
      </c>
      <c r="C225" s="107" t="s">
        <v>8</v>
      </c>
      <c r="D225" s="106" t="s">
        <v>1685</v>
      </c>
      <c r="E225" s="104">
        <v>0</v>
      </c>
      <c r="F225" s="103" t="s">
        <v>1686</v>
      </c>
      <c r="G225" s="103" t="s">
        <v>1687</v>
      </c>
      <c r="H225" s="106" t="s">
        <v>1688</v>
      </c>
      <c r="I225" s="103">
        <v>1</v>
      </c>
      <c r="J225" s="104">
        <v>3.95</v>
      </c>
      <c r="K225" s="106" t="s">
        <v>1910</v>
      </c>
      <c r="L225" s="103"/>
      <c r="M225" s="105">
        <f>E225*J225</f>
        <v>0</v>
      </c>
    </row>
    <row r="226" spans="1:13" x14ac:dyDescent="0.3">
      <c r="A226" s="107" t="s">
        <v>897</v>
      </c>
      <c r="B226" s="107" t="s">
        <v>2033</v>
      </c>
      <c r="C226" s="107" t="s">
        <v>8</v>
      </c>
      <c r="D226" s="106" t="s">
        <v>1733</v>
      </c>
      <c r="E226" s="104">
        <v>0</v>
      </c>
      <c r="F226" s="103" t="s">
        <v>1734</v>
      </c>
      <c r="G226" s="103" t="s">
        <v>1735</v>
      </c>
      <c r="H226" s="106" t="s">
        <v>1736</v>
      </c>
      <c r="I226" s="103">
        <v>1</v>
      </c>
      <c r="J226" s="104">
        <v>2.95</v>
      </c>
      <c r="K226" s="106" t="s">
        <v>1912</v>
      </c>
      <c r="L226" s="103"/>
      <c r="M226" s="105">
        <f>E226*J226</f>
        <v>0</v>
      </c>
    </row>
    <row r="227" spans="1:13" x14ac:dyDescent="0.3">
      <c r="A227" s="106" t="s">
        <v>897</v>
      </c>
      <c r="B227" s="106" t="s">
        <v>2033</v>
      </c>
      <c r="C227" s="106" t="s">
        <v>1898</v>
      </c>
      <c r="D227" s="106" t="s">
        <v>2249</v>
      </c>
      <c r="E227" s="104">
        <v>0</v>
      </c>
      <c r="F227" s="103"/>
      <c r="G227" s="103"/>
      <c r="H227" s="107" t="s">
        <v>2250</v>
      </c>
      <c r="J227" s="111">
        <v>4.5</v>
      </c>
      <c r="K227" s="107" t="s">
        <v>1912</v>
      </c>
    </row>
    <row r="228" spans="1:13" x14ac:dyDescent="0.3">
      <c r="A228" s="107" t="s">
        <v>897</v>
      </c>
      <c r="B228" s="107" t="s">
        <v>2033</v>
      </c>
      <c r="C228" s="107" t="s">
        <v>8</v>
      </c>
      <c r="D228" s="106" t="s">
        <v>1120</v>
      </c>
      <c r="E228" s="104">
        <v>5</v>
      </c>
      <c r="F228" s="103" t="s">
        <v>1121</v>
      </c>
      <c r="G228" s="103" t="s">
        <v>1122</v>
      </c>
      <c r="H228" s="106" t="s">
        <v>1123</v>
      </c>
      <c r="I228" s="103">
        <v>1</v>
      </c>
      <c r="J228" s="104">
        <v>1.95</v>
      </c>
      <c r="K228" s="106" t="s">
        <v>1911</v>
      </c>
      <c r="L228" s="103"/>
      <c r="M228" s="105">
        <f>E228*J228</f>
        <v>9.75</v>
      </c>
    </row>
    <row r="229" spans="1:13" x14ac:dyDescent="0.3">
      <c r="A229" s="107" t="s">
        <v>897</v>
      </c>
      <c r="B229" s="107" t="s">
        <v>2033</v>
      </c>
      <c r="C229" s="107" t="s">
        <v>8</v>
      </c>
      <c r="D229" s="106" t="s">
        <v>1116</v>
      </c>
      <c r="E229" s="104">
        <v>5</v>
      </c>
      <c r="F229" s="103" t="s">
        <v>1117</v>
      </c>
      <c r="G229" s="103" t="s">
        <v>1118</v>
      </c>
      <c r="H229" s="106" t="s">
        <v>1119</v>
      </c>
      <c r="I229" s="103">
        <v>1</v>
      </c>
      <c r="J229" s="104">
        <v>1.95</v>
      </c>
      <c r="K229" s="106" t="s">
        <v>1911</v>
      </c>
      <c r="L229" s="103"/>
      <c r="M229" s="105">
        <f>E229*J229</f>
        <v>9.75</v>
      </c>
    </row>
    <row r="230" spans="1:13" x14ac:dyDescent="0.3">
      <c r="A230" s="107" t="s">
        <v>897</v>
      </c>
      <c r="B230" s="107" t="s">
        <v>2033</v>
      </c>
      <c r="C230" s="107" t="s">
        <v>8</v>
      </c>
      <c r="D230" s="106" t="s">
        <v>1124</v>
      </c>
      <c r="E230" s="104">
        <v>5</v>
      </c>
      <c r="F230" s="103" t="s">
        <v>1125</v>
      </c>
      <c r="G230" s="103" t="s">
        <v>1126</v>
      </c>
      <c r="H230" s="106" t="s">
        <v>1127</v>
      </c>
      <c r="I230" s="103">
        <v>1</v>
      </c>
      <c r="J230" s="104">
        <v>1.95</v>
      </c>
      <c r="K230" s="106" t="s">
        <v>1911</v>
      </c>
      <c r="L230" s="103"/>
      <c r="M230" s="105">
        <f>E230*J230</f>
        <v>9.75</v>
      </c>
    </row>
    <row r="231" spans="1:13" x14ac:dyDescent="0.3">
      <c r="A231" s="106" t="s">
        <v>897</v>
      </c>
      <c r="B231" s="106" t="s">
        <v>2033</v>
      </c>
      <c r="C231" s="106" t="s">
        <v>1898</v>
      </c>
      <c r="D231" s="106" t="s">
        <v>2237</v>
      </c>
      <c r="E231" s="104">
        <v>0</v>
      </c>
      <c r="F231" s="103"/>
      <c r="G231" s="103"/>
      <c r="H231" s="107" t="s">
        <v>2238</v>
      </c>
      <c r="J231" s="111">
        <v>1.95</v>
      </c>
      <c r="K231" s="107" t="s">
        <v>1910</v>
      </c>
    </row>
    <row r="232" spans="1:13" x14ac:dyDescent="0.3">
      <c r="A232" s="107" t="s">
        <v>897</v>
      </c>
      <c r="B232" s="107" t="s">
        <v>1612</v>
      </c>
      <c r="C232" s="107" t="s">
        <v>8</v>
      </c>
      <c r="D232" s="106" t="s">
        <v>1663</v>
      </c>
      <c r="E232" s="104">
        <v>0</v>
      </c>
      <c r="F232" s="103" t="s">
        <v>1664</v>
      </c>
      <c r="G232" s="103" t="s">
        <v>1665</v>
      </c>
      <c r="H232" s="106" t="s">
        <v>1666</v>
      </c>
      <c r="I232" s="103">
        <v>1</v>
      </c>
      <c r="J232" s="104">
        <v>16.95</v>
      </c>
      <c r="K232" s="106" t="s">
        <v>1910</v>
      </c>
      <c r="L232" s="103"/>
      <c r="M232" s="105">
        <f>E232*J232</f>
        <v>0</v>
      </c>
    </row>
    <row r="233" spans="1:13" x14ac:dyDescent="0.3">
      <c r="A233" s="118" t="s">
        <v>897</v>
      </c>
      <c r="B233" s="118" t="s">
        <v>1612</v>
      </c>
      <c r="C233" s="118" t="s">
        <v>1898</v>
      </c>
      <c r="D233" s="118" t="s">
        <v>2467</v>
      </c>
      <c r="E233" s="119">
        <v>1</v>
      </c>
      <c r="H233" s="118" t="s">
        <v>2466</v>
      </c>
      <c r="I233" s="120">
        <v>109</v>
      </c>
      <c r="J233" s="119">
        <v>27.5</v>
      </c>
      <c r="K233" s="102" t="s">
        <v>1910</v>
      </c>
    </row>
    <row r="234" spans="1:13" x14ac:dyDescent="0.3">
      <c r="A234" s="107" t="s">
        <v>897</v>
      </c>
      <c r="B234" s="107" t="s">
        <v>1612</v>
      </c>
      <c r="C234" s="107" t="s">
        <v>8</v>
      </c>
      <c r="D234" s="106" t="s">
        <v>1401</v>
      </c>
      <c r="E234" s="104">
        <v>0</v>
      </c>
      <c r="F234" s="103" t="s">
        <v>1402</v>
      </c>
      <c r="G234" s="103" t="s">
        <v>1403</v>
      </c>
      <c r="H234" s="106" t="s">
        <v>1404</v>
      </c>
      <c r="I234" s="103">
        <v>1</v>
      </c>
      <c r="J234" s="104">
        <v>2.5</v>
      </c>
      <c r="K234" s="106" t="s">
        <v>1912</v>
      </c>
      <c r="L234" s="103"/>
      <c r="M234" s="105">
        <f t="shared" ref="M234:M240" si="7">E234*J234</f>
        <v>0</v>
      </c>
    </row>
    <row r="235" spans="1:13" x14ac:dyDescent="0.3">
      <c r="A235" s="107" t="s">
        <v>897</v>
      </c>
      <c r="B235" s="107" t="s">
        <v>1612</v>
      </c>
      <c r="C235" s="107" t="s">
        <v>8</v>
      </c>
      <c r="D235" s="106" t="s">
        <v>1393</v>
      </c>
      <c r="E235" s="104">
        <v>0</v>
      </c>
      <c r="F235" s="103" t="s">
        <v>1394</v>
      </c>
      <c r="G235" s="103" t="s">
        <v>1395</v>
      </c>
      <c r="H235" s="106" t="s">
        <v>1396</v>
      </c>
      <c r="I235" s="103">
        <v>1</v>
      </c>
      <c r="J235" s="104">
        <v>2.5</v>
      </c>
      <c r="K235" s="106" t="s">
        <v>1912</v>
      </c>
      <c r="L235" s="103"/>
      <c r="M235" s="105">
        <f t="shared" si="7"/>
        <v>0</v>
      </c>
    </row>
    <row r="236" spans="1:13" x14ac:dyDescent="0.3">
      <c r="A236" s="107" t="s">
        <v>897</v>
      </c>
      <c r="B236" s="107" t="s">
        <v>1612</v>
      </c>
      <c r="C236" s="107" t="s">
        <v>8</v>
      </c>
      <c r="D236" s="106" t="s">
        <v>1397</v>
      </c>
      <c r="E236" s="104">
        <v>0</v>
      </c>
      <c r="F236" s="103" t="s">
        <v>1398</v>
      </c>
      <c r="G236" s="103" t="s">
        <v>1399</v>
      </c>
      <c r="H236" s="106" t="s">
        <v>1400</v>
      </c>
      <c r="I236" s="103">
        <v>1</v>
      </c>
      <c r="J236" s="104">
        <v>2.5</v>
      </c>
      <c r="K236" s="106" t="s">
        <v>1912</v>
      </c>
      <c r="L236" s="103"/>
      <c r="M236" s="105">
        <f t="shared" si="7"/>
        <v>0</v>
      </c>
    </row>
    <row r="237" spans="1:13" x14ac:dyDescent="0.3">
      <c r="A237" s="107" t="s">
        <v>897</v>
      </c>
      <c r="B237" s="107" t="s">
        <v>1612</v>
      </c>
      <c r="C237" s="107" t="s">
        <v>8</v>
      </c>
      <c r="D237" s="106" t="s">
        <v>1655</v>
      </c>
      <c r="E237" s="104">
        <v>0</v>
      </c>
      <c r="F237" s="103" t="s">
        <v>1656</v>
      </c>
      <c r="G237" s="103" t="s">
        <v>1657</v>
      </c>
      <c r="H237" s="106" t="s">
        <v>1658</v>
      </c>
      <c r="I237" s="103"/>
      <c r="J237" s="104">
        <v>2.95</v>
      </c>
      <c r="K237" s="106" t="s">
        <v>1910</v>
      </c>
      <c r="L237" s="103"/>
      <c r="M237" s="105">
        <f t="shared" si="7"/>
        <v>0</v>
      </c>
    </row>
    <row r="238" spans="1:13" x14ac:dyDescent="0.3">
      <c r="A238" s="107" t="s">
        <v>897</v>
      </c>
      <c r="B238" s="107" t="s">
        <v>1612</v>
      </c>
      <c r="C238" s="107" t="s">
        <v>8</v>
      </c>
      <c r="D238" s="106" t="s">
        <v>1389</v>
      </c>
      <c r="E238" s="104">
        <v>0</v>
      </c>
      <c r="F238" s="103" t="s">
        <v>1390</v>
      </c>
      <c r="G238" s="103" t="s">
        <v>1391</v>
      </c>
      <c r="H238" s="106" t="s">
        <v>1392</v>
      </c>
      <c r="I238" s="103">
        <v>1</v>
      </c>
      <c r="J238" s="104">
        <v>2.5</v>
      </c>
      <c r="K238" s="106" t="s">
        <v>1910</v>
      </c>
      <c r="L238" s="103"/>
      <c r="M238" s="105">
        <f t="shared" si="7"/>
        <v>0</v>
      </c>
    </row>
    <row r="239" spans="1:13" x14ac:dyDescent="0.3">
      <c r="A239" s="107" t="s">
        <v>897</v>
      </c>
      <c r="B239" s="107" t="s">
        <v>1612</v>
      </c>
      <c r="C239" s="107" t="s">
        <v>8</v>
      </c>
      <c r="D239" s="106" t="s">
        <v>1659</v>
      </c>
      <c r="E239" s="104">
        <v>0</v>
      </c>
      <c r="F239" s="103" t="s">
        <v>1660</v>
      </c>
      <c r="G239" s="103" t="s">
        <v>1661</v>
      </c>
      <c r="H239" s="106" t="s">
        <v>1662</v>
      </c>
      <c r="I239" s="103"/>
      <c r="J239" s="104">
        <v>2.95</v>
      </c>
      <c r="K239" s="106" t="s">
        <v>1910</v>
      </c>
      <c r="L239" s="103"/>
      <c r="M239" s="105">
        <f t="shared" si="7"/>
        <v>0</v>
      </c>
    </row>
    <row r="240" spans="1:13" x14ac:dyDescent="0.3">
      <c r="A240" s="107" t="s">
        <v>897</v>
      </c>
      <c r="B240" s="107" t="s">
        <v>1612</v>
      </c>
      <c r="C240" s="107" t="s">
        <v>8</v>
      </c>
      <c r="D240" s="106" t="s">
        <v>417</v>
      </c>
      <c r="E240" s="104">
        <v>2</v>
      </c>
      <c r="F240" s="103" t="s">
        <v>418</v>
      </c>
      <c r="G240" s="103" t="s">
        <v>419</v>
      </c>
      <c r="H240" s="106" t="s">
        <v>420</v>
      </c>
      <c r="I240" s="103">
        <v>1</v>
      </c>
      <c r="J240" s="104">
        <v>6.95</v>
      </c>
      <c r="K240" s="106" t="s">
        <v>1910</v>
      </c>
      <c r="L240" s="103"/>
      <c r="M240" s="105">
        <f t="shared" si="7"/>
        <v>13.9</v>
      </c>
    </row>
    <row r="241" spans="1:13" x14ac:dyDescent="0.3">
      <c r="A241" s="118" t="s">
        <v>897</v>
      </c>
      <c r="B241" s="118" t="s">
        <v>1612</v>
      </c>
      <c r="C241" s="118" t="s">
        <v>1898</v>
      </c>
      <c r="D241" s="118" t="s">
        <v>2469</v>
      </c>
      <c r="E241" s="119">
        <v>0</v>
      </c>
      <c r="H241" s="118" t="s">
        <v>2468</v>
      </c>
      <c r="I241" s="120">
        <v>110</v>
      </c>
      <c r="J241" s="119">
        <v>7.95</v>
      </c>
      <c r="K241" s="102" t="s">
        <v>1910</v>
      </c>
    </row>
    <row r="242" spans="1:13" x14ac:dyDescent="0.3">
      <c r="A242" s="107">
        <f>COUNTA(A2:A241)</f>
        <v>240</v>
      </c>
      <c r="D242" s="106"/>
      <c r="E242" s="104">
        <f>SUM(E2:E241)</f>
        <v>451</v>
      </c>
      <c r="F242" s="103"/>
      <c r="G242" s="103"/>
      <c r="H242" s="106"/>
      <c r="I242" s="103"/>
      <c r="J242" s="104">
        <f>AVERAGE(J2:J241)</f>
        <v>2.3135416666666635</v>
      </c>
      <c r="K242" s="106"/>
      <c r="L242" s="103"/>
      <c r="M242" s="105">
        <f>SUM(M2:M241)</f>
        <v>442.39999999999992</v>
      </c>
    </row>
    <row r="244" spans="1:13" x14ac:dyDescent="0.3">
      <c r="D244" s="106"/>
      <c r="E244" s="104"/>
      <c r="F244" s="103"/>
      <c r="G244" s="103"/>
      <c r="H244" s="106"/>
      <c r="I244" s="103"/>
      <c r="J244" s="104"/>
      <c r="K244" s="106"/>
      <c r="L244" s="103"/>
    </row>
    <row r="245" spans="1:13" x14ac:dyDescent="0.3">
      <c r="D245" s="106"/>
      <c r="E245" s="104"/>
      <c r="F245" s="103"/>
      <c r="G245" s="103"/>
      <c r="H245" s="106"/>
      <c r="I245" s="103"/>
      <c r="J245" s="104"/>
      <c r="K245" s="106"/>
      <c r="L245" s="103"/>
    </row>
    <row r="247" spans="1:13" x14ac:dyDescent="0.3">
      <c r="E247" s="104"/>
    </row>
    <row r="248" spans="1:13" x14ac:dyDescent="0.3">
      <c r="E248" s="104"/>
    </row>
    <row r="249" spans="1:13" x14ac:dyDescent="0.3">
      <c r="E249" s="104"/>
    </row>
    <row r="250" spans="1:13" x14ac:dyDescent="0.3">
      <c r="E250" s="104"/>
    </row>
    <row r="251" spans="1:13" x14ac:dyDescent="0.3">
      <c r="E251" s="104"/>
    </row>
    <row r="252" spans="1:13" x14ac:dyDescent="0.3">
      <c r="E252" s="104"/>
    </row>
    <row r="253" spans="1:13" x14ac:dyDescent="0.3">
      <c r="E253" s="104"/>
    </row>
    <row r="254" spans="1:13" x14ac:dyDescent="0.3">
      <c r="E254" s="104"/>
    </row>
    <row r="255" spans="1:13" x14ac:dyDescent="0.3">
      <c r="E255" s="104"/>
    </row>
    <row r="256" spans="1:13" x14ac:dyDescent="0.3">
      <c r="E256" s="104"/>
    </row>
    <row r="257" spans="5:5" x14ac:dyDescent="0.3">
      <c r="E257" s="104"/>
    </row>
  </sheetData>
  <sortState ref="B3:J241">
    <sortCondition ref="B1"/>
  </sortState>
  <conditionalFormatting sqref="A1:M1048576">
    <cfRule type="expression" dxfId="187" priority="55">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5EE0F9DD-13B1-4F64-80BE-1D493EA2F7EA}">
            <xm:f>$K1=FilterSpecs!$F$13</xm:f>
            <x14:dxf>
              <font>
                <b/>
                <i val="0"/>
                <color theme="0"/>
              </font>
              <fill>
                <patternFill>
                  <bgColor theme="9" tint="-0.499984740745262"/>
                </patternFill>
              </fill>
            </x14:dxf>
          </x14:cfRule>
          <x14:cfRule type="expression" priority="2" id="{FD4B95A6-09CA-4116-BBC6-86DE47B3A1D0}">
            <xm:f>$K1=FilterSpecs!$F$12</xm:f>
            <x14:dxf>
              <font>
                <b/>
                <i val="0"/>
                <color theme="0"/>
              </font>
              <fill>
                <patternFill>
                  <bgColor rgb="FFFF4F4F"/>
                </patternFill>
              </fill>
            </x14:dxf>
          </x14:cfRule>
          <x14:cfRule type="expression" priority="54" id="{BED5A1B6-6AD1-4E05-8773-172695EB1C13}">
            <xm:f>$K1=FilterSpecs!$F$9</xm:f>
            <x14:dxf>
              <font>
                <b/>
                <i val="0"/>
                <color theme="0"/>
              </font>
              <fill>
                <patternFill>
                  <bgColor rgb="FFFF0000"/>
                </patternFill>
              </fill>
            </x14:dxf>
          </x14:cfRule>
          <x14:cfRule type="expression" priority="56" id="{4D7AA265-FD90-4EE6-8997-EEA7BC9E6A3B}">
            <xm:f>$K1=FilterSpecs!$F$10</xm:f>
            <x14:dxf>
              <font>
                <b/>
                <i val="0"/>
                <color theme="0"/>
              </font>
              <fill>
                <patternFill>
                  <bgColor rgb="FF002060"/>
                </patternFill>
              </fill>
            </x14:dxf>
          </x14:cfRule>
          <x14:cfRule type="expression" priority="57" id="{4A3F3C0C-A601-4AB7-9198-80980F0BD793}">
            <xm:f>$K1=FilterSpecs!$F$7</xm:f>
            <x14:dxf>
              <font>
                <b/>
                <i val="0"/>
                <color theme="0"/>
              </font>
              <fill>
                <patternFill>
                  <bgColor rgb="FF00B0F0"/>
                </patternFill>
              </fill>
            </x14:dxf>
          </x14:cfRule>
          <x14:cfRule type="expression" priority="58" id="{221C562E-A60D-4613-97B9-22EFFCDE0B58}">
            <xm:f>$K1=FilterSpecs!$F$8</xm:f>
            <x14:dxf>
              <font>
                <b/>
                <i val="0"/>
                <color theme="0"/>
              </font>
              <fill>
                <patternFill>
                  <bgColor rgb="FFFFC000"/>
                </patternFill>
              </fill>
            </x14:dxf>
          </x14:cfRule>
          <xm:sqref>A1:M1048576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868D2-F7E3-490E-9A76-355C04C96326}">
  <sheetPr codeName="Sheet13"/>
  <dimension ref="A1:XFD543"/>
  <sheetViews>
    <sheetView workbookViewId="0">
      <selection activeCell="H11" sqref="H11"/>
    </sheetView>
  </sheetViews>
  <sheetFormatPr defaultRowHeight="14.4" x14ac:dyDescent="0.3"/>
  <cols>
    <col min="1" max="1" width="44.109375" style="107" customWidth="1"/>
    <col min="2" max="2" width="34.88671875" style="107" customWidth="1"/>
    <col min="3" max="3" width="10.21875" style="107" bestFit="1" customWidth="1"/>
    <col min="4" max="4" width="11.5546875" style="134" customWidth="1"/>
    <col min="5" max="5" width="9.21875" style="102" customWidth="1"/>
    <col min="6" max="6" width="2.33203125" style="105" hidden="1" customWidth="1"/>
    <col min="7" max="7" width="0.77734375" style="105" hidden="1" customWidth="1"/>
    <col min="8" max="8" width="59.5546875" style="102" customWidth="1"/>
    <col min="9" max="9" width="8.88671875" style="105" hidden="1" customWidth="1"/>
    <col min="10" max="10" width="12.88671875" style="111" bestFit="1" customWidth="1"/>
    <col min="11" max="11" width="4" style="107" bestFit="1" customWidth="1"/>
    <col min="12" max="12" width="68.44140625" style="105" customWidth="1"/>
    <col min="13" max="13" width="12.88671875" style="105" bestFit="1" customWidth="1"/>
    <col min="14" max="16384" width="8.88671875" style="105"/>
  </cols>
  <sheetData>
    <row r="1" spans="1:16384" s="77" customFormat="1" ht="15.6" thickTop="1" thickBot="1" x14ac:dyDescent="0.35">
      <c r="A1" s="84" t="s">
        <v>893</v>
      </c>
      <c r="B1" s="84" t="s">
        <v>163</v>
      </c>
      <c r="C1" s="84" t="s">
        <v>7</v>
      </c>
      <c r="D1" s="110" t="s">
        <v>25</v>
      </c>
      <c r="E1" s="88" t="s">
        <v>26</v>
      </c>
      <c r="F1" s="77" t="s">
        <v>27</v>
      </c>
      <c r="G1" s="77" t="s">
        <v>28</v>
      </c>
      <c r="H1" s="88" t="s">
        <v>29</v>
      </c>
      <c r="I1" s="77" t="s">
        <v>30</v>
      </c>
      <c r="J1" s="87" t="s">
        <v>31</v>
      </c>
      <c r="K1" s="84"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7" t="s">
        <v>17</v>
      </c>
      <c r="B2" s="107" t="s">
        <v>1614</v>
      </c>
      <c r="C2" s="107" t="s">
        <v>8</v>
      </c>
      <c r="D2" s="133" t="s">
        <v>1197</v>
      </c>
      <c r="E2" s="103">
        <v>1</v>
      </c>
      <c r="F2" s="103" t="s">
        <v>1198</v>
      </c>
      <c r="G2" s="103" t="s">
        <v>1199</v>
      </c>
      <c r="H2" s="103" t="s">
        <v>1200</v>
      </c>
      <c r="I2" s="103">
        <v>1</v>
      </c>
      <c r="J2" s="104">
        <v>34.950000000000003</v>
      </c>
      <c r="K2" s="106" t="s">
        <v>1914</v>
      </c>
      <c r="M2" s="105">
        <f>E2*J2</f>
        <v>34.950000000000003</v>
      </c>
    </row>
    <row r="3" spans="1:16384" x14ac:dyDescent="0.3">
      <c r="A3" s="118" t="s">
        <v>17</v>
      </c>
      <c r="B3" s="118" t="s">
        <v>1614</v>
      </c>
      <c r="C3" s="118" t="s">
        <v>1898</v>
      </c>
      <c r="D3" s="118" t="s">
        <v>2465</v>
      </c>
      <c r="E3" s="118">
        <v>0</v>
      </c>
      <c r="H3" s="118" t="s">
        <v>2464</v>
      </c>
      <c r="I3" s="120">
        <v>108</v>
      </c>
      <c r="J3" s="119">
        <v>100</v>
      </c>
      <c r="K3" s="102" t="s">
        <v>1914</v>
      </c>
    </row>
    <row r="4" spans="1:16384" x14ac:dyDescent="0.3">
      <c r="A4" s="107" t="s">
        <v>17</v>
      </c>
      <c r="B4" s="107" t="s">
        <v>1614</v>
      </c>
      <c r="C4" s="107" t="s">
        <v>8</v>
      </c>
      <c r="D4" s="133" t="s">
        <v>1642</v>
      </c>
      <c r="E4" s="103">
        <f>0</f>
        <v>0</v>
      </c>
      <c r="F4" s="103" t="s">
        <v>1643</v>
      </c>
      <c r="G4" s="103" t="s">
        <v>1644</v>
      </c>
      <c r="H4" s="103" t="s">
        <v>1645</v>
      </c>
      <c r="I4" s="103"/>
      <c r="J4" s="104">
        <v>59.95</v>
      </c>
      <c r="K4" s="106" t="s">
        <v>1914</v>
      </c>
      <c r="M4" s="105">
        <f>E4*J4</f>
        <v>0</v>
      </c>
    </row>
    <row r="5" spans="1:16384" x14ac:dyDescent="0.3">
      <c r="A5" s="107" t="s">
        <v>17</v>
      </c>
      <c r="B5" s="107" t="s">
        <v>1614</v>
      </c>
      <c r="C5" s="107" t="s">
        <v>8</v>
      </c>
      <c r="D5" s="133" t="s">
        <v>1650</v>
      </c>
      <c r="E5" s="103">
        <v>1</v>
      </c>
      <c r="F5" s="103" t="s">
        <v>1651</v>
      </c>
      <c r="G5" s="103" t="s">
        <v>1652</v>
      </c>
      <c r="H5" s="103" t="s">
        <v>1653</v>
      </c>
      <c r="I5" s="103"/>
      <c r="J5" s="104">
        <v>4.95</v>
      </c>
      <c r="K5" s="106" t="s">
        <v>1914</v>
      </c>
      <c r="M5" s="105">
        <f>E5*J5</f>
        <v>4.95</v>
      </c>
    </row>
    <row r="6" spans="1:16384" x14ac:dyDescent="0.3">
      <c r="A6" s="107" t="s">
        <v>17</v>
      </c>
      <c r="B6" s="107" t="s">
        <v>1614</v>
      </c>
      <c r="C6" s="107" t="s">
        <v>8</v>
      </c>
      <c r="D6" s="133" t="s">
        <v>1622</v>
      </c>
      <c r="E6" s="103">
        <v>1</v>
      </c>
      <c r="F6" s="103" t="s">
        <v>1623</v>
      </c>
      <c r="G6" s="103" t="s">
        <v>1624</v>
      </c>
      <c r="H6" s="103" t="s">
        <v>1625</v>
      </c>
      <c r="I6" s="103">
        <v>1</v>
      </c>
      <c r="J6" s="104">
        <v>2.95</v>
      </c>
      <c r="K6" s="106" t="s">
        <v>1914</v>
      </c>
      <c r="M6" s="105">
        <f>E6*J6</f>
        <v>2.95</v>
      </c>
    </row>
    <row r="7" spans="1:16384" x14ac:dyDescent="0.3">
      <c r="A7" s="107" t="s">
        <v>17</v>
      </c>
      <c r="B7" s="107" t="s">
        <v>1614</v>
      </c>
      <c r="C7" s="107" t="s">
        <v>8</v>
      </c>
      <c r="D7" s="133" t="s">
        <v>1441</v>
      </c>
      <c r="E7" s="103">
        <v>1</v>
      </c>
      <c r="F7" s="103" t="s">
        <v>1442</v>
      </c>
      <c r="G7" s="103" t="s">
        <v>1443</v>
      </c>
      <c r="H7" s="103" t="s">
        <v>1444</v>
      </c>
      <c r="I7" s="103">
        <v>1</v>
      </c>
      <c r="J7" s="104">
        <v>16.95</v>
      </c>
      <c r="K7" s="106" t="s">
        <v>1914</v>
      </c>
      <c r="M7" s="105">
        <f>E7*J7</f>
        <v>16.95</v>
      </c>
    </row>
    <row r="8" spans="1:16384" x14ac:dyDescent="0.3">
      <c r="A8" s="107" t="s">
        <v>17</v>
      </c>
      <c r="B8" s="107" t="s">
        <v>1614</v>
      </c>
      <c r="C8" s="107" t="s">
        <v>8</v>
      </c>
      <c r="D8" s="133" t="s">
        <v>857</v>
      </c>
      <c r="E8" s="103">
        <v>1</v>
      </c>
      <c r="F8" s="103" t="s">
        <v>858</v>
      </c>
      <c r="G8" s="103" t="s">
        <v>859</v>
      </c>
      <c r="H8" s="103" t="s">
        <v>860</v>
      </c>
      <c r="I8" s="103"/>
      <c r="J8" s="104">
        <v>114.95</v>
      </c>
      <c r="K8" s="106" t="s">
        <v>1914</v>
      </c>
      <c r="L8" s="103"/>
      <c r="M8" s="105">
        <f>E8*J8</f>
        <v>114.95</v>
      </c>
    </row>
    <row r="9" spans="1:16384" x14ac:dyDescent="0.3">
      <c r="A9" s="106" t="s">
        <v>17</v>
      </c>
      <c r="B9" s="106" t="s">
        <v>1614</v>
      </c>
      <c r="C9" s="106" t="s">
        <v>1898</v>
      </c>
      <c r="D9" s="133" t="s">
        <v>2392</v>
      </c>
      <c r="E9" s="103">
        <v>0</v>
      </c>
      <c r="F9" s="103"/>
      <c r="G9" s="103"/>
      <c r="H9" s="102" t="s">
        <v>2393</v>
      </c>
      <c r="J9" s="111">
        <v>97.5</v>
      </c>
      <c r="K9" s="107" t="s">
        <v>1913</v>
      </c>
    </row>
    <row r="10" spans="1:16384" x14ac:dyDescent="0.3">
      <c r="A10" s="107" t="s">
        <v>17</v>
      </c>
      <c r="B10" s="107" t="s">
        <v>1614</v>
      </c>
      <c r="C10" s="107" t="s">
        <v>8</v>
      </c>
      <c r="D10" s="133" t="s">
        <v>1638</v>
      </c>
      <c r="E10" s="103">
        <v>1</v>
      </c>
      <c r="F10" s="103" t="s">
        <v>1639</v>
      </c>
      <c r="G10" s="103" t="s">
        <v>1640</v>
      </c>
      <c r="H10" s="103" t="s">
        <v>1641</v>
      </c>
      <c r="I10" s="103"/>
      <c r="J10" s="104">
        <v>14.95</v>
      </c>
      <c r="K10" s="106" t="s">
        <v>1914</v>
      </c>
      <c r="M10" s="105">
        <f>E10*J10</f>
        <v>14.95</v>
      </c>
    </row>
    <row r="11" spans="1:16384" x14ac:dyDescent="0.3">
      <c r="A11" s="107" t="s">
        <v>17</v>
      </c>
      <c r="B11" s="107" t="s">
        <v>1614</v>
      </c>
      <c r="C11" s="107" t="s">
        <v>8</v>
      </c>
      <c r="D11" s="133" t="s">
        <v>849</v>
      </c>
      <c r="E11" s="103">
        <v>0</v>
      </c>
      <c r="F11" s="103" t="s">
        <v>850</v>
      </c>
      <c r="G11" s="103" t="s">
        <v>851</v>
      </c>
      <c r="H11" s="103" t="s">
        <v>852</v>
      </c>
      <c r="I11" s="103">
        <v>1</v>
      </c>
      <c r="J11" s="104">
        <v>13.95</v>
      </c>
      <c r="K11" s="106" t="s">
        <v>1914</v>
      </c>
      <c r="L11" s="105" t="s">
        <v>1308</v>
      </c>
      <c r="M11" s="105">
        <f>E11*J11</f>
        <v>0</v>
      </c>
    </row>
    <row r="12" spans="1:16384" x14ac:dyDescent="0.3">
      <c r="A12" s="106" t="s">
        <v>17</v>
      </c>
      <c r="B12" s="106" t="s">
        <v>1614</v>
      </c>
      <c r="C12" s="106" t="s">
        <v>1898</v>
      </c>
      <c r="D12" s="133" t="s">
        <v>2396</v>
      </c>
      <c r="E12" s="103">
        <v>0</v>
      </c>
      <c r="F12" s="103"/>
      <c r="G12" s="103"/>
      <c r="H12" s="102" t="s">
        <v>2397</v>
      </c>
      <c r="J12" s="111">
        <v>9.9499999999999993</v>
      </c>
      <c r="K12" s="107" t="s">
        <v>1910</v>
      </c>
    </row>
    <row r="13" spans="1:16384" x14ac:dyDescent="0.3">
      <c r="A13" s="107" t="s">
        <v>17</v>
      </c>
      <c r="B13" s="107" t="s">
        <v>1615</v>
      </c>
      <c r="C13" s="107" t="s">
        <v>8</v>
      </c>
      <c r="D13" s="133" t="s">
        <v>881</v>
      </c>
      <c r="E13" s="103">
        <v>0</v>
      </c>
      <c r="F13" s="103" t="s">
        <v>882</v>
      </c>
      <c r="G13" s="103" t="s">
        <v>883</v>
      </c>
      <c r="H13" s="103" t="s">
        <v>884</v>
      </c>
      <c r="I13" s="103"/>
      <c r="J13" s="104">
        <v>32.950000000000003</v>
      </c>
      <c r="K13" s="106" t="s">
        <v>1914</v>
      </c>
      <c r="M13" s="105">
        <f>E13*J13</f>
        <v>0</v>
      </c>
    </row>
    <row r="14" spans="1:16384" x14ac:dyDescent="0.3">
      <c r="A14" s="107" t="s">
        <v>17</v>
      </c>
      <c r="B14" s="107" t="s">
        <v>1615</v>
      </c>
      <c r="C14" s="107" t="s">
        <v>8</v>
      </c>
      <c r="D14" s="133" t="s">
        <v>1144</v>
      </c>
      <c r="E14" s="103">
        <v>0</v>
      </c>
      <c r="F14" s="103" t="s">
        <v>1145</v>
      </c>
      <c r="G14" s="103" t="s">
        <v>1146</v>
      </c>
      <c r="H14" s="103" t="s">
        <v>1147</v>
      </c>
      <c r="I14" s="103">
        <v>1</v>
      </c>
      <c r="J14" s="104">
        <v>29.95</v>
      </c>
      <c r="K14" s="106" t="s">
        <v>1914</v>
      </c>
      <c r="M14" s="105">
        <f>E14*J14</f>
        <v>0</v>
      </c>
    </row>
    <row r="15" spans="1:16384" x14ac:dyDescent="0.3">
      <c r="A15" s="107" t="s">
        <v>17</v>
      </c>
      <c r="B15" s="107" t="s">
        <v>1615</v>
      </c>
      <c r="C15" s="107" t="s">
        <v>8</v>
      </c>
      <c r="D15" s="133" t="s">
        <v>853</v>
      </c>
      <c r="E15" s="103">
        <v>0</v>
      </c>
      <c r="F15" s="103" t="s">
        <v>854</v>
      </c>
      <c r="G15" s="103" t="s">
        <v>855</v>
      </c>
      <c r="H15" s="103" t="s">
        <v>856</v>
      </c>
      <c r="I15" s="103">
        <v>1</v>
      </c>
      <c r="J15" s="104">
        <v>9.9499999999999993</v>
      </c>
      <c r="K15" s="106" t="s">
        <v>1914</v>
      </c>
      <c r="M15" s="105">
        <f>E15*J15</f>
        <v>0</v>
      </c>
    </row>
    <row r="16" spans="1:16384" x14ac:dyDescent="0.3">
      <c r="A16" s="106" t="s">
        <v>17</v>
      </c>
      <c r="B16" s="106" t="s">
        <v>1615</v>
      </c>
      <c r="C16" s="106" t="s">
        <v>1898</v>
      </c>
      <c r="D16" s="133" t="s">
        <v>2394</v>
      </c>
      <c r="E16" s="103">
        <v>1</v>
      </c>
      <c r="F16" s="103"/>
      <c r="G16" s="103"/>
      <c r="H16" s="102" t="s">
        <v>2395</v>
      </c>
      <c r="J16" s="111">
        <v>54.95</v>
      </c>
      <c r="K16" s="107" t="s">
        <v>1914</v>
      </c>
    </row>
    <row r="17" spans="1:13" x14ac:dyDescent="0.3">
      <c r="A17" s="107" t="s">
        <v>17</v>
      </c>
      <c r="B17" s="107" t="s">
        <v>1615</v>
      </c>
      <c r="C17" s="107" t="s">
        <v>8</v>
      </c>
      <c r="D17" s="133" t="s">
        <v>873</v>
      </c>
      <c r="E17" s="103">
        <v>1</v>
      </c>
      <c r="F17" s="103" t="s">
        <v>874</v>
      </c>
      <c r="G17" s="103" t="s">
        <v>875</v>
      </c>
      <c r="H17" s="103" t="s">
        <v>876</v>
      </c>
      <c r="I17" s="103">
        <v>1</v>
      </c>
      <c r="J17" s="104">
        <v>9.9499999999999993</v>
      </c>
      <c r="K17" s="106" t="s">
        <v>1914</v>
      </c>
      <c r="M17" s="105">
        <f>E17*J17</f>
        <v>9.9499999999999993</v>
      </c>
    </row>
    <row r="18" spans="1:13" x14ac:dyDescent="0.3">
      <c r="A18" s="107" t="s">
        <v>17</v>
      </c>
      <c r="B18" s="107" t="s">
        <v>1615</v>
      </c>
      <c r="C18" s="107" t="s">
        <v>8</v>
      </c>
      <c r="D18" s="133" t="s">
        <v>128</v>
      </c>
      <c r="E18" s="103">
        <v>1</v>
      </c>
      <c r="F18" s="103" t="s">
        <v>129</v>
      </c>
      <c r="G18" s="103" t="s">
        <v>130</v>
      </c>
      <c r="H18" s="103" t="s">
        <v>131</v>
      </c>
      <c r="I18" s="103"/>
      <c r="J18" s="104">
        <v>14.95</v>
      </c>
      <c r="K18" s="106" t="s">
        <v>2487</v>
      </c>
      <c r="M18" s="105" t="e">
        <v>#REF!</v>
      </c>
    </row>
    <row r="19" spans="1:13" x14ac:dyDescent="0.3">
      <c r="A19" s="107" t="s">
        <v>17</v>
      </c>
      <c r="B19" s="107" t="s">
        <v>1615</v>
      </c>
      <c r="C19" s="107" t="s">
        <v>8</v>
      </c>
      <c r="D19" s="133" t="s">
        <v>132</v>
      </c>
      <c r="E19" s="103">
        <v>1</v>
      </c>
      <c r="F19" s="103" t="s">
        <v>133</v>
      </c>
      <c r="G19" s="103" t="s">
        <v>134</v>
      </c>
      <c r="H19" s="103" t="s">
        <v>135</v>
      </c>
      <c r="I19" s="103">
        <v>1</v>
      </c>
      <c r="J19" s="104">
        <v>0.1</v>
      </c>
      <c r="K19" s="106" t="s">
        <v>1910</v>
      </c>
      <c r="M19" s="105" t="e">
        <v>#REF!</v>
      </c>
    </row>
    <row r="20" spans="1:13" x14ac:dyDescent="0.3">
      <c r="A20" s="107" t="s">
        <v>17</v>
      </c>
      <c r="B20" s="107" t="s">
        <v>1613</v>
      </c>
      <c r="C20" s="107" t="s">
        <v>8</v>
      </c>
      <c r="D20" s="133" t="s">
        <v>1626</v>
      </c>
      <c r="E20" s="103">
        <v>1</v>
      </c>
      <c r="F20" s="103" t="s">
        <v>1627</v>
      </c>
      <c r="G20" s="103" t="s">
        <v>1628</v>
      </c>
      <c r="H20" s="103" t="s">
        <v>1629</v>
      </c>
      <c r="I20" s="103"/>
      <c r="J20" s="104">
        <v>4.95</v>
      </c>
      <c r="K20" s="106" t="s">
        <v>1914</v>
      </c>
      <c r="M20" s="105">
        <f t="shared" ref="M20:M25" si="0">E20*J20</f>
        <v>4.95</v>
      </c>
    </row>
    <row r="21" spans="1:13" x14ac:dyDescent="0.3">
      <c r="A21" s="107" t="s">
        <v>17</v>
      </c>
      <c r="B21" s="107" t="s">
        <v>1613</v>
      </c>
      <c r="C21" s="107" t="s">
        <v>8</v>
      </c>
      <c r="D21" s="133" t="s">
        <v>837</v>
      </c>
      <c r="E21" s="103">
        <v>1</v>
      </c>
      <c r="F21" s="103" t="s">
        <v>838</v>
      </c>
      <c r="G21" s="103" t="s">
        <v>839</v>
      </c>
      <c r="H21" s="103" t="s">
        <v>840</v>
      </c>
      <c r="I21" s="103"/>
      <c r="J21" s="104">
        <v>4.95</v>
      </c>
      <c r="K21" s="106" t="s">
        <v>1914</v>
      </c>
      <c r="M21" s="105">
        <f t="shared" si="0"/>
        <v>4.95</v>
      </c>
    </row>
    <row r="22" spans="1:13" x14ac:dyDescent="0.3">
      <c r="A22" s="107" t="s">
        <v>17</v>
      </c>
      <c r="B22" s="107" t="s">
        <v>1613</v>
      </c>
      <c r="C22" s="107" t="s">
        <v>8</v>
      </c>
      <c r="D22" s="133" t="s">
        <v>869</v>
      </c>
      <c r="E22" s="103">
        <v>1</v>
      </c>
      <c r="F22" s="103" t="s">
        <v>870</v>
      </c>
      <c r="G22" s="103" t="s">
        <v>871</v>
      </c>
      <c r="H22" s="103" t="s">
        <v>872</v>
      </c>
      <c r="I22" s="103">
        <v>1</v>
      </c>
      <c r="J22" s="104">
        <v>3.95</v>
      </c>
      <c r="K22" s="106" t="s">
        <v>1914</v>
      </c>
      <c r="M22" s="105">
        <f t="shared" si="0"/>
        <v>3.95</v>
      </c>
    </row>
    <row r="23" spans="1:13" x14ac:dyDescent="0.3">
      <c r="A23" s="107" t="s">
        <v>17</v>
      </c>
      <c r="B23" s="107" t="s">
        <v>1613</v>
      </c>
      <c r="C23" s="107" t="s">
        <v>8</v>
      </c>
      <c r="D23" s="133" t="s">
        <v>861</v>
      </c>
      <c r="E23" s="103">
        <v>1</v>
      </c>
      <c r="F23" s="103" t="s">
        <v>862</v>
      </c>
      <c r="G23" s="103" t="s">
        <v>863</v>
      </c>
      <c r="H23" s="103" t="s">
        <v>864</v>
      </c>
      <c r="I23" s="103">
        <v>1</v>
      </c>
      <c r="J23" s="104">
        <v>3.95</v>
      </c>
      <c r="K23" s="106" t="s">
        <v>1914</v>
      </c>
      <c r="M23" s="105">
        <f t="shared" si="0"/>
        <v>3.95</v>
      </c>
    </row>
    <row r="24" spans="1:13" x14ac:dyDescent="0.3">
      <c r="A24" s="107" t="s">
        <v>17</v>
      </c>
      <c r="B24" s="107" t="s">
        <v>1613</v>
      </c>
      <c r="C24" s="107" t="s">
        <v>8</v>
      </c>
      <c r="D24" s="133" t="s">
        <v>845</v>
      </c>
      <c r="E24" s="103">
        <v>1</v>
      </c>
      <c r="F24" s="103" t="s">
        <v>846</v>
      </c>
      <c r="G24" s="103" t="s">
        <v>847</v>
      </c>
      <c r="H24" s="103" t="s">
        <v>848</v>
      </c>
      <c r="I24" s="103">
        <v>1</v>
      </c>
      <c r="J24" s="104">
        <v>3.95</v>
      </c>
      <c r="K24" s="106" t="s">
        <v>1914</v>
      </c>
      <c r="M24" s="105">
        <f t="shared" si="0"/>
        <v>3.95</v>
      </c>
    </row>
    <row r="25" spans="1:13" x14ac:dyDescent="0.3">
      <c r="A25" s="107" t="s">
        <v>17</v>
      </c>
      <c r="B25" s="107" t="s">
        <v>1613</v>
      </c>
      <c r="C25" s="107" t="s">
        <v>8</v>
      </c>
      <c r="D25" s="133" t="s">
        <v>1646</v>
      </c>
      <c r="E25" s="103">
        <v>1</v>
      </c>
      <c r="F25" s="103" t="s">
        <v>1647</v>
      </c>
      <c r="G25" s="103" t="s">
        <v>1648</v>
      </c>
      <c r="H25" s="103" t="s">
        <v>1649</v>
      </c>
      <c r="I25" s="103">
        <v>1</v>
      </c>
      <c r="J25" s="104">
        <v>1.95</v>
      </c>
      <c r="K25" s="106" t="s">
        <v>1914</v>
      </c>
      <c r="M25" s="105">
        <f t="shared" si="0"/>
        <v>1.95</v>
      </c>
    </row>
    <row r="26" spans="1:13" x14ac:dyDescent="0.3">
      <c r="A26" s="118" t="s">
        <v>17</v>
      </c>
      <c r="B26" s="118" t="s">
        <v>1613</v>
      </c>
      <c r="C26" s="118" t="s">
        <v>1898</v>
      </c>
      <c r="D26" s="118" t="s">
        <v>2475</v>
      </c>
      <c r="E26" s="118">
        <v>0</v>
      </c>
      <c r="H26" s="118" t="s">
        <v>2474</v>
      </c>
      <c r="I26" s="120">
        <v>113</v>
      </c>
      <c r="J26" s="119">
        <v>11.95</v>
      </c>
      <c r="K26" s="102" t="s">
        <v>1910</v>
      </c>
    </row>
    <row r="27" spans="1:13" x14ac:dyDescent="0.3">
      <c r="A27" s="118" t="s">
        <v>17</v>
      </c>
      <c r="B27" s="118" t="s">
        <v>1613</v>
      </c>
      <c r="C27" s="118" t="s">
        <v>1898</v>
      </c>
      <c r="D27" s="118" t="s">
        <v>2473</v>
      </c>
      <c r="E27" s="118">
        <v>0</v>
      </c>
      <c r="H27" s="118" t="s">
        <v>2472</v>
      </c>
      <c r="I27" s="120">
        <v>112</v>
      </c>
      <c r="J27" s="119">
        <v>14.95</v>
      </c>
      <c r="K27" s="102" t="s">
        <v>1910</v>
      </c>
    </row>
    <row r="28" spans="1:13" x14ac:dyDescent="0.3">
      <c r="A28" s="107" t="s">
        <v>17</v>
      </c>
      <c r="B28" s="107" t="s">
        <v>1613</v>
      </c>
      <c r="C28" s="107" t="s">
        <v>8</v>
      </c>
      <c r="D28" s="103" t="s">
        <v>2445</v>
      </c>
      <c r="E28" s="103">
        <v>1</v>
      </c>
      <c r="F28" s="103" t="s">
        <v>2446</v>
      </c>
      <c r="G28" s="103" t="s">
        <v>2447</v>
      </c>
      <c r="H28" s="103" t="s">
        <v>2448</v>
      </c>
      <c r="I28" s="103">
        <v>1</v>
      </c>
      <c r="J28" s="104">
        <v>9.9499999999999993</v>
      </c>
      <c r="K28" s="106" t="s">
        <v>1914</v>
      </c>
    </row>
    <row r="29" spans="1:13" x14ac:dyDescent="0.3">
      <c r="A29" s="118" t="s">
        <v>17</v>
      </c>
      <c r="B29" s="118" t="s">
        <v>1613</v>
      </c>
      <c r="C29" s="118" t="s">
        <v>1898</v>
      </c>
      <c r="D29" s="118" t="s">
        <v>2471</v>
      </c>
      <c r="E29" s="118">
        <v>0</v>
      </c>
      <c r="H29" s="118" t="s">
        <v>2470</v>
      </c>
      <c r="I29" s="120">
        <v>111</v>
      </c>
      <c r="J29" s="119">
        <v>14.95</v>
      </c>
      <c r="K29" s="102" t="s">
        <v>1910</v>
      </c>
    </row>
    <row r="30" spans="1:13" x14ac:dyDescent="0.3">
      <c r="A30" s="107" t="s">
        <v>17</v>
      </c>
      <c r="B30" s="107" t="s">
        <v>1613</v>
      </c>
      <c r="C30" s="107" t="s">
        <v>8</v>
      </c>
      <c r="D30" s="133" t="s">
        <v>841</v>
      </c>
      <c r="E30" s="103">
        <v>1</v>
      </c>
      <c r="F30" s="103" t="s">
        <v>842</v>
      </c>
      <c r="G30" s="103" t="s">
        <v>843</v>
      </c>
      <c r="H30" s="103" t="s">
        <v>844</v>
      </c>
      <c r="I30" s="103">
        <v>1</v>
      </c>
      <c r="J30" s="104">
        <v>1.95</v>
      </c>
      <c r="K30" s="106" t="s">
        <v>1914</v>
      </c>
      <c r="L30" s="103"/>
      <c r="M30" s="105">
        <f t="shared" ref="M30:M36" si="1">E30*J30</f>
        <v>1.95</v>
      </c>
    </row>
    <row r="31" spans="1:13" x14ac:dyDescent="0.3">
      <c r="A31" s="107" t="s">
        <v>17</v>
      </c>
      <c r="B31" s="107" t="s">
        <v>1613</v>
      </c>
      <c r="C31" s="107" t="s">
        <v>8</v>
      </c>
      <c r="D31" s="133" t="s">
        <v>877</v>
      </c>
      <c r="E31" s="103">
        <f>0</f>
        <v>0</v>
      </c>
      <c r="F31" s="103" t="s">
        <v>878</v>
      </c>
      <c r="G31" s="103" t="s">
        <v>879</v>
      </c>
      <c r="H31" s="103" t="s">
        <v>880</v>
      </c>
      <c r="I31" s="103">
        <v>1</v>
      </c>
      <c r="J31" s="104">
        <v>6.95</v>
      </c>
      <c r="K31" s="106" t="s">
        <v>1914</v>
      </c>
      <c r="L31" s="103" t="s">
        <v>1209</v>
      </c>
      <c r="M31" s="105">
        <f t="shared" si="1"/>
        <v>0</v>
      </c>
    </row>
    <row r="32" spans="1:13" x14ac:dyDescent="0.3">
      <c r="A32" s="107" t="s">
        <v>17</v>
      </c>
      <c r="B32" s="107" t="s">
        <v>1613</v>
      </c>
      <c r="C32" s="107" t="s">
        <v>8</v>
      </c>
      <c r="D32" s="133" t="s">
        <v>865</v>
      </c>
      <c r="E32" s="103">
        <v>1</v>
      </c>
      <c r="F32" s="103" t="s">
        <v>866</v>
      </c>
      <c r="G32" s="103" t="s">
        <v>867</v>
      </c>
      <c r="H32" s="103" t="s">
        <v>868</v>
      </c>
      <c r="I32" s="103">
        <v>1</v>
      </c>
      <c r="J32" s="104">
        <v>2.95</v>
      </c>
      <c r="K32" s="106" t="s">
        <v>1914</v>
      </c>
      <c r="M32" s="105">
        <f t="shared" si="1"/>
        <v>2.95</v>
      </c>
    </row>
    <row r="33" spans="1:13" x14ac:dyDescent="0.3">
      <c r="A33" s="107" t="s">
        <v>17</v>
      </c>
      <c r="B33" s="107" t="s">
        <v>1613</v>
      </c>
      <c r="C33" s="107" t="s">
        <v>8</v>
      </c>
      <c r="D33" s="133" t="s">
        <v>1176</v>
      </c>
      <c r="E33" s="103">
        <v>1</v>
      </c>
      <c r="F33" s="103" t="s">
        <v>1177</v>
      </c>
      <c r="G33" s="103" t="s">
        <v>1178</v>
      </c>
      <c r="H33" s="103" t="s">
        <v>1179</v>
      </c>
      <c r="I33" s="103"/>
      <c r="J33" s="104">
        <v>1.95</v>
      </c>
      <c r="K33" s="106" t="s">
        <v>1914</v>
      </c>
      <c r="M33" s="105">
        <f t="shared" si="1"/>
        <v>1.95</v>
      </c>
    </row>
    <row r="34" spans="1:13" x14ac:dyDescent="0.3">
      <c r="A34" s="107" t="s">
        <v>17</v>
      </c>
      <c r="B34" s="107" t="s">
        <v>1613</v>
      </c>
      <c r="C34" s="107" t="s">
        <v>8</v>
      </c>
      <c r="D34" s="133" t="s">
        <v>833</v>
      </c>
      <c r="E34" s="103">
        <v>1</v>
      </c>
      <c r="F34" s="103" t="s">
        <v>834</v>
      </c>
      <c r="G34" s="103" t="s">
        <v>835</v>
      </c>
      <c r="H34" s="103" t="s">
        <v>836</v>
      </c>
      <c r="I34" s="103"/>
      <c r="J34" s="104">
        <v>4.8</v>
      </c>
      <c r="K34" s="106" t="s">
        <v>1914</v>
      </c>
      <c r="M34" s="105">
        <f t="shared" si="1"/>
        <v>4.8</v>
      </c>
    </row>
    <row r="35" spans="1:13" x14ac:dyDescent="0.3">
      <c r="A35" s="107" t="s">
        <v>17</v>
      </c>
      <c r="B35" s="107" t="s">
        <v>1654</v>
      </c>
      <c r="C35" s="107" t="s">
        <v>8</v>
      </c>
      <c r="D35" s="133" t="s">
        <v>1630</v>
      </c>
      <c r="E35" s="103">
        <v>0</v>
      </c>
      <c r="F35" s="103" t="s">
        <v>1631</v>
      </c>
      <c r="G35" s="103" t="s">
        <v>1632</v>
      </c>
      <c r="H35" s="103" t="s">
        <v>1633</v>
      </c>
      <c r="I35" s="103"/>
      <c r="J35" s="104">
        <v>3.95</v>
      </c>
      <c r="K35" s="106" t="s">
        <v>1910</v>
      </c>
      <c r="M35" s="105">
        <f t="shared" si="1"/>
        <v>0</v>
      </c>
    </row>
    <row r="36" spans="1:13" x14ac:dyDescent="0.3">
      <c r="A36" s="107" t="s">
        <v>17</v>
      </c>
      <c r="B36" s="107" t="s">
        <v>1654</v>
      </c>
      <c r="C36" s="107" t="s">
        <v>8</v>
      </c>
      <c r="D36" s="133" t="s">
        <v>1634</v>
      </c>
      <c r="E36" s="103">
        <v>0</v>
      </c>
      <c r="F36" s="103" t="s">
        <v>1635</v>
      </c>
      <c r="G36" s="103" t="s">
        <v>1636</v>
      </c>
      <c r="H36" s="103" t="s">
        <v>1637</v>
      </c>
      <c r="I36" s="103"/>
      <c r="J36" s="104">
        <v>3.95</v>
      </c>
      <c r="K36" s="106" t="s">
        <v>1910</v>
      </c>
      <c r="M36" s="105">
        <f t="shared" si="1"/>
        <v>0</v>
      </c>
    </row>
    <row r="37" spans="1:13" x14ac:dyDescent="0.3">
      <c r="A37" s="106" t="s">
        <v>17</v>
      </c>
      <c r="B37" s="106" t="s">
        <v>1654</v>
      </c>
      <c r="C37" s="106" t="s">
        <v>1898</v>
      </c>
      <c r="D37" s="133" t="s">
        <v>2087</v>
      </c>
      <c r="E37" s="103">
        <v>0</v>
      </c>
      <c r="F37" s="103"/>
      <c r="G37" s="103"/>
      <c r="H37" s="102" t="s">
        <v>2086</v>
      </c>
      <c r="J37" s="111">
        <v>2.5</v>
      </c>
      <c r="K37" s="107" t="s">
        <v>1910</v>
      </c>
    </row>
    <row r="38" spans="1:13" x14ac:dyDescent="0.3">
      <c r="A38" s="106" t="s">
        <v>17</v>
      </c>
      <c r="B38" s="106" t="s">
        <v>1654</v>
      </c>
      <c r="C38" s="106" t="s">
        <v>1898</v>
      </c>
      <c r="D38" s="133" t="s">
        <v>2085</v>
      </c>
      <c r="E38" s="103">
        <v>1</v>
      </c>
      <c r="F38" s="103"/>
      <c r="G38" s="103"/>
      <c r="H38" s="102" t="s">
        <v>2084</v>
      </c>
      <c r="J38" s="111">
        <v>2.95</v>
      </c>
      <c r="K38" s="107" t="s">
        <v>1910</v>
      </c>
    </row>
    <row r="39" spans="1:13" x14ac:dyDescent="0.3">
      <c r="A39" s="106" t="s">
        <v>17</v>
      </c>
      <c r="B39" s="106" t="s">
        <v>1654</v>
      </c>
      <c r="C39" s="106" t="s">
        <v>1898</v>
      </c>
      <c r="D39" s="133" t="s">
        <v>2081</v>
      </c>
      <c r="E39" s="103">
        <v>1</v>
      </c>
      <c r="F39" s="103"/>
      <c r="G39" s="103"/>
      <c r="H39" s="102" t="s">
        <v>2080</v>
      </c>
      <c r="J39" s="111">
        <v>2.95</v>
      </c>
      <c r="K39" s="107" t="s">
        <v>1910</v>
      </c>
    </row>
    <row r="40" spans="1:13" x14ac:dyDescent="0.3">
      <c r="A40" s="106" t="s">
        <v>17</v>
      </c>
      <c r="B40" s="106" t="s">
        <v>1654</v>
      </c>
      <c r="C40" s="106" t="s">
        <v>1898</v>
      </c>
      <c r="D40" s="133" t="s">
        <v>2083</v>
      </c>
      <c r="E40" s="103">
        <v>1</v>
      </c>
      <c r="F40" s="103"/>
      <c r="G40" s="103"/>
      <c r="H40" s="102" t="s">
        <v>2082</v>
      </c>
      <c r="J40" s="111">
        <v>3.95</v>
      </c>
      <c r="K40" s="107" t="s">
        <v>1910</v>
      </c>
    </row>
    <row r="41" spans="1:13" x14ac:dyDescent="0.3">
      <c r="A41" s="106" t="s">
        <v>17</v>
      </c>
      <c r="B41" s="106" t="s">
        <v>1654</v>
      </c>
      <c r="C41" s="106" t="s">
        <v>1898</v>
      </c>
      <c r="D41" s="133" t="s">
        <v>2077</v>
      </c>
      <c r="E41" s="103">
        <v>1</v>
      </c>
      <c r="F41" s="103"/>
      <c r="G41" s="103"/>
      <c r="H41" s="102" t="s">
        <v>2076</v>
      </c>
      <c r="J41" s="111">
        <v>3.95</v>
      </c>
      <c r="K41" s="107" t="s">
        <v>1910</v>
      </c>
    </row>
    <row r="42" spans="1:13" x14ac:dyDescent="0.3">
      <c r="A42" s="107">
        <f>COUNTA(A2:A41)</f>
        <v>40</v>
      </c>
      <c r="C42" s="107">
        <f>SUM(C25:C31,C33:C34)</f>
        <v>0</v>
      </c>
      <c r="D42" s="133">
        <f>F42/E42</f>
        <v>0</v>
      </c>
      <c r="E42" s="102">
        <f>SUM(E2:E36)</f>
        <v>21</v>
      </c>
      <c r="J42" s="111">
        <f>AVERAGE(J2:J36)</f>
        <v>20.738571428571451</v>
      </c>
      <c r="M42" s="105" t="e">
        <f>SUM(M2:M36)</f>
        <v>#REF!</v>
      </c>
    </row>
    <row r="43" spans="1:13" x14ac:dyDescent="0.3">
      <c r="D43" s="133"/>
      <c r="E43" s="103"/>
      <c r="F43" s="103"/>
      <c r="G43" s="103"/>
      <c r="H43" s="103"/>
      <c r="I43" s="103"/>
      <c r="J43" s="104"/>
      <c r="K43" s="106"/>
    </row>
    <row r="45" spans="1:13" x14ac:dyDescent="0.3">
      <c r="D45" s="133"/>
      <c r="E45" s="103"/>
      <c r="F45" s="103"/>
      <c r="G45" s="103"/>
      <c r="H45" s="103"/>
      <c r="I45" s="103"/>
      <c r="J45" s="104"/>
      <c r="K45" s="106"/>
    </row>
    <row r="46" spans="1:13" x14ac:dyDescent="0.3">
      <c r="D46" s="133"/>
      <c r="E46" s="103"/>
      <c r="F46" s="103"/>
      <c r="G46" s="103"/>
      <c r="H46" s="103"/>
      <c r="I46" s="103"/>
      <c r="J46" s="104"/>
      <c r="K46" s="106"/>
    </row>
    <row r="47" spans="1:13" x14ac:dyDescent="0.3">
      <c r="D47" s="133"/>
      <c r="E47" s="103"/>
      <c r="F47" s="103"/>
      <c r="G47" s="103"/>
      <c r="H47" s="103"/>
      <c r="I47" s="103"/>
      <c r="J47" s="104"/>
      <c r="K47" s="106"/>
    </row>
    <row r="48" spans="1:13" x14ac:dyDescent="0.3">
      <c r="D48" s="133"/>
      <c r="E48" s="103"/>
      <c r="F48" s="103"/>
      <c r="G48" s="103"/>
      <c r="H48" s="103"/>
      <c r="I48" s="103"/>
      <c r="J48" s="104"/>
      <c r="K48" s="106"/>
    </row>
    <row r="49" spans="4:11" x14ac:dyDescent="0.3">
      <c r="D49" s="133"/>
      <c r="E49" s="103"/>
      <c r="F49" s="103"/>
      <c r="G49" s="103"/>
      <c r="H49" s="103"/>
      <c r="I49" s="103"/>
      <c r="J49" s="104"/>
      <c r="K49" s="106"/>
    </row>
    <row r="50" spans="4:11" x14ac:dyDescent="0.3">
      <c r="D50" s="133"/>
      <c r="E50" s="103"/>
      <c r="F50" s="103"/>
      <c r="G50" s="103"/>
      <c r="H50" s="103"/>
      <c r="I50" s="103"/>
      <c r="J50" s="104"/>
      <c r="K50" s="106"/>
    </row>
    <row r="51" spans="4:11" x14ac:dyDescent="0.3">
      <c r="D51" s="133"/>
      <c r="E51" s="103"/>
      <c r="F51" s="103"/>
      <c r="G51" s="103"/>
      <c r="H51" s="103"/>
      <c r="I51" s="103"/>
      <c r="J51" s="104"/>
      <c r="K51" s="106"/>
    </row>
    <row r="52" spans="4:11" x14ac:dyDescent="0.3">
      <c r="D52" s="133"/>
      <c r="E52" s="103"/>
      <c r="F52" s="103"/>
      <c r="G52" s="103"/>
      <c r="H52" s="103"/>
      <c r="I52" s="103"/>
      <c r="J52" s="104"/>
      <c r="K52" s="106"/>
    </row>
    <row r="53" spans="4:11" x14ac:dyDescent="0.3">
      <c r="D53" s="133"/>
      <c r="E53" s="103"/>
      <c r="F53" s="103"/>
      <c r="G53" s="103"/>
      <c r="H53" s="103"/>
      <c r="I53" s="103"/>
      <c r="J53" s="104"/>
      <c r="K53" s="106"/>
    </row>
    <row r="54" spans="4:11" x14ac:dyDescent="0.3">
      <c r="D54" s="133"/>
      <c r="E54" s="103"/>
      <c r="F54" s="103"/>
      <c r="G54" s="103"/>
      <c r="H54" s="103"/>
      <c r="I54" s="103"/>
      <c r="J54" s="104"/>
      <c r="K54" s="106"/>
    </row>
    <row r="55" spans="4:11" x14ac:dyDescent="0.3">
      <c r="D55" s="133"/>
      <c r="E55" s="103"/>
      <c r="F55" s="103"/>
      <c r="G55" s="103"/>
      <c r="H55" s="103"/>
      <c r="I55" s="103"/>
      <c r="J55" s="104"/>
      <c r="K55" s="106"/>
    </row>
    <row r="56" spans="4:11" x14ac:dyDescent="0.3">
      <c r="D56" s="133"/>
      <c r="E56" s="103"/>
      <c r="F56" s="103"/>
      <c r="G56" s="103"/>
      <c r="H56" s="103"/>
      <c r="I56" s="103"/>
      <c r="J56" s="104"/>
      <c r="K56" s="106"/>
    </row>
    <row r="57" spans="4:11" x14ac:dyDescent="0.3">
      <c r="D57" s="133"/>
      <c r="E57" s="103"/>
      <c r="F57" s="103"/>
      <c r="G57" s="103"/>
      <c r="H57" s="103"/>
      <c r="I57" s="103"/>
      <c r="J57" s="104"/>
      <c r="K57" s="106"/>
    </row>
    <row r="58" spans="4:11" x14ac:dyDescent="0.3">
      <c r="D58" s="133"/>
      <c r="E58" s="103"/>
      <c r="F58" s="103"/>
      <c r="G58" s="103"/>
      <c r="H58" s="103"/>
      <c r="I58" s="103"/>
      <c r="J58" s="104"/>
      <c r="K58" s="106"/>
    </row>
    <row r="59" spans="4:11" x14ac:dyDescent="0.3">
      <c r="D59" s="133"/>
      <c r="E59" s="103"/>
      <c r="F59" s="103"/>
      <c r="G59" s="103"/>
      <c r="H59" s="103"/>
      <c r="I59" s="103"/>
      <c r="J59" s="104"/>
      <c r="K59" s="106"/>
    </row>
    <row r="60" spans="4:11" x14ac:dyDescent="0.3">
      <c r="D60" s="133"/>
      <c r="E60" s="103"/>
      <c r="F60" s="103"/>
      <c r="G60" s="103"/>
      <c r="H60" s="103"/>
      <c r="I60" s="103"/>
      <c r="J60" s="104"/>
      <c r="K60" s="106"/>
    </row>
    <row r="61" spans="4:11" x14ac:dyDescent="0.3">
      <c r="D61" s="133"/>
      <c r="E61" s="103"/>
      <c r="F61" s="103"/>
      <c r="G61" s="103"/>
      <c r="H61" s="103"/>
      <c r="I61" s="103"/>
      <c r="J61" s="104"/>
      <c r="K61" s="106"/>
    </row>
    <row r="62" spans="4:11" x14ac:dyDescent="0.3">
      <c r="D62" s="133"/>
      <c r="E62" s="103"/>
      <c r="F62" s="103"/>
      <c r="G62" s="103"/>
      <c r="H62" s="103"/>
      <c r="I62" s="103"/>
      <c r="J62" s="104"/>
      <c r="K62" s="106"/>
    </row>
    <row r="63" spans="4:11" x14ac:dyDescent="0.3">
      <c r="D63" s="133"/>
      <c r="E63" s="103"/>
      <c r="F63" s="103"/>
      <c r="G63" s="103"/>
      <c r="H63" s="103"/>
      <c r="I63" s="103"/>
      <c r="J63" s="104"/>
      <c r="K63" s="106"/>
    </row>
    <row r="64" spans="4:11" x14ac:dyDescent="0.3">
      <c r="D64" s="133"/>
      <c r="E64" s="103"/>
      <c r="F64" s="103"/>
      <c r="G64" s="103"/>
      <c r="H64" s="103"/>
      <c r="I64" s="103"/>
      <c r="J64" s="104"/>
      <c r="K64" s="106"/>
    </row>
    <row r="65" spans="4:11" x14ac:dyDescent="0.3">
      <c r="D65" s="133"/>
      <c r="E65" s="103"/>
      <c r="F65" s="103"/>
      <c r="G65" s="103"/>
      <c r="H65" s="103"/>
      <c r="I65" s="103"/>
      <c r="J65" s="104"/>
      <c r="K65" s="106"/>
    </row>
    <row r="66" spans="4:11" x14ac:dyDescent="0.3">
      <c r="D66" s="133"/>
      <c r="E66" s="103"/>
      <c r="F66" s="103"/>
      <c r="G66" s="103"/>
      <c r="H66" s="103"/>
      <c r="I66" s="103"/>
      <c r="J66" s="104"/>
      <c r="K66" s="106"/>
    </row>
    <row r="67" spans="4:11" x14ac:dyDescent="0.3">
      <c r="D67" s="133"/>
      <c r="E67" s="103"/>
      <c r="F67" s="103"/>
      <c r="G67" s="103"/>
      <c r="H67" s="103"/>
      <c r="I67" s="103"/>
      <c r="J67" s="104"/>
      <c r="K67" s="106"/>
    </row>
    <row r="68" spans="4:11" x14ac:dyDescent="0.3">
      <c r="D68" s="133"/>
      <c r="E68" s="103"/>
      <c r="F68" s="103"/>
      <c r="G68" s="103"/>
      <c r="H68" s="103"/>
      <c r="I68" s="103"/>
      <c r="J68" s="104"/>
      <c r="K68" s="106"/>
    </row>
    <row r="69" spans="4:11" x14ac:dyDescent="0.3">
      <c r="D69" s="133"/>
      <c r="E69" s="103"/>
      <c r="F69" s="103"/>
      <c r="G69" s="103"/>
      <c r="H69" s="103"/>
      <c r="I69" s="103"/>
      <c r="J69" s="104"/>
      <c r="K69" s="106"/>
    </row>
    <row r="70" spans="4:11" x14ac:dyDescent="0.3">
      <c r="D70" s="133"/>
      <c r="E70" s="103"/>
      <c r="F70" s="103"/>
      <c r="G70" s="103"/>
      <c r="H70" s="103"/>
      <c r="I70" s="103"/>
      <c r="J70" s="104"/>
      <c r="K70" s="106"/>
    </row>
    <row r="71" spans="4:11" x14ac:dyDescent="0.3">
      <c r="D71" s="133"/>
      <c r="E71" s="103"/>
      <c r="F71" s="103"/>
      <c r="G71" s="103"/>
      <c r="H71" s="103"/>
      <c r="I71" s="103"/>
      <c r="J71" s="104"/>
      <c r="K71" s="106"/>
    </row>
    <row r="72" spans="4:11" x14ac:dyDescent="0.3">
      <c r="D72" s="133"/>
      <c r="E72" s="103"/>
      <c r="F72" s="103"/>
      <c r="G72" s="103"/>
      <c r="H72" s="103"/>
      <c r="I72" s="103"/>
      <c r="J72" s="104"/>
      <c r="K72" s="106"/>
    </row>
    <row r="73" spans="4:11" x14ac:dyDescent="0.3">
      <c r="D73" s="133"/>
      <c r="E73" s="103"/>
      <c r="F73" s="103"/>
      <c r="G73" s="103"/>
      <c r="H73" s="103"/>
      <c r="I73" s="103"/>
      <c r="J73" s="104"/>
      <c r="K73" s="106"/>
    </row>
    <row r="74" spans="4:11" x14ac:dyDescent="0.3">
      <c r="D74" s="133"/>
      <c r="E74" s="103"/>
      <c r="F74" s="103"/>
      <c r="G74" s="103"/>
      <c r="H74" s="103"/>
      <c r="I74" s="103"/>
      <c r="J74" s="104"/>
      <c r="K74" s="106"/>
    </row>
    <row r="75" spans="4:11" x14ac:dyDescent="0.3">
      <c r="D75" s="133"/>
      <c r="E75" s="103"/>
      <c r="F75" s="103"/>
      <c r="G75" s="103"/>
      <c r="H75" s="103"/>
      <c r="I75" s="103"/>
      <c r="J75" s="104"/>
      <c r="K75" s="106"/>
    </row>
    <row r="76" spans="4:11" x14ac:dyDescent="0.3">
      <c r="D76" s="133"/>
      <c r="E76" s="103"/>
      <c r="F76" s="103"/>
      <c r="G76" s="103"/>
      <c r="H76" s="103"/>
      <c r="I76" s="103"/>
      <c r="J76" s="104"/>
      <c r="K76" s="106"/>
    </row>
    <row r="77" spans="4:11" x14ac:dyDescent="0.3">
      <c r="D77" s="133"/>
      <c r="E77" s="103"/>
      <c r="F77" s="103"/>
      <c r="G77" s="103"/>
      <c r="H77" s="103"/>
      <c r="I77" s="103"/>
      <c r="J77" s="104"/>
      <c r="K77" s="106"/>
    </row>
    <row r="78" spans="4:11" x14ac:dyDescent="0.3">
      <c r="D78" s="133"/>
      <c r="E78" s="103"/>
      <c r="F78" s="103"/>
      <c r="G78" s="103"/>
      <c r="H78" s="103"/>
      <c r="I78" s="103"/>
      <c r="J78" s="104"/>
      <c r="K78" s="106"/>
    </row>
    <row r="79" spans="4:11" x14ac:dyDescent="0.3">
      <c r="D79" s="133"/>
      <c r="E79" s="103"/>
      <c r="F79" s="103"/>
      <c r="G79" s="103"/>
      <c r="H79" s="103"/>
      <c r="I79" s="103"/>
      <c r="J79" s="104"/>
      <c r="K79" s="106"/>
    </row>
    <row r="80" spans="4:11" x14ac:dyDescent="0.3">
      <c r="D80" s="133"/>
      <c r="E80" s="103"/>
      <c r="F80" s="103"/>
      <c r="G80" s="103"/>
      <c r="H80" s="103"/>
      <c r="I80" s="103"/>
      <c r="J80" s="104"/>
      <c r="K80" s="106"/>
    </row>
    <row r="81" spans="4:11" x14ac:dyDescent="0.3">
      <c r="D81" s="133"/>
      <c r="E81" s="103"/>
      <c r="F81" s="103"/>
      <c r="G81" s="103"/>
      <c r="H81" s="103"/>
      <c r="I81" s="103"/>
      <c r="J81" s="104"/>
      <c r="K81" s="106"/>
    </row>
    <row r="82" spans="4:11" x14ac:dyDescent="0.3">
      <c r="D82" s="133"/>
      <c r="E82" s="103"/>
      <c r="F82" s="103"/>
      <c r="G82" s="103"/>
      <c r="H82" s="103"/>
      <c r="I82" s="103"/>
      <c r="J82" s="104"/>
      <c r="K82" s="106"/>
    </row>
    <row r="83" spans="4:11" x14ac:dyDescent="0.3">
      <c r="D83" s="133"/>
      <c r="E83" s="103"/>
      <c r="F83" s="103"/>
      <c r="G83" s="103"/>
      <c r="H83" s="103"/>
      <c r="I83" s="103"/>
      <c r="J83" s="104"/>
      <c r="K83" s="106"/>
    </row>
    <row r="84" spans="4:11" x14ac:dyDescent="0.3">
      <c r="D84" s="133"/>
      <c r="E84" s="103"/>
      <c r="F84" s="103"/>
      <c r="G84" s="103"/>
      <c r="H84" s="103"/>
      <c r="I84" s="103"/>
      <c r="J84" s="104"/>
      <c r="K84" s="106"/>
    </row>
    <row r="85" spans="4:11" x14ac:dyDescent="0.3">
      <c r="D85" s="133"/>
      <c r="E85" s="103"/>
      <c r="F85" s="103"/>
      <c r="G85" s="103"/>
      <c r="H85" s="103"/>
      <c r="I85" s="103"/>
      <c r="J85" s="104"/>
      <c r="K85" s="106"/>
    </row>
    <row r="86" spans="4:11" x14ac:dyDescent="0.3">
      <c r="D86" s="133"/>
      <c r="E86" s="103"/>
      <c r="F86" s="103"/>
      <c r="G86" s="103"/>
      <c r="H86" s="103"/>
      <c r="I86" s="103"/>
      <c r="J86" s="104"/>
      <c r="K86" s="106"/>
    </row>
    <row r="87" spans="4:11" x14ac:dyDescent="0.3">
      <c r="D87" s="133"/>
      <c r="E87" s="103"/>
      <c r="F87" s="103"/>
      <c r="G87" s="103"/>
      <c r="H87" s="103"/>
      <c r="I87" s="103"/>
      <c r="J87" s="104"/>
      <c r="K87" s="106"/>
    </row>
    <row r="88" spans="4:11" x14ac:dyDescent="0.3">
      <c r="D88" s="133"/>
      <c r="E88" s="103"/>
      <c r="F88" s="103"/>
      <c r="G88" s="103"/>
      <c r="H88" s="103"/>
      <c r="I88" s="103"/>
      <c r="J88" s="104"/>
      <c r="K88" s="106"/>
    </row>
    <row r="89" spans="4:11" x14ac:dyDescent="0.3">
      <c r="D89" s="133"/>
      <c r="E89" s="103"/>
      <c r="F89" s="103"/>
      <c r="G89" s="103"/>
      <c r="H89" s="103"/>
      <c r="I89" s="103"/>
      <c r="J89" s="104"/>
      <c r="K89" s="106"/>
    </row>
    <row r="90" spans="4:11" x14ac:dyDescent="0.3">
      <c r="D90" s="133"/>
      <c r="E90" s="103"/>
      <c r="F90" s="103"/>
      <c r="G90" s="103"/>
      <c r="H90" s="103"/>
      <c r="I90" s="103"/>
      <c r="J90" s="104"/>
      <c r="K90" s="106"/>
    </row>
    <row r="91" spans="4:11" x14ac:dyDescent="0.3">
      <c r="D91" s="133"/>
      <c r="E91" s="103"/>
      <c r="F91" s="103"/>
      <c r="G91" s="103"/>
      <c r="H91" s="103"/>
      <c r="I91" s="103"/>
      <c r="J91" s="104"/>
      <c r="K91" s="106"/>
    </row>
    <row r="92" spans="4:11" x14ac:dyDescent="0.3">
      <c r="D92" s="133"/>
      <c r="E92" s="103"/>
      <c r="F92" s="103"/>
      <c r="G92" s="103"/>
      <c r="H92" s="103"/>
      <c r="I92" s="103"/>
      <c r="J92" s="104"/>
      <c r="K92" s="106"/>
    </row>
    <row r="93" spans="4:11" x14ac:dyDescent="0.3">
      <c r="D93" s="133"/>
      <c r="E93" s="103"/>
      <c r="F93" s="103"/>
      <c r="G93" s="103"/>
      <c r="H93" s="103"/>
      <c r="I93" s="103"/>
      <c r="J93" s="104"/>
      <c r="K93" s="106"/>
    </row>
    <row r="94" spans="4:11" x14ac:dyDescent="0.3">
      <c r="D94" s="133"/>
      <c r="E94" s="103"/>
      <c r="F94" s="103"/>
      <c r="G94" s="103"/>
      <c r="H94" s="103"/>
      <c r="I94" s="103"/>
      <c r="J94" s="104"/>
      <c r="K94" s="106"/>
    </row>
    <row r="95" spans="4:11" x14ac:dyDescent="0.3">
      <c r="D95" s="133"/>
      <c r="E95" s="103"/>
      <c r="F95" s="103"/>
      <c r="G95" s="103"/>
      <c r="H95" s="103"/>
      <c r="I95" s="103"/>
      <c r="J95" s="104"/>
      <c r="K95" s="106"/>
    </row>
    <row r="96" spans="4:11" x14ac:dyDescent="0.3">
      <c r="D96" s="133"/>
      <c r="E96" s="103"/>
      <c r="F96" s="103"/>
      <c r="G96" s="103"/>
      <c r="H96" s="103"/>
      <c r="I96" s="103"/>
      <c r="J96" s="104"/>
      <c r="K96" s="106"/>
    </row>
    <row r="97" spans="4:11" x14ac:dyDescent="0.3">
      <c r="D97" s="133"/>
      <c r="E97" s="103"/>
      <c r="F97" s="103"/>
      <c r="G97" s="103"/>
      <c r="H97" s="103"/>
      <c r="I97" s="103"/>
      <c r="J97" s="104"/>
      <c r="K97" s="106"/>
    </row>
    <row r="98" spans="4:11" x14ac:dyDescent="0.3">
      <c r="D98" s="133"/>
      <c r="E98" s="103"/>
      <c r="F98" s="103"/>
      <c r="G98" s="103"/>
      <c r="H98" s="103"/>
      <c r="I98" s="103"/>
      <c r="J98" s="104"/>
      <c r="K98" s="106"/>
    </row>
    <row r="99" spans="4:11" x14ac:dyDescent="0.3">
      <c r="D99" s="133"/>
      <c r="E99" s="103"/>
      <c r="F99" s="103"/>
      <c r="G99" s="103"/>
      <c r="H99" s="103"/>
      <c r="I99" s="103"/>
      <c r="J99" s="104"/>
      <c r="K99" s="106"/>
    </row>
    <row r="100" spans="4:11" x14ac:dyDescent="0.3">
      <c r="D100" s="133"/>
      <c r="E100" s="103"/>
      <c r="F100" s="103"/>
      <c r="G100" s="103"/>
      <c r="H100" s="103"/>
      <c r="I100" s="103"/>
      <c r="J100" s="104"/>
      <c r="K100" s="106"/>
    </row>
    <row r="101" spans="4:11" x14ac:dyDescent="0.3">
      <c r="D101" s="133"/>
      <c r="E101" s="103"/>
      <c r="F101" s="103"/>
      <c r="G101" s="103"/>
      <c r="H101" s="103"/>
      <c r="I101" s="103"/>
      <c r="J101" s="104"/>
      <c r="K101" s="106"/>
    </row>
    <row r="102" spans="4:11" x14ac:dyDescent="0.3">
      <c r="D102" s="133"/>
      <c r="E102" s="103"/>
      <c r="F102" s="103"/>
      <c r="G102" s="103"/>
      <c r="H102" s="103"/>
      <c r="I102" s="103"/>
      <c r="J102" s="104"/>
      <c r="K102" s="106"/>
    </row>
    <row r="103" spans="4:11" x14ac:dyDescent="0.3">
      <c r="D103" s="133"/>
      <c r="E103" s="103"/>
      <c r="F103" s="103"/>
      <c r="G103" s="103"/>
      <c r="H103" s="103"/>
      <c r="I103" s="103"/>
      <c r="J103" s="104"/>
      <c r="K103" s="106"/>
    </row>
    <row r="104" spans="4:11" x14ac:dyDescent="0.3">
      <c r="D104" s="133"/>
      <c r="E104" s="103"/>
      <c r="F104" s="103"/>
      <c r="G104" s="103"/>
      <c r="H104" s="103"/>
      <c r="I104" s="103"/>
      <c r="J104" s="104"/>
      <c r="K104" s="106"/>
    </row>
    <row r="105" spans="4:11" x14ac:dyDescent="0.3">
      <c r="D105" s="133"/>
      <c r="E105" s="103"/>
      <c r="F105" s="103"/>
      <c r="G105" s="103"/>
      <c r="H105" s="103"/>
      <c r="I105" s="103"/>
      <c r="J105" s="104"/>
      <c r="K105" s="106"/>
    </row>
    <row r="106" spans="4:11" x14ac:dyDescent="0.3">
      <c r="D106" s="133"/>
      <c r="E106" s="103"/>
      <c r="F106" s="103"/>
      <c r="G106" s="103"/>
      <c r="H106" s="103"/>
      <c r="I106" s="103"/>
      <c r="J106" s="104"/>
      <c r="K106" s="106"/>
    </row>
    <row r="107" spans="4:11" x14ac:dyDescent="0.3">
      <c r="D107" s="133"/>
      <c r="E107" s="103"/>
      <c r="F107" s="103"/>
      <c r="G107" s="103"/>
      <c r="H107" s="103"/>
      <c r="I107" s="103"/>
      <c r="J107" s="104"/>
      <c r="K107" s="106"/>
    </row>
    <row r="108" spans="4:11" x14ac:dyDescent="0.3">
      <c r="D108" s="133"/>
      <c r="E108" s="103"/>
      <c r="F108" s="103"/>
      <c r="G108" s="103"/>
      <c r="H108" s="103"/>
      <c r="I108" s="103"/>
      <c r="J108" s="104"/>
      <c r="K108" s="106"/>
    </row>
    <row r="109" spans="4:11" x14ac:dyDescent="0.3">
      <c r="D109" s="133"/>
      <c r="E109" s="103"/>
      <c r="F109" s="103"/>
      <c r="G109" s="103"/>
      <c r="H109" s="103"/>
      <c r="I109" s="103"/>
      <c r="J109" s="104"/>
      <c r="K109" s="106"/>
    </row>
    <row r="110" spans="4:11" x14ac:dyDescent="0.3">
      <c r="D110" s="133"/>
      <c r="E110" s="103"/>
      <c r="F110" s="103"/>
      <c r="G110" s="103"/>
      <c r="H110" s="103"/>
      <c r="I110" s="103"/>
      <c r="J110" s="104"/>
      <c r="K110" s="106"/>
    </row>
    <row r="111" spans="4:11" x14ac:dyDescent="0.3">
      <c r="D111" s="133"/>
      <c r="E111" s="103"/>
      <c r="F111" s="103"/>
      <c r="G111" s="103"/>
      <c r="H111" s="103"/>
      <c r="I111" s="103"/>
      <c r="J111" s="104"/>
      <c r="K111" s="106"/>
    </row>
    <row r="112" spans="4:11" x14ac:dyDescent="0.3">
      <c r="D112" s="133"/>
      <c r="E112" s="103"/>
      <c r="F112" s="103"/>
      <c r="G112" s="103"/>
      <c r="H112" s="103"/>
      <c r="I112" s="103"/>
      <c r="J112" s="104"/>
      <c r="K112" s="106"/>
    </row>
    <row r="113" spans="4:11" x14ac:dyDescent="0.3">
      <c r="D113" s="133"/>
      <c r="E113" s="103"/>
      <c r="F113" s="103"/>
      <c r="G113" s="103"/>
      <c r="H113" s="103"/>
      <c r="I113" s="103"/>
      <c r="J113" s="104"/>
      <c r="K113" s="106"/>
    </row>
    <row r="114" spans="4:11" x14ac:dyDescent="0.3">
      <c r="D114" s="133"/>
      <c r="E114" s="103"/>
      <c r="F114" s="103"/>
      <c r="G114" s="103"/>
      <c r="H114" s="103"/>
      <c r="I114" s="103"/>
      <c r="J114" s="104"/>
      <c r="K114" s="106"/>
    </row>
    <row r="115" spans="4:11" x14ac:dyDescent="0.3">
      <c r="D115" s="133"/>
      <c r="E115" s="103"/>
      <c r="F115" s="103"/>
      <c r="G115" s="103"/>
      <c r="H115" s="103"/>
      <c r="I115" s="103"/>
      <c r="J115" s="104"/>
      <c r="K115" s="106"/>
    </row>
    <row r="116" spans="4:11" x14ac:dyDescent="0.3">
      <c r="D116" s="133"/>
      <c r="E116" s="103"/>
      <c r="F116" s="103"/>
      <c r="G116" s="103"/>
      <c r="H116" s="103"/>
      <c r="I116" s="103"/>
      <c r="J116" s="104"/>
      <c r="K116" s="106"/>
    </row>
    <row r="117" spans="4:11" x14ac:dyDescent="0.3">
      <c r="D117" s="133"/>
      <c r="E117" s="103"/>
      <c r="F117" s="103"/>
      <c r="G117" s="103"/>
      <c r="H117" s="103"/>
      <c r="I117" s="103"/>
      <c r="J117" s="104"/>
      <c r="K117" s="106"/>
    </row>
    <row r="118" spans="4:11" x14ac:dyDescent="0.3">
      <c r="D118" s="133"/>
      <c r="E118" s="103"/>
      <c r="F118" s="103"/>
      <c r="G118" s="103"/>
      <c r="H118" s="103"/>
      <c r="I118" s="103"/>
      <c r="J118" s="104"/>
      <c r="K118" s="106"/>
    </row>
    <row r="119" spans="4:11" x14ac:dyDescent="0.3">
      <c r="D119" s="133"/>
      <c r="E119" s="103"/>
      <c r="F119" s="103"/>
      <c r="G119" s="103"/>
      <c r="H119" s="103"/>
      <c r="I119" s="103"/>
      <c r="J119" s="104"/>
      <c r="K119" s="106"/>
    </row>
    <row r="120" spans="4:11" x14ac:dyDescent="0.3">
      <c r="D120" s="133"/>
      <c r="E120" s="103"/>
      <c r="F120" s="103"/>
      <c r="G120" s="103"/>
      <c r="H120" s="103"/>
      <c r="I120" s="103"/>
      <c r="J120" s="104"/>
      <c r="K120" s="106"/>
    </row>
    <row r="121" spans="4:11" x14ac:dyDescent="0.3">
      <c r="D121" s="133"/>
      <c r="E121" s="103"/>
      <c r="F121" s="103"/>
      <c r="G121" s="103"/>
      <c r="H121" s="103"/>
      <c r="I121" s="103"/>
      <c r="J121" s="104"/>
      <c r="K121" s="106"/>
    </row>
    <row r="122" spans="4:11" x14ac:dyDescent="0.3">
      <c r="D122" s="133"/>
      <c r="E122" s="103"/>
      <c r="F122" s="103"/>
      <c r="G122" s="103"/>
      <c r="H122" s="103"/>
      <c r="I122" s="103"/>
      <c r="J122" s="104"/>
      <c r="K122" s="106"/>
    </row>
    <row r="123" spans="4:11" x14ac:dyDescent="0.3">
      <c r="D123" s="133"/>
      <c r="E123" s="103"/>
      <c r="F123" s="103"/>
      <c r="G123" s="103"/>
      <c r="H123" s="103"/>
      <c r="I123" s="103"/>
      <c r="J123" s="104"/>
      <c r="K123" s="106"/>
    </row>
    <row r="124" spans="4:11" x14ac:dyDescent="0.3">
      <c r="D124" s="133"/>
      <c r="E124" s="103"/>
      <c r="F124" s="103"/>
      <c r="G124" s="103"/>
      <c r="H124" s="103"/>
      <c r="I124" s="103"/>
      <c r="J124" s="104"/>
      <c r="K124" s="106"/>
    </row>
    <row r="125" spans="4:11" x14ac:dyDescent="0.3">
      <c r="D125" s="133"/>
      <c r="E125" s="103"/>
      <c r="F125" s="103"/>
      <c r="G125" s="103"/>
      <c r="H125" s="103"/>
      <c r="I125" s="103"/>
      <c r="J125" s="104"/>
      <c r="K125" s="106"/>
    </row>
    <row r="126" spans="4:11" x14ac:dyDescent="0.3">
      <c r="D126" s="133"/>
      <c r="E126" s="103"/>
      <c r="F126" s="103"/>
      <c r="G126" s="103"/>
      <c r="H126" s="103"/>
      <c r="I126" s="103"/>
      <c r="J126" s="104"/>
      <c r="K126" s="106"/>
    </row>
    <row r="127" spans="4:11" x14ac:dyDescent="0.3">
      <c r="D127" s="133"/>
      <c r="E127" s="103"/>
      <c r="F127" s="103"/>
      <c r="G127" s="103"/>
      <c r="H127" s="103"/>
      <c r="I127" s="103"/>
      <c r="J127" s="104"/>
      <c r="K127" s="106"/>
    </row>
    <row r="128" spans="4:11" x14ac:dyDescent="0.3">
      <c r="D128" s="133"/>
      <c r="E128" s="103"/>
      <c r="F128" s="103"/>
      <c r="G128" s="103"/>
      <c r="H128" s="103"/>
      <c r="I128" s="103"/>
      <c r="J128" s="104"/>
      <c r="K128" s="106"/>
    </row>
    <row r="129" spans="4:11" x14ac:dyDescent="0.3">
      <c r="D129" s="133"/>
      <c r="E129" s="103"/>
      <c r="F129" s="103"/>
      <c r="G129" s="103"/>
      <c r="H129" s="103"/>
      <c r="I129" s="103"/>
      <c r="J129" s="104"/>
      <c r="K129" s="106"/>
    </row>
    <row r="130" spans="4:11" x14ac:dyDescent="0.3">
      <c r="D130" s="133"/>
      <c r="E130" s="103"/>
      <c r="F130" s="103"/>
      <c r="G130" s="103"/>
      <c r="H130" s="103"/>
      <c r="I130" s="103"/>
      <c r="J130" s="104"/>
      <c r="K130" s="106"/>
    </row>
    <row r="131" spans="4:11" x14ac:dyDescent="0.3">
      <c r="D131" s="133"/>
      <c r="E131" s="103"/>
      <c r="F131" s="103"/>
      <c r="G131" s="103"/>
      <c r="H131" s="103"/>
      <c r="I131" s="103"/>
      <c r="J131" s="104"/>
      <c r="K131" s="106"/>
    </row>
    <row r="132" spans="4:11" x14ac:dyDescent="0.3">
      <c r="D132" s="133"/>
      <c r="E132" s="103"/>
      <c r="F132" s="103"/>
      <c r="G132" s="103"/>
      <c r="H132" s="103"/>
      <c r="I132" s="103"/>
      <c r="J132" s="104"/>
      <c r="K132" s="106"/>
    </row>
    <row r="133" spans="4:11" x14ac:dyDescent="0.3">
      <c r="D133" s="133"/>
      <c r="E133" s="103"/>
      <c r="F133" s="103"/>
      <c r="G133" s="103"/>
      <c r="H133" s="103"/>
      <c r="I133" s="103"/>
      <c r="J133" s="104"/>
      <c r="K133" s="106"/>
    </row>
    <row r="134" spans="4:11" x14ac:dyDescent="0.3">
      <c r="D134" s="133"/>
      <c r="E134" s="103"/>
      <c r="F134" s="103"/>
      <c r="G134" s="103"/>
      <c r="H134" s="103"/>
      <c r="I134" s="103"/>
      <c r="J134" s="104"/>
      <c r="K134" s="106"/>
    </row>
    <row r="135" spans="4:11" x14ac:dyDescent="0.3">
      <c r="D135" s="133"/>
      <c r="E135" s="103"/>
      <c r="F135" s="103"/>
      <c r="G135" s="103"/>
      <c r="H135" s="103"/>
      <c r="I135" s="103"/>
      <c r="J135" s="104"/>
      <c r="K135" s="106"/>
    </row>
    <row r="136" spans="4:11" x14ac:dyDescent="0.3">
      <c r="D136" s="133"/>
      <c r="E136" s="103"/>
      <c r="F136" s="103"/>
      <c r="G136" s="103"/>
      <c r="H136" s="103"/>
      <c r="I136" s="103"/>
      <c r="J136" s="104"/>
      <c r="K136" s="106"/>
    </row>
    <row r="137" spans="4:11" x14ac:dyDescent="0.3">
      <c r="D137" s="133"/>
      <c r="E137" s="103"/>
      <c r="F137" s="103"/>
      <c r="G137" s="103"/>
      <c r="H137" s="103"/>
      <c r="I137" s="103"/>
      <c r="J137" s="104"/>
      <c r="K137" s="106"/>
    </row>
    <row r="138" spans="4:11" x14ac:dyDescent="0.3">
      <c r="D138" s="133"/>
      <c r="E138" s="103"/>
      <c r="F138" s="103"/>
      <c r="G138" s="103"/>
      <c r="H138" s="103"/>
      <c r="I138" s="103"/>
      <c r="J138" s="104"/>
      <c r="K138" s="106"/>
    </row>
    <row r="139" spans="4:11" x14ac:dyDescent="0.3">
      <c r="D139" s="133"/>
      <c r="E139" s="103"/>
      <c r="F139" s="103"/>
      <c r="G139" s="103"/>
      <c r="H139" s="103"/>
      <c r="I139" s="103"/>
      <c r="J139" s="104"/>
      <c r="K139" s="106"/>
    </row>
    <row r="140" spans="4:11" x14ac:dyDescent="0.3">
      <c r="D140" s="133"/>
      <c r="E140" s="103"/>
      <c r="F140" s="103"/>
      <c r="G140" s="103"/>
      <c r="H140" s="103"/>
      <c r="I140" s="103"/>
      <c r="J140" s="104"/>
      <c r="K140" s="106"/>
    </row>
    <row r="141" spans="4:11" x14ac:dyDescent="0.3">
      <c r="D141" s="133"/>
      <c r="E141" s="103"/>
      <c r="F141" s="103"/>
      <c r="G141" s="103"/>
      <c r="H141" s="103"/>
      <c r="I141" s="103"/>
      <c r="J141" s="104"/>
      <c r="K141" s="106"/>
    </row>
    <row r="142" spans="4:11" x14ac:dyDescent="0.3">
      <c r="D142" s="133"/>
      <c r="E142" s="103"/>
      <c r="F142" s="103"/>
      <c r="G142" s="103"/>
      <c r="H142" s="103"/>
      <c r="I142" s="103"/>
      <c r="J142" s="104"/>
      <c r="K142" s="106"/>
    </row>
    <row r="143" spans="4:11" x14ac:dyDescent="0.3">
      <c r="D143" s="133"/>
      <c r="E143" s="103"/>
      <c r="F143" s="103"/>
      <c r="G143" s="103"/>
      <c r="H143" s="103"/>
      <c r="I143" s="103"/>
      <c r="J143" s="104"/>
      <c r="K143" s="106"/>
    </row>
    <row r="144" spans="4:11" x14ac:dyDescent="0.3">
      <c r="D144" s="133"/>
      <c r="E144" s="103"/>
      <c r="F144" s="103"/>
      <c r="G144" s="103"/>
      <c r="H144" s="103"/>
      <c r="I144" s="103"/>
      <c r="J144" s="104"/>
      <c r="K144" s="106"/>
    </row>
    <row r="145" spans="4:11" x14ac:dyDescent="0.3">
      <c r="D145" s="133"/>
      <c r="E145" s="103"/>
      <c r="F145" s="103"/>
      <c r="G145" s="103"/>
      <c r="H145" s="103"/>
      <c r="I145" s="103"/>
      <c r="J145" s="104"/>
      <c r="K145" s="106"/>
    </row>
    <row r="146" spans="4:11" x14ac:dyDescent="0.3">
      <c r="D146" s="133"/>
      <c r="E146" s="103"/>
      <c r="F146" s="103"/>
      <c r="G146" s="103"/>
      <c r="H146" s="103"/>
      <c r="I146" s="103"/>
      <c r="J146" s="104"/>
      <c r="K146" s="106"/>
    </row>
    <row r="147" spans="4:11" x14ac:dyDescent="0.3">
      <c r="D147" s="133"/>
      <c r="E147" s="103"/>
      <c r="F147" s="103"/>
      <c r="G147" s="103"/>
      <c r="H147" s="103"/>
      <c r="I147" s="103"/>
      <c r="J147" s="104"/>
      <c r="K147" s="106"/>
    </row>
    <row r="148" spans="4:11" x14ac:dyDescent="0.3">
      <c r="D148" s="133"/>
      <c r="E148" s="103"/>
      <c r="F148" s="103"/>
      <c r="G148" s="103"/>
      <c r="H148" s="103"/>
      <c r="I148" s="103"/>
      <c r="J148" s="104"/>
      <c r="K148" s="106"/>
    </row>
    <row r="149" spans="4:11" x14ac:dyDescent="0.3">
      <c r="D149" s="133"/>
      <c r="E149" s="103"/>
      <c r="F149" s="103"/>
      <c r="G149" s="103"/>
      <c r="H149" s="103"/>
      <c r="I149" s="103"/>
      <c r="J149" s="104"/>
      <c r="K149" s="106"/>
    </row>
    <row r="150" spans="4:11" x14ac:dyDescent="0.3">
      <c r="D150" s="133"/>
      <c r="E150" s="103"/>
      <c r="F150" s="103"/>
      <c r="G150" s="103"/>
      <c r="H150" s="103"/>
      <c r="I150" s="103"/>
      <c r="J150" s="104"/>
      <c r="K150" s="106"/>
    </row>
    <row r="151" spans="4:11" x14ac:dyDescent="0.3">
      <c r="D151" s="133"/>
      <c r="E151" s="103"/>
      <c r="F151" s="103"/>
      <c r="G151" s="103"/>
      <c r="H151" s="103"/>
      <c r="I151" s="103"/>
      <c r="J151" s="104"/>
      <c r="K151" s="106"/>
    </row>
    <row r="152" spans="4:11" x14ac:dyDescent="0.3">
      <c r="D152" s="133"/>
      <c r="E152" s="103"/>
      <c r="F152" s="103"/>
      <c r="G152" s="103"/>
      <c r="H152" s="103"/>
      <c r="I152" s="103"/>
      <c r="J152" s="104"/>
      <c r="K152" s="106"/>
    </row>
    <row r="153" spans="4:11" x14ac:dyDescent="0.3">
      <c r="D153" s="133"/>
      <c r="E153" s="103"/>
      <c r="F153" s="103"/>
      <c r="G153" s="103"/>
      <c r="H153" s="103"/>
      <c r="I153" s="103"/>
      <c r="J153" s="104"/>
      <c r="K153" s="106"/>
    </row>
    <row r="154" spans="4:11" x14ac:dyDescent="0.3">
      <c r="D154" s="133"/>
      <c r="E154" s="103"/>
      <c r="F154" s="103"/>
      <c r="G154" s="103"/>
      <c r="H154" s="103"/>
      <c r="I154" s="103"/>
      <c r="J154" s="104"/>
      <c r="K154" s="106"/>
    </row>
    <row r="155" spans="4:11" x14ac:dyDescent="0.3">
      <c r="D155" s="133"/>
      <c r="E155" s="103"/>
      <c r="F155" s="103"/>
      <c r="G155" s="103"/>
      <c r="H155" s="103"/>
      <c r="I155" s="103"/>
      <c r="J155" s="104"/>
      <c r="K155" s="106"/>
    </row>
    <row r="156" spans="4:11" x14ac:dyDescent="0.3">
      <c r="D156" s="133"/>
      <c r="E156" s="103"/>
      <c r="F156" s="103"/>
      <c r="G156" s="103"/>
      <c r="H156" s="103"/>
      <c r="I156" s="103"/>
      <c r="J156" s="104"/>
      <c r="K156" s="106"/>
    </row>
    <row r="157" spans="4:11" x14ac:dyDescent="0.3">
      <c r="D157" s="133"/>
      <c r="E157" s="103"/>
      <c r="F157" s="103"/>
      <c r="G157" s="103"/>
      <c r="H157" s="103"/>
      <c r="I157" s="103"/>
      <c r="J157" s="104"/>
      <c r="K157" s="106"/>
    </row>
    <row r="158" spans="4:11" x14ac:dyDescent="0.3">
      <c r="D158" s="133"/>
      <c r="E158" s="103"/>
      <c r="F158" s="103"/>
      <c r="G158" s="103"/>
      <c r="H158" s="103"/>
      <c r="I158" s="103"/>
      <c r="J158" s="104"/>
      <c r="K158" s="106"/>
    </row>
    <row r="159" spans="4:11" x14ac:dyDescent="0.3">
      <c r="D159" s="133"/>
      <c r="E159" s="103"/>
      <c r="F159" s="103"/>
      <c r="G159" s="103"/>
      <c r="H159" s="103"/>
      <c r="I159" s="103"/>
      <c r="J159" s="104"/>
      <c r="K159" s="106"/>
    </row>
    <row r="160" spans="4:11" x14ac:dyDescent="0.3">
      <c r="D160" s="133"/>
      <c r="E160" s="103"/>
      <c r="F160" s="103"/>
      <c r="G160" s="103"/>
      <c r="H160" s="103"/>
      <c r="I160" s="103"/>
      <c r="J160" s="104"/>
      <c r="K160" s="106"/>
    </row>
    <row r="161" spans="4:11" x14ac:dyDescent="0.3">
      <c r="D161" s="133"/>
      <c r="E161" s="103"/>
      <c r="F161" s="103"/>
      <c r="G161" s="103"/>
      <c r="H161" s="103"/>
      <c r="I161" s="103"/>
      <c r="J161" s="104"/>
      <c r="K161" s="106"/>
    </row>
    <row r="162" spans="4:11" x14ac:dyDescent="0.3">
      <c r="D162" s="133"/>
      <c r="E162" s="103"/>
      <c r="F162" s="103"/>
      <c r="G162" s="103"/>
      <c r="H162" s="103"/>
      <c r="I162" s="103"/>
      <c r="J162" s="104"/>
      <c r="K162" s="106"/>
    </row>
    <row r="163" spans="4:11" x14ac:dyDescent="0.3">
      <c r="D163" s="133"/>
      <c r="E163" s="103"/>
      <c r="F163" s="103"/>
      <c r="G163" s="103"/>
      <c r="H163" s="103"/>
      <c r="I163" s="103"/>
      <c r="J163" s="104"/>
      <c r="K163" s="106"/>
    </row>
    <row r="164" spans="4:11" x14ac:dyDescent="0.3">
      <c r="D164" s="133"/>
      <c r="E164" s="103"/>
      <c r="F164" s="103"/>
      <c r="G164" s="103"/>
      <c r="H164" s="103"/>
      <c r="I164" s="103"/>
      <c r="J164" s="104"/>
      <c r="K164" s="106"/>
    </row>
    <row r="165" spans="4:11" x14ac:dyDescent="0.3">
      <c r="D165" s="133"/>
      <c r="E165" s="103"/>
      <c r="F165" s="103"/>
      <c r="G165" s="103"/>
      <c r="H165" s="103"/>
      <c r="I165" s="103"/>
      <c r="J165" s="104"/>
      <c r="K165" s="106"/>
    </row>
    <row r="166" spans="4:11" x14ac:dyDescent="0.3">
      <c r="D166" s="133"/>
      <c r="E166" s="103"/>
      <c r="F166" s="103"/>
      <c r="G166" s="103"/>
      <c r="H166" s="103"/>
      <c r="I166" s="103"/>
      <c r="J166" s="104"/>
      <c r="K166" s="106"/>
    </row>
    <row r="167" spans="4:11" x14ac:dyDescent="0.3">
      <c r="D167" s="133"/>
      <c r="E167" s="103"/>
      <c r="F167" s="103"/>
      <c r="G167" s="103"/>
      <c r="H167" s="103"/>
      <c r="I167" s="103"/>
      <c r="J167" s="104"/>
      <c r="K167" s="106"/>
    </row>
    <row r="168" spans="4:11" x14ac:dyDescent="0.3">
      <c r="D168" s="133"/>
      <c r="E168" s="103"/>
      <c r="F168" s="103"/>
      <c r="G168" s="103"/>
      <c r="H168" s="103"/>
      <c r="I168" s="103"/>
      <c r="J168" s="104"/>
      <c r="K168" s="106"/>
    </row>
    <row r="169" spans="4:11" x14ac:dyDescent="0.3">
      <c r="D169" s="133"/>
      <c r="E169" s="103"/>
      <c r="F169" s="103"/>
      <c r="G169" s="103"/>
      <c r="H169" s="103"/>
      <c r="I169" s="103"/>
      <c r="J169" s="104"/>
      <c r="K169" s="106"/>
    </row>
    <row r="170" spans="4:11" x14ac:dyDescent="0.3">
      <c r="D170" s="133"/>
      <c r="E170" s="103"/>
      <c r="F170" s="103"/>
      <c r="G170" s="103"/>
      <c r="H170" s="103"/>
      <c r="I170" s="103"/>
      <c r="J170" s="104"/>
      <c r="K170" s="106"/>
    </row>
    <row r="171" spans="4:11" x14ac:dyDescent="0.3">
      <c r="D171" s="133"/>
      <c r="E171" s="103"/>
      <c r="F171" s="103"/>
      <c r="G171" s="103"/>
      <c r="H171" s="103"/>
      <c r="I171" s="103"/>
      <c r="J171" s="104"/>
      <c r="K171" s="106"/>
    </row>
    <row r="172" spans="4:11" x14ac:dyDescent="0.3">
      <c r="D172" s="133"/>
      <c r="E172" s="103"/>
      <c r="F172" s="103"/>
      <c r="G172" s="103"/>
      <c r="H172" s="103"/>
      <c r="I172" s="103"/>
      <c r="J172" s="104"/>
      <c r="K172" s="106"/>
    </row>
    <row r="173" spans="4:11" x14ac:dyDescent="0.3">
      <c r="D173" s="133"/>
      <c r="E173" s="103"/>
      <c r="F173" s="103"/>
      <c r="G173" s="103"/>
      <c r="H173" s="103"/>
      <c r="I173" s="103"/>
      <c r="J173" s="104"/>
      <c r="K173" s="106"/>
    </row>
    <row r="174" spans="4:11" x14ac:dyDescent="0.3">
      <c r="D174" s="133"/>
      <c r="E174" s="103"/>
      <c r="F174" s="103"/>
      <c r="G174" s="103"/>
      <c r="H174" s="103"/>
      <c r="I174" s="103"/>
      <c r="J174" s="104"/>
      <c r="K174" s="106"/>
    </row>
    <row r="175" spans="4:11" x14ac:dyDescent="0.3">
      <c r="D175" s="133"/>
      <c r="E175" s="103"/>
      <c r="F175" s="103"/>
      <c r="G175" s="103"/>
      <c r="H175" s="103"/>
      <c r="I175" s="103"/>
      <c r="J175" s="104"/>
      <c r="K175" s="106"/>
    </row>
    <row r="176" spans="4:11" x14ac:dyDescent="0.3">
      <c r="D176" s="133"/>
      <c r="E176" s="103"/>
      <c r="F176" s="103"/>
      <c r="G176" s="103"/>
      <c r="H176" s="103"/>
      <c r="I176" s="103"/>
      <c r="J176" s="104"/>
      <c r="K176" s="106"/>
    </row>
    <row r="177" spans="4:11" x14ac:dyDescent="0.3">
      <c r="D177" s="133"/>
      <c r="E177" s="103"/>
      <c r="F177" s="103"/>
      <c r="G177" s="103"/>
      <c r="H177" s="103"/>
      <c r="I177" s="103"/>
      <c r="J177" s="104"/>
      <c r="K177" s="106"/>
    </row>
    <row r="178" spans="4:11" x14ac:dyDescent="0.3">
      <c r="D178" s="133"/>
      <c r="E178" s="103"/>
      <c r="F178" s="103"/>
      <c r="G178" s="103"/>
      <c r="H178" s="103"/>
      <c r="I178" s="103"/>
      <c r="J178" s="104"/>
      <c r="K178" s="106"/>
    </row>
    <row r="179" spans="4:11" x14ac:dyDescent="0.3">
      <c r="D179" s="133"/>
      <c r="E179" s="103"/>
      <c r="F179" s="103"/>
      <c r="G179" s="103"/>
      <c r="H179" s="103"/>
      <c r="I179" s="103"/>
      <c r="J179" s="104"/>
      <c r="K179" s="106"/>
    </row>
    <row r="180" spans="4:11" x14ac:dyDescent="0.3">
      <c r="D180" s="133"/>
      <c r="E180" s="103"/>
      <c r="F180" s="103"/>
      <c r="G180" s="103"/>
      <c r="H180" s="103"/>
      <c r="I180" s="103"/>
      <c r="J180" s="104"/>
      <c r="K180" s="106"/>
    </row>
    <row r="181" spans="4:11" x14ac:dyDescent="0.3">
      <c r="D181" s="133"/>
      <c r="E181" s="103"/>
      <c r="F181" s="103"/>
      <c r="G181" s="103"/>
      <c r="H181" s="103"/>
      <c r="I181" s="103"/>
      <c r="J181" s="104"/>
      <c r="K181" s="106"/>
    </row>
    <row r="182" spans="4:11" x14ac:dyDescent="0.3">
      <c r="D182" s="133"/>
      <c r="E182" s="103"/>
      <c r="F182" s="103"/>
      <c r="G182" s="103"/>
      <c r="H182" s="103"/>
      <c r="I182" s="103"/>
      <c r="J182" s="104"/>
      <c r="K182" s="106"/>
    </row>
    <row r="183" spans="4:11" x14ac:dyDescent="0.3">
      <c r="D183" s="133"/>
      <c r="E183" s="103"/>
      <c r="F183" s="103"/>
      <c r="G183" s="103"/>
      <c r="H183" s="103"/>
      <c r="I183" s="103"/>
      <c r="J183" s="104"/>
      <c r="K183" s="106"/>
    </row>
    <row r="184" spans="4:11" x14ac:dyDescent="0.3">
      <c r="D184" s="133"/>
      <c r="E184" s="103"/>
      <c r="F184" s="103"/>
      <c r="G184" s="103"/>
      <c r="H184" s="103"/>
      <c r="I184" s="103"/>
      <c r="J184" s="104"/>
      <c r="K184" s="106"/>
    </row>
    <row r="185" spans="4:11" x14ac:dyDescent="0.3">
      <c r="D185" s="133"/>
      <c r="E185" s="103"/>
      <c r="F185" s="103"/>
      <c r="G185" s="103"/>
      <c r="H185" s="103"/>
      <c r="I185" s="103"/>
      <c r="J185" s="104"/>
      <c r="K185" s="106"/>
    </row>
    <row r="186" spans="4:11" x14ac:dyDescent="0.3">
      <c r="D186" s="133"/>
      <c r="E186" s="103"/>
      <c r="F186" s="103"/>
      <c r="G186" s="103"/>
      <c r="H186" s="103"/>
      <c r="I186" s="103"/>
      <c r="J186" s="104"/>
      <c r="K186" s="106"/>
    </row>
    <row r="187" spans="4:11" x14ac:dyDescent="0.3">
      <c r="D187" s="133"/>
      <c r="E187" s="103"/>
      <c r="F187" s="103"/>
      <c r="G187" s="103"/>
      <c r="H187" s="103"/>
      <c r="I187" s="103"/>
      <c r="J187" s="104"/>
      <c r="K187" s="106"/>
    </row>
    <row r="188" spans="4:11" x14ac:dyDescent="0.3">
      <c r="D188" s="133"/>
      <c r="E188" s="103"/>
      <c r="F188" s="103"/>
      <c r="G188" s="103"/>
      <c r="H188" s="103"/>
      <c r="I188" s="103"/>
      <c r="J188" s="104"/>
      <c r="K188" s="106"/>
    </row>
    <row r="189" spans="4:11" x14ac:dyDescent="0.3">
      <c r="D189" s="133"/>
      <c r="E189" s="103"/>
      <c r="F189" s="103"/>
      <c r="G189" s="103"/>
      <c r="H189" s="103"/>
      <c r="I189" s="103"/>
      <c r="J189" s="104"/>
      <c r="K189" s="106"/>
    </row>
    <row r="190" spans="4:11" x14ac:dyDescent="0.3">
      <c r="D190" s="133"/>
      <c r="E190" s="103"/>
      <c r="F190" s="103"/>
      <c r="G190" s="103"/>
      <c r="H190" s="103"/>
      <c r="I190" s="103"/>
      <c r="J190" s="104"/>
      <c r="K190" s="106"/>
    </row>
    <row r="191" spans="4:11" x14ac:dyDescent="0.3">
      <c r="D191" s="133"/>
      <c r="E191" s="103"/>
      <c r="F191" s="103"/>
      <c r="G191" s="103"/>
      <c r="H191" s="103"/>
      <c r="I191" s="103"/>
      <c r="J191" s="104"/>
      <c r="K191" s="106"/>
    </row>
    <row r="192" spans="4:11" x14ac:dyDescent="0.3">
      <c r="D192" s="133"/>
      <c r="E192" s="103"/>
      <c r="F192" s="103"/>
      <c r="G192" s="103"/>
      <c r="H192" s="103"/>
      <c r="I192" s="103"/>
      <c r="J192" s="104"/>
      <c r="K192" s="106"/>
    </row>
    <row r="193" spans="4:11" x14ac:dyDescent="0.3">
      <c r="D193" s="133"/>
      <c r="E193" s="103"/>
      <c r="F193" s="103"/>
      <c r="G193" s="103"/>
      <c r="H193" s="103"/>
      <c r="I193" s="103"/>
      <c r="J193" s="104"/>
      <c r="K193" s="106"/>
    </row>
    <row r="194" spans="4:11" x14ac:dyDescent="0.3">
      <c r="D194" s="133"/>
      <c r="E194" s="103"/>
      <c r="F194" s="103"/>
      <c r="G194" s="103"/>
      <c r="H194" s="103"/>
      <c r="I194" s="103"/>
      <c r="J194" s="104"/>
      <c r="K194" s="106"/>
    </row>
    <row r="195" spans="4:11" x14ac:dyDescent="0.3">
      <c r="D195" s="133"/>
      <c r="E195" s="103"/>
      <c r="F195" s="103"/>
      <c r="G195" s="103"/>
      <c r="H195" s="103"/>
      <c r="I195" s="103"/>
      <c r="J195" s="104"/>
      <c r="K195" s="106"/>
    </row>
    <row r="196" spans="4:11" x14ac:dyDescent="0.3">
      <c r="D196" s="133"/>
      <c r="E196" s="103"/>
      <c r="F196" s="103"/>
      <c r="G196" s="103"/>
      <c r="H196" s="103"/>
      <c r="I196" s="103"/>
      <c r="J196" s="104"/>
      <c r="K196" s="106"/>
    </row>
    <row r="197" spans="4:11" x14ac:dyDescent="0.3">
      <c r="D197" s="133"/>
      <c r="E197" s="103"/>
      <c r="F197" s="103"/>
      <c r="G197" s="103"/>
      <c r="H197" s="103"/>
      <c r="I197" s="103"/>
      <c r="J197" s="104"/>
      <c r="K197" s="106"/>
    </row>
    <row r="198" spans="4:11" x14ac:dyDescent="0.3">
      <c r="D198" s="133"/>
      <c r="E198" s="103"/>
      <c r="F198" s="103"/>
      <c r="G198" s="103"/>
      <c r="H198" s="103"/>
      <c r="I198" s="103"/>
      <c r="J198" s="104"/>
      <c r="K198" s="106"/>
    </row>
    <row r="199" spans="4:11" x14ac:dyDescent="0.3">
      <c r="D199" s="133"/>
      <c r="E199" s="103"/>
      <c r="F199" s="103"/>
      <c r="G199" s="103"/>
      <c r="H199" s="103"/>
      <c r="I199" s="103"/>
      <c r="J199" s="104"/>
      <c r="K199" s="106"/>
    </row>
    <row r="200" spans="4:11" x14ac:dyDescent="0.3">
      <c r="D200" s="133"/>
      <c r="E200" s="103"/>
      <c r="F200" s="103"/>
      <c r="G200" s="103"/>
      <c r="H200" s="103"/>
      <c r="I200" s="103"/>
      <c r="J200" s="104"/>
      <c r="K200" s="106"/>
    </row>
    <row r="201" spans="4:11" x14ac:dyDescent="0.3">
      <c r="D201" s="133"/>
      <c r="E201" s="103"/>
      <c r="F201" s="103"/>
      <c r="G201" s="103"/>
      <c r="H201" s="103"/>
      <c r="I201" s="103"/>
      <c r="J201" s="104"/>
      <c r="K201" s="106"/>
    </row>
    <row r="202" spans="4:11" x14ac:dyDescent="0.3">
      <c r="D202" s="133"/>
      <c r="E202" s="103"/>
      <c r="F202" s="103"/>
      <c r="G202" s="103"/>
      <c r="H202" s="103"/>
      <c r="I202" s="103"/>
      <c r="J202" s="104"/>
      <c r="K202" s="106"/>
    </row>
    <row r="203" spans="4:11" x14ac:dyDescent="0.3">
      <c r="D203" s="133"/>
      <c r="E203" s="103"/>
      <c r="F203" s="103"/>
      <c r="G203" s="103"/>
      <c r="H203" s="103"/>
      <c r="I203" s="103"/>
      <c r="J203" s="104"/>
      <c r="K203" s="106"/>
    </row>
    <row r="204" spans="4:11" x14ac:dyDescent="0.3">
      <c r="D204" s="133"/>
      <c r="E204" s="103"/>
      <c r="F204" s="103"/>
      <c r="G204" s="103"/>
      <c r="H204" s="103"/>
      <c r="I204" s="103"/>
      <c r="J204" s="104"/>
      <c r="K204" s="106"/>
    </row>
    <row r="205" spans="4:11" x14ac:dyDescent="0.3">
      <c r="D205" s="133"/>
    </row>
    <row r="206" spans="4:11" x14ac:dyDescent="0.3">
      <c r="D206" s="133"/>
    </row>
    <row r="207" spans="4:11" x14ac:dyDescent="0.3">
      <c r="D207" s="133"/>
    </row>
    <row r="208" spans="4:11" x14ac:dyDescent="0.3">
      <c r="D208" s="133"/>
    </row>
    <row r="209" spans="4:4" x14ac:dyDescent="0.3">
      <c r="D209" s="133"/>
    </row>
    <row r="210" spans="4:4" x14ac:dyDescent="0.3">
      <c r="D210" s="133"/>
    </row>
    <row r="211" spans="4:4" x14ac:dyDescent="0.3">
      <c r="D211" s="133"/>
    </row>
    <row r="212" spans="4:4" x14ac:dyDescent="0.3">
      <c r="D212" s="133"/>
    </row>
    <row r="213" spans="4:4" x14ac:dyDescent="0.3">
      <c r="D213" s="133"/>
    </row>
    <row r="214" spans="4:4" x14ac:dyDescent="0.3">
      <c r="D214" s="133"/>
    </row>
    <row r="215" spans="4:4" x14ac:dyDescent="0.3">
      <c r="D215" s="133"/>
    </row>
    <row r="216" spans="4:4" x14ac:dyDescent="0.3">
      <c r="D216" s="133"/>
    </row>
    <row r="217" spans="4:4" x14ac:dyDescent="0.3">
      <c r="D217" s="133"/>
    </row>
    <row r="218" spans="4:4" x14ac:dyDescent="0.3">
      <c r="D218" s="133"/>
    </row>
    <row r="219" spans="4:4" x14ac:dyDescent="0.3">
      <c r="D219" s="133"/>
    </row>
    <row r="220" spans="4:4" x14ac:dyDescent="0.3">
      <c r="D220" s="133"/>
    </row>
    <row r="221" spans="4:4" x14ac:dyDescent="0.3">
      <c r="D221" s="133"/>
    </row>
    <row r="222" spans="4:4" x14ac:dyDescent="0.3">
      <c r="D222" s="133"/>
    </row>
    <row r="223" spans="4:4" x14ac:dyDescent="0.3">
      <c r="D223" s="133"/>
    </row>
    <row r="224" spans="4:4" x14ac:dyDescent="0.3">
      <c r="D224" s="133"/>
    </row>
    <row r="225" spans="4:4" x14ac:dyDescent="0.3">
      <c r="D225" s="133"/>
    </row>
    <row r="226" spans="4:4" x14ac:dyDescent="0.3">
      <c r="D226" s="133"/>
    </row>
    <row r="227" spans="4:4" x14ac:dyDescent="0.3">
      <c r="D227" s="133"/>
    </row>
    <row r="228" spans="4:4" x14ac:dyDescent="0.3">
      <c r="D228" s="133"/>
    </row>
    <row r="229" spans="4:4" x14ac:dyDescent="0.3">
      <c r="D229" s="133"/>
    </row>
    <row r="230" spans="4:4" x14ac:dyDescent="0.3">
      <c r="D230" s="133"/>
    </row>
    <row r="231" spans="4:4" x14ac:dyDescent="0.3">
      <c r="D231" s="133"/>
    </row>
    <row r="232" spans="4:4" x14ac:dyDescent="0.3">
      <c r="D232" s="133"/>
    </row>
    <row r="233" spans="4:4" x14ac:dyDescent="0.3">
      <c r="D233" s="133"/>
    </row>
    <row r="234" spans="4:4" x14ac:dyDescent="0.3">
      <c r="D234" s="133"/>
    </row>
    <row r="235" spans="4:4" x14ac:dyDescent="0.3">
      <c r="D235" s="133"/>
    </row>
    <row r="236" spans="4:4" x14ac:dyDescent="0.3">
      <c r="D236" s="133"/>
    </row>
    <row r="237" spans="4:4" x14ac:dyDescent="0.3">
      <c r="D237" s="133"/>
    </row>
    <row r="238" spans="4:4" x14ac:dyDescent="0.3">
      <c r="D238" s="133"/>
    </row>
    <row r="239" spans="4:4" x14ac:dyDescent="0.3">
      <c r="D239" s="133"/>
    </row>
    <row r="240" spans="4:4" x14ac:dyDescent="0.3">
      <c r="D240" s="133"/>
    </row>
    <row r="241" spans="4:4" x14ac:dyDescent="0.3">
      <c r="D241" s="133"/>
    </row>
    <row r="242" spans="4:4" x14ac:dyDescent="0.3">
      <c r="D242" s="133"/>
    </row>
    <row r="243" spans="4:4" x14ac:dyDescent="0.3">
      <c r="D243" s="133"/>
    </row>
    <row r="244" spans="4:4" x14ac:dyDescent="0.3">
      <c r="D244" s="133"/>
    </row>
    <row r="245" spans="4:4" x14ac:dyDescent="0.3">
      <c r="D245" s="133"/>
    </row>
    <row r="246" spans="4:4" x14ac:dyDescent="0.3">
      <c r="D246" s="133"/>
    </row>
    <row r="247" spans="4:4" x14ac:dyDescent="0.3">
      <c r="D247" s="133"/>
    </row>
    <row r="248" spans="4:4" x14ac:dyDescent="0.3">
      <c r="D248" s="133"/>
    </row>
    <row r="249" spans="4:4" x14ac:dyDescent="0.3">
      <c r="D249" s="133"/>
    </row>
    <row r="250" spans="4:4" x14ac:dyDescent="0.3">
      <c r="D250" s="133"/>
    </row>
    <row r="251" spans="4:4" x14ac:dyDescent="0.3">
      <c r="D251" s="133"/>
    </row>
    <row r="252" spans="4:4" x14ac:dyDescent="0.3">
      <c r="D252" s="133"/>
    </row>
    <row r="253" spans="4:4" x14ac:dyDescent="0.3">
      <c r="D253" s="133"/>
    </row>
    <row r="254" spans="4:4" x14ac:dyDescent="0.3">
      <c r="D254" s="133"/>
    </row>
    <row r="255" spans="4:4" x14ac:dyDescent="0.3">
      <c r="D255" s="133"/>
    </row>
    <row r="256" spans="4:4" x14ac:dyDescent="0.3">
      <c r="D256" s="133"/>
    </row>
    <row r="257" spans="4:4" x14ac:dyDescent="0.3">
      <c r="D257" s="133"/>
    </row>
    <row r="258" spans="4:4" x14ac:dyDescent="0.3">
      <c r="D258" s="133"/>
    </row>
    <row r="259" spans="4:4" x14ac:dyDescent="0.3">
      <c r="D259" s="133"/>
    </row>
    <row r="260" spans="4:4" x14ac:dyDescent="0.3">
      <c r="D260" s="133"/>
    </row>
    <row r="261" spans="4:4" x14ac:dyDescent="0.3">
      <c r="D261" s="133"/>
    </row>
    <row r="262" spans="4:4" x14ac:dyDescent="0.3">
      <c r="D262" s="133"/>
    </row>
    <row r="263" spans="4:4" x14ac:dyDescent="0.3">
      <c r="D263" s="133"/>
    </row>
    <row r="264" spans="4:4" x14ac:dyDescent="0.3">
      <c r="D264" s="133"/>
    </row>
    <row r="265" spans="4:4" x14ac:dyDescent="0.3">
      <c r="D265" s="133"/>
    </row>
    <row r="266" spans="4:4" x14ac:dyDescent="0.3">
      <c r="D266" s="133"/>
    </row>
    <row r="267" spans="4:4" x14ac:dyDescent="0.3">
      <c r="D267" s="133"/>
    </row>
    <row r="268" spans="4:4" x14ac:dyDescent="0.3">
      <c r="D268" s="133"/>
    </row>
    <row r="269" spans="4:4" x14ac:dyDescent="0.3">
      <c r="D269" s="133"/>
    </row>
    <row r="270" spans="4:4" x14ac:dyDescent="0.3">
      <c r="D270" s="133"/>
    </row>
    <row r="271" spans="4:4" x14ac:dyDescent="0.3">
      <c r="D271" s="133"/>
    </row>
    <row r="272" spans="4:4" x14ac:dyDescent="0.3">
      <c r="D272" s="133"/>
    </row>
    <row r="273" spans="4:4" x14ac:dyDescent="0.3">
      <c r="D273" s="133"/>
    </row>
    <row r="274" spans="4:4" x14ac:dyDescent="0.3">
      <c r="D274" s="133"/>
    </row>
    <row r="275" spans="4:4" x14ac:dyDescent="0.3">
      <c r="D275" s="133"/>
    </row>
    <row r="276" spans="4:4" x14ac:dyDescent="0.3">
      <c r="D276" s="133"/>
    </row>
    <row r="277" spans="4:4" x14ac:dyDescent="0.3">
      <c r="D277" s="133"/>
    </row>
    <row r="278" spans="4:4" x14ac:dyDescent="0.3">
      <c r="D278" s="133"/>
    </row>
    <row r="279" spans="4:4" x14ac:dyDescent="0.3">
      <c r="D279" s="133"/>
    </row>
    <row r="280" spans="4:4" x14ac:dyDescent="0.3">
      <c r="D280" s="133"/>
    </row>
    <row r="281" spans="4:4" x14ac:dyDescent="0.3">
      <c r="D281" s="133"/>
    </row>
    <row r="282" spans="4:4" x14ac:dyDescent="0.3">
      <c r="D282" s="133"/>
    </row>
    <row r="283" spans="4:4" x14ac:dyDescent="0.3">
      <c r="D283" s="133"/>
    </row>
    <row r="284" spans="4:4" x14ac:dyDescent="0.3">
      <c r="D284" s="133"/>
    </row>
    <row r="285" spans="4:4" x14ac:dyDescent="0.3">
      <c r="D285" s="133"/>
    </row>
    <row r="286" spans="4:4" x14ac:dyDescent="0.3">
      <c r="D286" s="133"/>
    </row>
    <row r="287" spans="4:4" x14ac:dyDescent="0.3">
      <c r="D287" s="133"/>
    </row>
    <row r="288" spans="4:4" x14ac:dyDescent="0.3">
      <c r="D288" s="133"/>
    </row>
    <row r="289" spans="4:4" x14ac:dyDescent="0.3">
      <c r="D289" s="133"/>
    </row>
    <row r="290" spans="4:4" x14ac:dyDescent="0.3">
      <c r="D290" s="133"/>
    </row>
    <row r="291" spans="4:4" x14ac:dyDescent="0.3">
      <c r="D291" s="133"/>
    </row>
    <row r="292" spans="4:4" x14ac:dyDescent="0.3">
      <c r="D292" s="133"/>
    </row>
    <row r="293" spans="4:4" x14ac:dyDescent="0.3">
      <c r="D293" s="133"/>
    </row>
    <row r="294" spans="4:4" x14ac:dyDescent="0.3">
      <c r="D294" s="133"/>
    </row>
    <row r="295" spans="4:4" x14ac:dyDescent="0.3">
      <c r="D295" s="133"/>
    </row>
    <row r="296" spans="4:4" x14ac:dyDescent="0.3">
      <c r="D296" s="133"/>
    </row>
    <row r="297" spans="4:4" x14ac:dyDescent="0.3">
      <c r="D297" s="133"/>
    </row>
    <row r="298" spans="4:4" x14ac:dyDescent="0.3">
      <c r="D298" s="133"/>
    </row>
    <row r="299" spans="4:4" x14ac:dyDescent="0.3">
      <c r="D299" s="133"/>
    </row>
    <row r="300" spans="4:4" x14ac:dyDescent="0.3">
      <c r="D300" s="133"/>
    </row>
    <row r="301" spans="4:4" x14ac:dyDescent="0.3">
      <c r="D301" s="133"/>
    </row>
    <row r="302" spans="4:4" x14ac:dyDescent="0.3">
      <c r="D302" s="133"/>
    </row>
    <row r="303" spans="4:4" x14ac:dyDescent="0.3">
      <c r="D303" s="133"/>
    </row>
    <row r="304" spans="4:4" x14ac:dyDescent="0.3">
      <c r="D304" s="133"/>
    </row>
    <row r="305" spans="4:4" x14ac:dyDescent="0.3">
      <c r="D305" s="133"/>
    </row>
    <row r="306" spans="4:4" x14ac:dyDescent="0.3">
      <c r="D306" s="133"/>
    </row>
    <row r="307" spans="4:4" x14ac:dyDescent="0.3">
      <c r="D307" s="133"/>
    </row>
    <row r="308" spans="4:4" x14ac:dyDescent="0.3">
      <c r="D308" s="133"/>
    </row>
    <row r="309" spans="4:4" x14ac:dyDescent="0.3">
      <c r="D309" s="133"/>
    </row>
    <row r="310" spans="4:4" x14ac:dyDescent="0.3">
      <c r="D310" s="133"/>
    </row>
    <row r="311" spans="4:4" x14ac:dyDescent="0.3">
      <c r="D311" s="133"/>
    </row>
    <row r="312" spans="4:4" x14ac:dyDescent="0.3">
      <c r="D312" s="133"/>
    </row>
    <row r="313" spans="4:4" x14ac:dyDescent="0.3">
      <c r="D313" s="133"/>
    </row>
    <row r="314" spans="4:4" x14ac:dyDescent="0.3">
      <c r="D314" s="133"/>
    </row>
    <row r="315" spans="4:4" x14ac:dyDescent="0.3">
      <c r="D315" s="133"/>
    </row>
    <row r="316" spans="4:4" x14ac:dyDescent="0.3">
      <c r="D316" s="133"/>
    </row>
    <row r="317" spans="4:4" x14ac:dyDescent="0.3">
      <c r="D317" s="133"/>
    </row>
    <row r="318" spans="4:4" x14ac:dyDescent="0.3">
      <c r="D318" s="133"/>
    </row>
    <row r="319" spans="4:4" x14ac:dyDescent="0.3">
      <c r="D319" s="133"/>
    </row>
    <row r="320" spans="4:4" x14ac:dyDescent="0.3">
      <c r="D320" s="133"/>
    </row>
    <row r="321" spans="4:4" x14ac:dyDescent="0.3">
      <c r="D321" s="133"/>
    </row>
    <row r="322" spans="4:4" x14ac:dyDescent="0.3">
      <c r="D322" s="133"/>
    </row>
    <row r="323" spans="4:4" x14ac:dyDescent="0.3">
      <c r="D323" s="133"/>
    </row>
    <row r="324" spans="4:4" x14ac:dyDescent="0.3">
      <c r="D324" s="133"/>
    </row>
    <row r="325" spans="4:4" x14ac:dyDescent="0.3">
      <c r="D325" s="133"/>
    </row>
    <row r="326" spans="4:4" x14ac:dyDescent="0.3">
      <c r="D326" s="133"/>
    </row>
    <row r="327" spans="4:4" x14ac:dyDescent="0.3">
      <c r="D327" s="133"/>
    </row>
    <row r="328" spans="4:4" x14ac:dyDescent="0.3">
      <c r="D328" s="133"/>
    </row>
    <row r="329" spans="4:4" x14ac:dyDescent="0.3">
      <c r="D329" s="133"/>
    </row>
    <row r="330" spans="4:4" x14ac:dyDescent="0.3">
      <c r="D330" s="133"/>
    </row>
    <row r="331" spans="4:4" x14ac:dyDescent="0.3">
      <c r="D331" s="133"/>
    </row>
    <row r="332" spans="4:4" x14ac:dyDescent="0.3">
      <c r="D332" s="133"/>
    </row>
    <row r="333" spans="4:4" x14ac:dyDescent="0.3">
      <c r="D333" s="133"/>
    </row>
    <row r="334" spans="4:4" x14ac:dyDescent="0.3">
      <c r="D334" s="133"/>
    </row>
    <row r="335" spans="4:4" x14ac:dyDescent="0.3">
      <c r="D335" s="133"/>
    </row>
    <row r="336" spans="4:4" x14ac:dyDescent="0.3">
      <c r="D336" s="133"/>
    </row>
    <row r="337" spans="4:4" x14ac:dyDescent="0.3">
      <c r="D337" s="133"/>
    </row>
    <row r="338" spans="4:4" x14ac:dyDescent="0.3">
      <c r="D338" s="133"/>
    </row>
    <row r="339" spans="4:4" x14ac:dyDescent="0.3">
      <c r="D339" s="133"/>
    </row>
    <row r="340" spans="4:4" x14ac:dyDescent="0.3">
      <c r="D340" s="133"/>
    </row>
    <row r="341" spans="4:4" x14ac:dyDescent="0.3">
      <c r="D341" s="133"/>
    </row>
    <row r="342" spans="4:4" x14ac:dyDescent="0.3">
      <c r="D342" s="133"/>
    </row>
    <row r="343" spans="4:4" x14ac:dyDescent="0.3">
      <c r="D343" s="133"/>
    </row>
    <row r="344" spans="4:4" x14ac:dyDescent="0.3">
      <c r="D344" s="133"/>
    </row>
    <row r="345" spans="4:4" x14ac:dyDescent="0.3">
      <c r="D345" s="133"/>
    </row>
    <row r="346" spans="4:4" x14ac:dyDescent="0.3">
      <c r="D346" s="133"/>
    </row>
    <row r="347" spans="4:4" x14ac:dyDescent="0.3">
      <c r="D347" s="133"/>
    </row>
    <row r="348" spans="4:4" x14ac:dyDescent="0.3">
      <c r="D348" s="133"/>
    </row>
    <row r="349" spans="4:4" x14ac:dyDescent="0.3">
      <c r="D349" s="133"/>
    </row>
    <row r="350" spans="4:4" x14ac:dyDescent="0.3">
      <c r="D350" s="133"/>
    </row>
    <row r="351" spans="4:4" x14ac:dyDescent="0.3">
      <c r="D351" s="133"/>
    </row>
    <row r="352" spans="4:4" x14ac:dyDescent="0.3">
      <c r="D352" s="133"/>
    </row>
    <row r="353" spans="4:4" x14ac:dyDescent="0.3">
      <c r="D353" s="133"/>
    </row>
    <row r="354" spans="4:4" x14ac:dyDescent="0.3">
      <c r="D354" s="133"/>
    </row>
    <row r="355" spans="4:4" x14ac:dyDescent="0.3">
      <c r="D355" s="133"/>
    </row>
    <row r="356" spans="4:4" x14ac:dyDescent="0.3">
      <c r="D356" s="133"/>
    </row>
    <row r="357" spans="4:4" x14ac:dyDescent="0.3">
      <c r="D357" s="133"/>
    </row>
    <row r="358" spans="4:4" x14ac:dyDescent="0.3">
      <c r="D358" s="133"/>
    </row>
    <row r="359" spans="4:4" x14ac:dyDescent="0.3">
      <c r="D359" s="133"/>
    </row>
    <row r="360" spans="4:4" x14ac:dyDescent="0.3">
      <c r="D360" s="133"/>
    </row>
    <row r="361" spans="4:4" x14ac:dyDescent="0.3">
      <c r="D361" s="133"/>
    </row>
    <row r="362" spans="4:4" x14ac:dyDescent="0.3">
      <c r="D362" s="133"/>
    </row>
    <row r="363" spans="4:4" x14ac:dyDescent="0.3">
      <c r="D363" s="133"/>
    </row>
    <row r="364" spans="4:4" x14ac:dyDescent="0.3">
      <c r="D364" s="133"/>
    </row>
    <row r="365" spans="4:4" x14ac:dyDescent="0.3">
      <c r="D365" s="133"/>
    </row>
    <row r="366" spans="4:4" x14ac:dyDescent="0.3">
      <c r="D366" s="133"/>
    </row>
    <row r="367" spans="4:4" x14ac:dyDescent="0.3">
      <c r="D367" s="133"/>
    </row>
    <row r="368" spans="4:4" x14ac:dyDescent="0.3">
      <c r="D368" s="133"/>
    </row>
    <row r="369" spans="4:4" x14ac:dyDescent="0.3">
      <c r="D369" s="133"/>
    </row>
    <row r="370" spans="4:4" x14ac:dyDescent="0.3">
      <c r="D370" s="133"/>
    </row>
    <row r="371" spans="4:4" x14ac:dyDescent="0.3">
      <c r="D371" s="133"/>
    </row>
    <row r="372" spans="4:4" x14ac:dyDescent="0.3">
      <c r="D372" s="133"/>
    </row>
    <row r="373" spans="4:4" x14ac:dyDescent="0.3">
      <c r="D373" s="133"/>
    </row>
    <row r="374" spans="4:4" x14ac:dyDescent="0.3">
      <c r="D374" s="133"/>
    </row>
    <row r="375" spans="4:4" x14ac:dyDescent="0.3">
      <c r="D375" s="133"/>
    </row>
    <row r="376" spans="4:4" x14ac:dyDescent="0.3">
      <c r="D376" s="133"/>
    </row>
    <row r="377" spans="4:4" x14ac:dyDescent="0.3">
      <c r="D377" s="133"/>
    </row>
    <row r="378" spans="4:4" x14ac:dyDescent="0.3">
      <c r="D378" s="133"/>
    </row>
    <row r="379" spans="4:4" x14ac:dyDescent="0.3">
      <c r="D379" s="133"/>
    </row>
    <row r="380" spans="4:4" x14ac:dyDescent="0.3">
      <c r="D380" s="133"/>
    </row>
    <row r="381" spans="4:4" x14ac:dyDescent="0.3">
      <c r="D381" s="133"/>
    </row>
    <row r="382" spans="4:4" x14ac:dyDescent="0.3">
      <c r="D382" s="133"/>
    </row>
    <row r="383" spans="4:4" x14ac:dyDescent="0.3">
      <c r="D383" s="133"/>
    </row>
    <row r="384" spans="4:4" x14ac:dyDescent="0.3">
      <c r="D384" s="133"/>
    </row>
    <row r="385" spans="4:4" x14ac:dyDescent="0.3">
      <c r="D385" s="133"/>
    </row>
    <row r="386" spans="4:4" x14ac:dyDescent="0.3">
      <c r="D386" s="133"/>
    </row>
    <row r="387" spans="4:4" x14ac:dyDescent="0.3">
      <c r="D387" s="133"/>
    </row>
    <row r="388" spans="4:4" x14ac:dyDescent="0.3">
      <c r="D388" s="133"/>
    </row>
    <row r="389" spans="4:4" x14ac:dyDescent="0.3">
      <c r="D389" s="133"/>
    </row>
    <row r="390" spans="4:4" x14ac:dyDescent="0.3">
      <c r="D390" s="133"/>
    </row>
    <row r="391" spans="4:4" x14ac:dyDescent="0.3">
      <c r="D391" s="133"/>
    </row>
    <row r="392" spans="4:4" x14ac:dyDescent="0.3">
      <c r="D392" s="133"/>
    </row>
    <row r="393" spans="4:4" x14ac:dyDescent="0.3">
      <c r="D393" s="133"/>
    </row>
    <row r="394" spans="4:4" x14ac:dyDescent="0.3">
      <c r="D394" s="133"/>
    </row>
    <row r="395" spans="4:4" x14ac:dyDescent="0.3">
      <c r="D395" s="133"/>
    </row>
    <row r="396" spans="4:4" x14ac:dyDescent="0.3">
      <c r="D396" s="133"/>
    </row>
    <row r="397" spans="4:4" x14ac:dyDescent="0.3">
      <c r="D397" s="133"/>
    </row>
    <row r="398" spans="4:4" x14ac:dyDescent="0.3">
      <c r="D398" s="133"/>
    </row>
    <row r="399" spans="4:4" x14ac:dyDescent="0.3">
      <c r="D399" s="133"/>
    </row>
    <row r="400" spans="4:4" x14ac:dyDescent="0.3">
      <c r="D400" s="133"/>
    </row>
    <row r="401" spans="4:4" x14ac:dyDescent="0.3">
      <c r="D401" s="133"/>
    </row>
    <row r="402" spans="4:4" x14ac:dyDescent="0.3">
      <c r="D402" s="133"/>
    </row>
    <row r="403" spans="4:4" x14ac:dyDescent="0.3">
      <c r="D403" s="133"/>
    </row>
    <row r="404" spans="4:4" x14ac:dyDescent="0.3">
      <c r="D404" s="133"/>
    </row>
    <row r="405" spans="4:4" x14ac:dyDescent="0.3">
      <c r="D405" s="133"/>
    </row>
    <row r="406" spans="4:4" x14ac:dyDescent="0.3">
      <c r="D406" s="133"/>
    </row>
    <row r="407" spans="4:4" x14ac:dyDescent="0.3">
      <c r="D407" s="133"/>
    </row>
    <row r="408" spans="4:4" x14ac:dyDescent="0.3">
      <c r="D408" s="133"/>
    </row>
    <row r="409" spans="4:4" x14ac:dyDescent="0.3">
      <c r="D409" s="133"/>
    </row>
    <row r="410" spans="4:4" x14ac:dyDescent="0.3">
      <c r="D410" s="133"/>
    </row>
    <row r="411" spans="4:4" x14ac:dyDescent="0.3">
      <c r="D411" s="133"/>
    </row>
    <row r="412" spans="4:4" x14ac:dyDescent="0.3">
      <c r="D412" s="133"/>
    </row>
    <row r="413" spans="4:4" x14ac:dyDescent="0.3">
      <c r="D413" s="133"/>
    </row>
    <row r="414" spans="4:4" x14ac:dyDescent="0.3">
      <c r="D414" s="133"/>
    </row>
    <row r="415" spans="4:4" x14ac:dyDescent="0.3">
      <c r="D415" s="133"/>
    </row>
    <row r="416" spans="4:4" x14ac:dyDescent="0.3">
      <c r="D416" s="133"/>
    </row>
    <row r="417" spans="4:4" x14ac:dyDescent="0.3">
      <c r="D417" s="133"/>
    </row>
    <row r="418" spans="4:4" x14ac:dyDescent="0.3">
      <c r="D418" s="133"/>
    </row>
    <row r="419" spans="4:4" x14ac:dyDescent="0.3">
      <c r="D419" s="133"/>
    </row>
    <row r="420" spans="4:4" x14ac:dyDescent="0.3">
      <c r="D420" s="133"/>
    </row>
    <row r="421" spans="4:4" x14ac:dyDescent="0.3">
      <c r="D421" s="133"/>
    </row>
    <row r="422" spans="4:4" x14ac:dyDescent="0.3">
      <c r="D422" s="133"/>
    </row>
    <row r="423" spans="4:4" x14ac:dyDescent="0.3">
      <c r="D423" s="133"/>
    </row>
    <row r="424" spans="4:4" x14ac:dyDescent="0.3">
      <c r="D424" s="133"/>
    </row>
    <row r="425" spans="4:4" x14ac:dyDescent="0.3">
      <c r="D425" s="133"/>
    </row>
    <row r="426" spans="4:4" x14ac:dyDescent="0.3">
      <c r="D426" s="133"/>
    </row>
    <row r="427" spans="4:4" x14ac:dyDescent="0.3">
      <c r="D427" s="133"/>
    </row>
    <row r="428" spans="4:4" x14ac:dyDescent="0.3">
      <c r="D428" s="133"/>
    </row>
    <row r="429" spans="4:4" x14ac:dyDescent="0.3">
      <c r="D429" s="133"/>
    </row>
    <row r="430" spans="4:4" x14ac:dyDescent="0.3">
      <c r="D430" s="133"/>
    </row>
    <row r="431" spans="4:4" x14ac:dyDescent="0.3">
      <c r="D431" s="133"/>
    </row>
    <row r="432" spans="4:4" x14ac:dyDescent="0.3">
      <c r="D432" s="133"/>
    </row>
    <row r="433" spans="4:4" x14ac:dyDescent="0.3">
      <c r="D433" s="133"/>
    </row>
    <row r="434" spans="4:4" x14ac:dyDescent="0.3">
      <c r="D434" s="133"/>
    </row>
    <row r="435" spans="4:4" x14ac:dyDescent="0.3">
      <c r="D435" s="133"/>
    </row>
    <row r="436" spans="4:4" x14ac:dyDescent="0.3">
      <c r="D436" s="133"/>
    </row>
    <row r="437" spans="4:4" x14ac:dyDescent="0.3">
      <c r="D437" s="133"/>
    </row>
    <row r="438" spans="4:4" x14ac:dyDescent="0.3">
      <c r="D438" s="133"/>
    </row>
    <row r="439" spans="4:4" x14ac:dyDescent="0.3">
      <c r="D439" s="133"/>
    </row>
    <row r="440" spans="4:4" x14ac:dyDescent="0.3">
      <c r="D440" s="133"/>
    </row>
    <row r="441" spans="4:4" x14ac:dyDescent="0.3">
      <c r="D441" s="133"/>
    </row>
    <row r="442" spans="4:4" x14ac:dyDescent="0.3">
      <c r="D442" s="133"/>
    </row>
    <row r="443" spans="4:4" x14ac:dyDescent="0.3">
      <c r="D443" s="133"/>
    </row>
    <row r="444" spans="4:4" x14ac:dyDescent="0.3">
      <c r="D444" s="133"/>
    </row>
    <row r="445" spans="4:4" x14ac:dyDescent="0.3">
      <c r="D445" s="133"/>
    </row>
    <row r="446" spans="4:4" x14ac:dyDescent="0.3">
      <c r="D446" s="133"/>
    </row>
    <row r="447" spans="4:4" x14ac:dyDescent="0.3">
      <c r="D447" s="133"/>
    </row>
    <row r="448" spans="4:4" x14ac:dyDescent="0.3">
      <c r="D448" s="133"/>
    </row>
    <row r="449" spans="4:4" x14ac:dyDescent="0.3">
      <c r="D449" s="133"/>
    </row>
    <row r="450" spans="4:4" x14ac:dyDescent="0.3">
      <c r="D450" s="133"/>
    </row>
    <row r="451" spans="4:4" x14ac:dyDescent="0.3">
      <c r="D451" s="133"/>
    </row>
    <row r="452" spans="4:4" x14ac:dyDescent="0.3">
      <c r="D452" s="133"/>
    </row>
    <row r="453" spans="4:4" x14ac:dyDescent="0.3">
      <c r="D453" s="133"/>
    </row>
    <row r="454" spans="4:4" x14ac:dyDescent="0.3">
      <c r="D454" s="133"/>
    </row>
    <row r="455" spans="4:4" x14ac:dyDescent="0.3">
      <c r="D455" s="133"/>
    </row>
    <row r="456" spans="4:4" x14ac:dyDescent="0.3">
      <c r="D456" s="133"/>
    </row>
    <row r="457" spans="4:4" x14ac:dyDescent="0.3">
      <c r="D457" s="133"/>
    </row>
    <row r="458" spans="4:4" x14ac:dyDescent="0.3">
      <c r="D458" s="133"/>
    </row>
    <row r="459" spans="4:4" x14ac:dyDescent="0.3">
      <c r="D459" s="133"/>
    </row>
    <row r="460" spans="4:4" x14ac:dyDescent="0.3">
      <c r="D460" s="133"/>
    </row>
    <row r="461" spans="4:4" x14ac:dyDescent="0.3">
      <c r="D461" s="133"/>
    </row>
    <row r="462" spans="4:4" x14ac:dyDescent="0.3">
      <c r="D462" s="133"/>
    </row>
    <row r="463" spans="4:4" x14ac:dyDescent="0.3">
      <c r="D463" s="133"/>
    </row>
    <row r="464" spans="4:4" x14ac:dyDescent="0.3">
      <c r="D464" s="133"/>
    </row>
    <row r="465" spans="4:4" x14ac:dyDescent="0.3">
      <c r="D465" s="133"/>
    </row>
    <row r="466" spans="4:4" x14ac:dyDescent="0.3">
      <c r="D466" s="133"/>
    </row>
    <row r="467" spans="4:4" x14ac:dyDescent="0.3">
      <c r="D467" s="133"/>
    </row>
    <row r="468" spans="4:4" x14ac:dyDescent="0.3">
      <c r="D468" s="133"/>
    </row>
    <row r="469" spans="4:4" x14ac:dyDescent="0.3">
      <c r="D469" s="133"/>
    </row>
    <row r="470" spans="4:4" x14ac:dyDescent="0.3">
      <c r="D470" s="133"/>
    </row>
    <row r="471" spans="4:4" x14ac:dyDescent="0.3">
      <c r="D471" s="133"/>
    </row>
    <row r="472" spans="4:4" x14ac:dyDescent="0.3">
      <c r="D472" s="133"/>
    </row>
    <row r="473" spans="4:4" x14ac:dyDescent="0.3">
      <c r="D473" s="133"/>
    </row>
    <row r="474" spans="4:4" x14ac:dyDescent="0.3">
      <c r="D474" s="133"/>
    </row>
    <row r="475" spans="4:4" x14ac:dyDescent="0.3">
      <c r="D475" s="133"/>
    </row>
    <row r="476" spans="4:4" x14ac:dyDescent="0.3">
      <c r="D476" s="133"/>
    </row>
    <row r="477" spans="4:4" x14ac:dyDescent="0.3">
      <c r="D477" s="133"/>
    </row>
    <row r="478" spans="4:4" x14ac:dyDescent="0.3">
      <c r="D478" s="133"/>
    </row>
    <row r="479" spans="4:4" x14ac:dyDescent="0.3">
      <c r="D479" s="133"/>
    </row>
    <row r="480" spans="4:4" x14ac:dyDescent="0.3">
      <c r="D480" s="133"/>
    </row>
    <row r="481" spans="4:4" x14ac:dyDescent="0.3">
      <c r="D481" s="133"/>
    </row>
    <row r="482" spans="4:4" x14ac:dyDescent="0.3">
      <c r="D482" s="133"/>
    </row>
    <row r="483" spans="4:4" x14ac:dyDescent="0.3">
      <c r="D483" s="133"/>
    </row>
    <row r="484" spans="4:4" x14ac:dyDescent="0.3">
      <c r="D484" s="133"/>
    </row>
    <row r="485" spans="4:4" x14ac:dyDescent="0.3">
      <c r="D485" s="133"/>
    </row>
    <row r="486" spans="4:4" x14ac:dyDescent="0.3">
      <c r="D486" s="133"/>
    </row>
    <row r="487" spans="4:4" x14ac:dyDescent="0.3">
      <c r="D487" s="133"/>
    </row>
    <row r="488" spans="4:4" x14ac:dyDescent="0.3">
      <c r="D488" s="133"/>
    </row>
    <row r="489" spans="4:4" x14ac:dyDescent="0.3">
      <c r="D489" s="133"/>
    </row>
    <row r="490" spans="4:4" x14ac:dyDescent="0.3">
      <c r="D490" s="133"/>
    </row>
    <row r="491" spans="4:4" x14ac:dyDescent="0.3">
      <c r="D491" s="133"/>
    </row>
    <row r="492" spans="4:4" x14ac:dyDescent="0.3">
      <c r="D492" s="133"/>
    </row>
    <row r="493" spans="4:4" x14ac:dyDescent="0.3">
      <c r="D493" s="133"/>
    </row>
    <row r="494" spans="4:4" x14ac:dyDescent="0.3">
      <c r="D494" s="133"/>
    </row>
    <row r="495" spans="4:4" x14ac:dyDescent="0.3">
      <c r="D495" s="133"/>
    </row>
    <row r="496" spans="4:4" x14ac:dyDescent="0.3">
      <c r="D496" s="133"/>
    </row>
    <row r="497" spans="4:4" x14ac:dyDescent="0.3">
      <c r="D497" s="133"/>
    </row>
    <row r="498" spans="4:4" x14ac:dyDescent="0.3">
      <c r="D498" s="133"/>
    </row>
    <row r="499" spans="4:4" x14ac:dyDescent="0.3">
      <c r="D499" s="133"/>
    </row>
    <row r="500" spans="4:4" x14ac:dyDescent="0.3">
      <c r="D500" s="133"/>
    </row>
    <row r="501" spans="4:4" x14ac:dyDescent="0.3">
      <c r="D501" s="133"/>
    </row>
    <row r="502" spans="4:4" x14ac:dyDescent="0.3">
      <c r="D502" s="133"/>
    </row>
    <row r="503" spans="4:4" x14ac:dyDescent="0.3">
      <c r="D503" s="133"/>
    </row>
    <row r="504" spans="4:4" x14ac:dyDescent="0.3">
      <c r="D504" s="133"/>
    </row>
    <row r="505" spans="4:4" x14ac:dyDescent="0.3">
      <c r="D505" s="133"/>
    </row>
    <row r="506" spans="4:4" x14ac:dyDescent="0.3">
      <c r="D506" s="133"/>
    </row>
    <row r="507" spans="4:4" x14ac:dyDescent="0.3">
      <c r="D507" s="133"/>
    </row>
    <row r="508" spans="4:4" x14ac:dyDescent="0.3">
      <c r="D508" s="133"/>
    </row>
    <row r="509" spans="4:4" x14ac:dyDescent="0.3">
      <c r="D509" s="133"/>
    </row>
    <row r="510" spans="4:4" x14ac:dyDescent="0.3">
      <c r="D510" s="133"/>
    </row>
    <row r="511" spans="4:4" x14ac:dyDescent="0.3">
      <c r="D511" s="133"/>
    </row>
    <row r="512" spans="4:4" x14ac:dyDescent="0.3">
      <c r="D512" s="133"/>
    </row>
    <row r="513" spans="4:4" x14ac:dyDescent="0.3">
      <c r="D513" s="133"/>
    </row>
    <row r="514" spans="4:4" x14ac:dyDescent="0.3">
      <c r="D514" s="133"/>
    </row>
    <row r="515" spans="4:4" x14ac:dyDescent="0.3">
      <c r="D515" s="133"/>
    </row>
    <row r="516" spans="4:4" x14ac:dyDescent="0.3">
      <c r="D516" s="133"/>
    </row>
    <row r="517" spans="4:4" x14ac:dyDescent="0.3">
      <c r="D517" s="133"/>
    </row>
    <row r="518" spans="4:4" x14ac:dyDescent="0.3">
      <c r="D518" s="133"/>
    </row>
    <row r="519" spans="4:4" x14ac:dyDescent="0.3">
      <c r="D519" s="133"/>
    </row>
    <row r="520" spans="4:4" x14ac:dyDescent="0.3">
      <c r="D520" s="133"/>
    </row>
    <row r="521" spans="4:4" x14ac:dyDescent="0.3">
      <c r="D521" s="133"/>
    </row>
    <row r="522" spans="4:4" x14ac:dyDescent="0.3">
      <c r="D522" s="133"/>
    </row>
    <row r="523" spans="4:4" x14ac:dyDescent="0.3">
      <c r="D523" s="133"/>
    </row>
    <row r="524" spans="4:4" x14ac:dyDescent="0.3">
      <c r="D524" s="133"/>
    </row>
    <row r="525" spans="4:4" x14ac:dyDescent="0.3">
      <c r="D525" s="133"/>
    </row>
    <row r="526" spans="4:4" x14ac:dyDescent="0.3">
      <c r="D526" s="133"/>
    </row>
    <row r="527" spans="4:4" x14ac:dyDescent="0.3">
      <c r="D527" s="133"/>
    </row>
    <row r="528" spans="4:4" x14ac:dyDescent="0.3">
      <c r="D528" s="133"/>
    </row>
    <row r="529" spans="4:4" x14ac:dyDescent="0.3">
      <c r="D529" s="133"/>
    </row>
    <row r="530" spans="4:4" x14ac:dyDescent="0.3">
      <c r="D530" s="133"/>
    </row>
    <row r="531" spans="4:4" x14ac:dyDescent="0.3">
      <c r="D531" s="133"/>
    </row>
    <row r="532" spans="4:4" x14ac:dyDescent="0.3">
      <c r="D532" s="133"/>
    </row>
    <row r="533" spans="4:4" x14ac:dyDescent="0.3">
      <c r="D533" s="133"/>
    </row>
    <row r="534" spans="4:4" x14ac:dyDescent="0.3">
      <c r="D534" s="133"/>
    </row>
    <row r="535" spans="4:4" x14ac:dyDescent="0.3">
      <c r="D535" s="133"/>
    </row>
    <row r="536" spans="4:4" x14ac:dyDescent="0.3">
      <c r="D536" s="133"/>
    </row>
    <row r="537" spans="4:4" x14ac:dyDescent="0.3">
      <c r="D537" s="133"/>
    </row>
    <row r="538" spans="4:4" x14ac:dyDescent="0.3">
      <c r="D538" s="133"/>
    </row>
    <row r="539" spans="4:4" x14ac:dyDescent="0.3">
      <c r="D539" s="133"/>
    </row>
    <row r="540" spans="4:4" x14ac:dyDescent="0.3">
      <c r="D540" s="133"/>
    </row>
    <row r="541" spans="4:4" x14ac:dyDescent="0.3">
      <c r="D541" s="133"/>
    </row>
    <row r="542" spans="4:4" x14ac:dyDescent="0.3">
      <c r="D542" s="133"/>
    </row>
    <row r="543" spans="4:4" x14ac:dyDescent="0.3">
      <c r="D543" s="133"/>
    </row>
  </sheetData>
  <conditionalFormatting sqref="A1:M1048576">
    <cfRule type="expression" dxfId="180" priority="19" stopIfTrue="1">
      <formula>AND(($E1=0),NOT(ISBLANK($E1)))</formula>
    </cfRule>
  </conditionalFormatting>
  <pageMargins left="0.7" right="0.7" top="0.75" bottom="0.75" header="0.3" footer="0.3"/>
  <ignoredErrors>
    <ignoredError sqref="D40" numberStoredAsText="1"/>
  </ignoredErrors>
  <extLst>
    <ext xmlns:x14="http://schemas.microsoft.com/office/spreadsheetml/2009/9/main" uri="{78C0D931-6437-407d-A8EE-F0AAD7539E65}">
      <x14:conditionalFormattings>
        <x14:conditionalFormatting xmlns:xm="http://schemas.microsoft.com/office/excel/2006/main">
          <x14:cfRule type="expression" priority="1" id="{522B9B79-A293-446E-BD09-BAEDE5065918}">
            <xm:f>$K1=FilterSpecs!$F$13</xm:f>
            <x14:dxf>
              <font>
                <b/>
                <i val="0"/>
                <color theme="0"/>
              </font>
              <fill>
                <patternFill>
                  <bgColor theme="9" tint="-0.499984740745262"/>
                </patternFill>
              </fill>
            </x14:dxf>
          </x14:cfRule>
          <x14:cfRule type="expression" priority="2" id="{6F87E03C-BA00-42F1-B2E9-F05281497D35}">
            <xm:f>$K1=FilterSpecs!$F$12</xm:f>
            <x14:dxf>
              <font>
                <b/>
                <i val="0"/>
                <color theme="0"/>
              </font>
              <fill>
                <patternFill>
                  <bgColor rgb="FFFF4F4F"/>
                </patternFill>
              </fill>
            </x14:dxf>
          </x14:cfRule>
          <x14:cfRule type="expression" priority="18" id="{121C7119-C3C7-4BAE-96E8-F0F1DFA1876B}">
            <xm:f>$K1=FilterSpecs!$F$9</xm:f>
            <x14:dxf>
              <font>
                <b/>
                <i val="0"/>
                <color theme="0"/>
              </font>
              <fill>
                <patternFill>
                  <bgColor rgb="FFFF0000"/>
                </patternFill>
              </fill>
            </x14:dxf>
          </x14:cfRule>
          <x14:cfRule type="expression" priority="21" id="{2822D87F-0E65-403A-91E0-1A3CD53EE201}">
            <xm:f>$K1=FilterSpecs!$F$8</xm:f>
            <x14:dxf>
              <font>
                <b/>
                <i val="0"/>
                <color theme="0"/>
              </font>
              <fill>
                <patternFill>
                  <bgColor rgb="FFFFC000"/>
                </patternFill>
              </fill>
            </x14:dxf>
          </x14:cfRule>
          <x14:cfRule type="expression" priority="22" id="{968477E6-490D-49F9-BF66-6C2EEC3FD84D}">
            <xm:f>$K1=FilterSpecs!$F$7</xm:f>
            <x14:dxf>
              <font>
                <b/>
                <i val="0"/>
                <color theme="0"/>
              </font>
              <fill>
                <patternFill>
                  <bgColor rgb="FF00B0F0"/>
                </patternFill>
              </fill>
            </x14:dxf>
          </x14:cfRule>
          <x14:cfRule type="expression" priority="23" id="{ADE3BC77-1103-42A6-AE2C-C3516C6E8608}">
            <xm:f>$K1=FilterSpecs!$F$10</xm:f>
            <x14:dxf>
              <font>
                <b/>
                <i val="0"/>
                <color theme="0"/>
              </font>
              <fill>
                <patternFill>
                  <bgColor rgb="FF002060"/>
                </patternFill>
              </fill>
            </x14:dxf>
          </x14:cfRule>
          <xm:sqref>A1:M1048576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E7390-C7A4-4915-B52B-31F3C8D2B19A}">
  <sheetPr codeName="Sheet19"/>
  <dimension ref="C3:J18"/>
  <sheetViews>
    <sheetView workbookViewId="0">
      <selection activeCell="G17" sqref="G17"/>
    </sheetView>
  </sheetViews>
  <sheetFormatPr defaultRowHeight="14.4" x14ac:dyDescent="0.3"/>
  <sheetData>
    <row r="3" spans="3:10" x14ac:dyDescent="0.3">
      <c r="C3" s="12" t="s">
        <v>2547</v>
      </c>
    </row>
    <row r="11" spans="3:10" x14ac:dyDescent="0.3">
      <c r="F11" t="str">
        <f>CSVparse($C$3,F11)</f>
        <v>2217.4135</v>
      </c>
    </row>
    <row r="12" spans="3:10" ht="28.8" x14ac:dyDescent="0.3">
      <c r="F12" t="str">
        <f>CSVparse(C4,F12)</f>
        <v/>
      </c>
      <c r="G12">
        <f>CSVitems(C3,",")</f>
        <v>1247</v>
      </c>
      <c r="H12">
        <f t="shared" ref="H12:J12" si="0">CSVitems(D3,",")</f>
        <v>-1</v>
      </c>
      <c r="I12">
        <f t="shared" si="0"/>
        <v>-1</v>
      </c>
      <c r="J12">
        <f t="shared" si="0"/>
        <v>-1</v>
      </c>
    </row>
    <row r="13" spans="3:10" x14ac:dyDescent="0.3">
      <c r="F13" t="str">
        <f>CSVparse(C5,F13)</f>
        <v/>
      </c>
      <c r="G13">
        <f t="shared" ref="G13:G15" si="1">CSVitems(C4,",")</f>
        <v>-1</v>
      </c>
    </row>
    <row r="14" spans="3:10" ht="28.8" x14ac:dyDescent="0.3">
      <c r="F14" t="str">
        <f>CSVparse(C6,F14)</f>
        <v/>
      </c>
      <c r="G14">
        <f t="shared" si="1"/>
        <v>-1</v>
      </c>
    </row>
    <row r="15" spans="3:10" ht="28.8" x14ac:dyDescent="0.3">
      <c r="F15" t="str">
        <f>CSVparse(C7,F15)</f>
        <v/>
      </c>
      <c r="G15">
        <f t="shared" si="1"/>
        <v>-1</v>
      </c>
    </row>
    <row r="16" spans="3:10" ht="28.8" x14ac:dyDescent="0.3">
      <c r="F16" t="str">
        <f t="shared" ref="F16:F17" si="2">CSVparse(C8,F16)</f>
        <v/>
      </c>
      <c r="G16">
        <f t="shared" ref="G16:G18" si="3">CSVitems(C7,",")</f>
        <v>-1</v>
      </c>
    </row>
    <row r="17" spans="6:7" ht="28.8" x14ac:dyDescent="0.3">
      <c r="F17" t="str">
        <f t="shared" si="2"/>
        <v/>
      </c>
      <c r="G17">
        <f t="shared" si="3"/>
        <v>-1</v>
      </c>
    </row>
    <row r="18" spans="6:7" x14ac:dyDescent="0.3">
      <c r="G18">
        <f t="shared" si="3"/>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43B09-89E6-490C-B9B5-AC888990A8FE}">
  <sheetPr codeName="Sheet14"/>
  <dimension ref="A1:L47"/>
  <sheetViews>
    <sheetView workbookViewId="0">
      <selection activeCell="H5" sqref="H5"/>
    </sheetView>
  </sheetViews>
  <sheetFormatPr defaultRowHeight="14.4" x14ac:dyDescent="0.3"/>
  <cols>
    <col min="1" max="1" width="33.109375" customWidth="1"/>
    <col min="2" max="2" width="27.77734375" bestFit="1" customWidth="1"/>
    <col min="3" max="3" width="9.6640625" bestFit="1" customWidth="1"/>
    <col min="5" max="5" width="8.77734375" customWidth="1"/>
    <col min="6" max="7" width="8.88671875" hidden="1" customWidth="1"/>
    <col min="8" max="8" width="52.88671875" customWidth="1"/>
    <col min="9" max="9" width="8.88671875" hidden="1" customWidth="1"/>
    <col min="11" max="11" width="83.6640625" customWidth="1"/>
    <col min="12" max="12" width="16.5546875" customWidth="1"/>
  </cols>
  <sheetData>
    <row r="1" spans="2:12" x14ac:dyDescent="0.3">
      <c r="B1" s="49" t="s">
        <v>163</v>
      </c>
      <c r="C1" t="s">
        <v>7</v>
      </c>
      <c r="D1" s="12" t="s">
        <v>25</v>
      </c>
      <c r="E1" s="12" t="s">
        <v>26</v>
      </c>
      <c r="F1" s="12" t="s">
        <v>27</v>
      </c>
      <c r="G1" s="12" t="s">
        <v>28</v>
      </c>
      <c r="H1" s="12" t="s">
        <v>29</v>
      </c>
      <c r="I1" s="12" t="s">
        <v>30</v>
      </c>
      <c r="J1" s="12" t="s">
        <v>31</v>
      </c>
    </row>
    <row r="2" spans="2:12" x14ac:dyDescent="0.3">
      <c r="B2" t="s">
        <v>1292</v>
      </c>
      <c r="C2" t="s">
        <v>8</v>
      </c>
      <c r="D2" s="12" t="s">
        <v>1201</v>
      </c>
      <c r="E2" s="12">
        <v>1</v>
      </c>
      <c r="F2" s="12" t="s">
        <v>1202</v>
      </c>
      <c r="G2" s="12" t="s">
        <v>1203</v>
      </c>
      <c r="H2" s="12" t="s">
        <v>1204</v>
      </c>
      <c r="I2" s="12">
        <v>1</v>
      </c>
      <c r="J2" s="12">
        <v>59.95</v>
      </c>
      <c r="L2">
        <f>E2*J2</f>
        <v>59.95</v>
      </c>
    </row>
    <row r="3" spans="2:12" x14ac:dyDescent="0.3">
      <c r="B3" t="s">
        <v>1292</v>
      </c>
      <c r="C3" t="s">
        <v>8</v>
      </c>
      <c r="D3" s="12" t="s">
        <v>1193</v>
      </c>
      <c r="E3" s="12">
        <v>1</v>
      </c>
      <c r="F3" s="12" t="s">
        <v>1194</v>
      </c>
      <c r="G3" s="12" t="s">
        <v>1195</v>
      </c>
      <c r="H3" s="12" t="s">
        <v>1196</v>
      </c>
      <c r="I3" s="12">
        <v>1</v>
      </c>
      <c r="J3" s="12">
        <v>29.95</v>
      </c>
      <c r="L3">
        <f t="shared" ref="L3:L27" si="0">E3*J3</f>
        <v>29.95</v>
      </c>
    </row>
    <row r="4" spans="2:12" x14ac:dyDescent="0.3">
      <c r="B4" t="s">
        <v>1292</v>
      </c>
      <c r="C4" t="s">
        <v>8</v>
      </c>
      <c r="D4" s="12" t="s">
        <v>1216</v>
      </c>
      <c r="E4" s="12">
        <v>1</v>
      </c>
      <c r="F4" s="12" t="s">
        <v>1217</v>
      </c>
      <c r="G4" s="12" t="s">
        <v>1218</v>
      </c>
      <c r="H4" s="12" t="s">
        <v>1219</v>
      </c>
      <c r="I4" s="12">
        <v>1</v>
      </c>
      <c r="J4" s="12">
        <v>5.95</v>
      </c>
      <c r="L4">
        <f t="shared" si="0"/>
        <v>5.95</v>
      </c>
    </row>
    <row r="5" spans="2:12" x14ac:dyDescent="0.3">
      <c r="B5" t="s">
        <v>1292</v>
      </c>
      <c r="C5" t="s">
        <v>8</v>
      </c>
      <c r="D5" s="12" t="s">
        <v>1220</v>
      </c>
      <c r="E5" s="12">
        <v>1</v>
      </c>
      <c r="F5" s="12" t="s">
        <v>1221</v>
      </c>
      <c r="G5" s="12" t="s">
        <v>1222</v>
      </c>
      <c r="H5" s="12" t="s">
        <v>1223</v>
      </c>
      <c r="I5" s="12">
        <v>1</v>
      </c>
      <c r="J5" s="12">
        <v>14.95</v>
      </c>
      <c r="L5">
        <f t="shared" si="0"/>
        <v>14.95</v>
      </c>
    </row>
    <row r="6" spans="2:12" x14ac:dyDescent="0.3">
      <c r="B6" t="s">
        <v>1292</v>
      </c>
      <c r="C6" t="s">
        <v>8</v>
      </c>
      <c r="D6" s="12" t="s">
        <v>1224</v>
      </c>
      <c r="E6" s="12">
        <v>1</v>
      </c>
      <c r="F6" s="12" t="s">
        <v>1225</v>
      </c>
      <c r="G6" s="12" t="s">
        <v>1226</v>
      </c>
      <c r="H6" s="12" t="s">
        <v>1227</v>
      </c>
      <c r="I6" s="12">
        <v>1</v>
      </c>
      <c r="J6" s="12">
        <v>89.95</v>
      </c>
      <c r="L6">
        <f t="shared" si="0"/>
        <v>89.95</v>
      </c>
    </row>
    <row r="7" spans="2:12" x14ac:dyDescent="0.3">
      <c r="B7" t="s">
        <v>1292</v>
      </c>
      <c r="C7" t="s">
        <v>8</v>
      </c>
      <c r="D7" s="12" t="s">
        <v>1280</v>
      </c>
      <c r="E7" s="12">
        <v>1</v>
      </c>
      <c r="F7" s="12" t="s">
        <v>1281</v>
      </c>
      <c r="G7" s="12" t="s">
        <v>1282</v>
      </c>
      <c r="H7" s="12" t="s">
        <v>1283</v>
      </c>
      <c r="I7" s="12">
        <v>1</v>
      </c>
      <c r="J7" s="12">
        <v>0.95</v>
      </c>
      <c r="L7">
        <f t="shared" si="0"/>
        <v>0.95</v>
      </c>
    </row>
    <row r="8" spans="2:12" x14ac:dyDescent="0.3">
      <c r="B8" t="s">
        <v>1292</v>
      </c>
      <c r="C8" t="s">
        <v>8</v>
      </c>
      <c r="D8" s="12" t="s">
        <v>1276</v>
      </c>
      <c r="E8" s="12">
        <v>1</v>
      </c>
      <c r="F8" s="12" t="s">
        <v>1277</v>
      </c>
      <c r="G8" s="12" t="s">
        <v>1278</v>
      </c>
      <c r="H8" s="12" t="s">
        <v>1279</v>
      </c>
      <c r="I8" s="12">
        <v>1</v>
      </c>
      <c r="J8" s="12">
        <v>0.25</v>
      </c>
      <c r="L8">
        <f t="shared" si="0"/>
        <v>0.25</v>
      </c>
    </row>
    <row r="9" spans="2:12" x14ac:dyDescent="0.3">
      <c r="B9" t="s">
        <v>1292</v>
      </c>
      <c r="C9" t="s">
        <v>8</v>
      </c>
      <c r="D9" s="12" t="s">
        <v>1288</v>
      </c>
      <c r="E9" s="12">
        <v>1</v>
      </c>
      <c r="F9" s="12" t="s">
        <v>1289</v>
      </c>
      <c r="G9" s="12" t="s">
        <v>1290</v>
      </c>
      <c r="H9" s="12" t="s">
        <v>1291</v>
      </c>
      <c r="I9" s="12">
        <v>1</v>
      </c>
      <c r="J9" s="12">
        <v>1.5</v>
      </c>
      <c r="L9">
        <f t="shared" si="0"/>
        <v>1.5</v>
      </c>
    </row>
    <row r="10" spans="2:12" x14ac:dyDescent="0.3">
      <c r="B10" t="s">
        <v>1292</v>
      </c>
      <c r="C10" t="s">
        <v>8</v>
      </c>
      <c r="D10" s="12" t="s">
        <v>1284</v>
      </c>
      <c r="E10" s="12">
        <v>1</v>
      </c>
      <c r="F10" s="12" t="s">
        <v>1285</v>
      </c>
      <c r="G10" s="12" t="s">
        <v>1286</v>
      </c>
      <c r="H10" s="12" t="s">
        <v>1287</v>
      </c>
      <c r="I10" s="12">
        <v>1</v>
      </c>
      <c r="J10" s="12">
        <v>0.1</v>
      </c>
      <c r="L10">
        <f t="shared" si="0"/>
        <v>0.1</v>
      </c>
    </row>
    <row r="11" spans="2:12" x14ac:dyDescent="0.3">
      <c r="B11" t="s">
        <v>1292</v>
      </c>
      <c r="C11" t="s">
        <v>8</v>
      </c>
      <c r="D11" s="12" t="s">
        <v>1232</v>
      </c>
      <c r="E11" s="12">
        <v>1</v>
      </c>
      <c r="F11" s="12" t="s">
        <v>1233</v>
      </c>
      <c r="G11" s="12" t="s">
        <v>1234</v>
      </c>
      <c r="H11" s="12" t="s">
        <v>1235</v>
      </c>
      <c r="I11" s="12">
        <v>1</v>
      </c>
      <c r="J11" s="12">
        <v>15.95</v>
      </c>
      <c r="L11">
        <f t="shared" si="0"/>
        <v>15.95</v>
      </c>
    </row>
    <row r="12" spans="2:12" x14ac:dyDescent="0.3">
      <c r="B12" t="s">
        <v>1292</v>
      </c>
      <c r="C12" t="s">
        <v>8</v>
      </c>
      <c r="D12" s="12" t="s">
        <v>1236</v>
      </c>
      <c r="E12" s="12">
        <v>1</v>
      </c>
      <c r="F12" s="12" t="s">
        <v>1237</v>
      </c>
      <c r="G12" s="12" t="s">
        <v>1238</v>
      </c>
      <c r="H12" s="12" t="s">
        <v>1239</v>
      </c>
      <c r="I12" s="12"/>
      <c r="J12" s="12">
        <v>14.95</v>
      </c>
      <c r="L12">
        <f t="shared" si="0"/>
        <v>14.95</v>
      </c>
    </row>
    <row r="13" spans="2:12" x14ac:dyDescent="0.3">
      <c r="B13" t="s">
        <v>1292</v>
      </c>
      <c r="C13" t="s">
        <v>8</v>
      </c>
      <c r="D13" s="12" t="s">
        <v>1212</v>
      </c>
      <c r="E13" s="12">
        <v>1</v>
      </c>
      <c r="F13" s="12" t="s">
        <v>1213</v>
      </c>
      <c r="G13" s="12" t="s">
        <v>1214</v>
      </c>
      <c r="H13" s="12" t="s">
        <v>1215</v>
      </c>
      <c r="I13" s="12"/>
      <c r="J13" s="12">
        <v>24.95</v>
      </c>
      <c r="L13">
        <f t="shared" si="0"/>
        <v>24.95</v>
      </c>
    </row>
    <row r="14" spans="2:12" x14ac:dyDescent="0.3">
      <c r="B14" t="s">
        <v>1292</v>
      </c>
      <c r="C14" t="s">
        <v>8</v>
      </c>
      <c r="D14" s="12" t="s">
        <v>1252</v>
      </c>
      <c r="E14" s="12">
        <v>1</v>
      </c>
      <c r="F14" s="12" t="s">
        <v>1253</v>
      </c>
      <c r="G14" s="12" t="s">
        <v>1254</v>
      </c>
      <c r="H14" s="12" t="s">
        <v>1255</v>
      </c>
      <c r="I14" s="12"/>
      <c r="J14" s="12">
        <v>9.9499999999999993</v>
      </c>
      <c r="L14">
        <f t="shared" si="0"/>
        <v>9.9499999999999993</v>
      </c>
    </row>
    <row r="15" spans="2:12" x14ac:dyDescent="0.3">
      <c r="B15" t="s">
        <v>1292</v>
      </c>
      <c r="C15" t="s">
        <v>8</v>
      </c>
      <c r="D15" s="12" t="s">
        <v>1228</v>
      </c>
      <c r="E15" s="12">
        <v>1</v>
      </c>
      <c r="F15" s="12" t="s">
        <v>1229</v>
      </c>
      <c r="G15" s="12" t="s">
        <v>1230</v>
      </c>
      <c r="H15" s="12" t="s">
        <v>1231</v>
      </c>
      <c r="I15" s="12">
        <v>1</v>
      </c>
      <c r="J15" s="12">
        <v>19.95</v>
      </c>
      <c r="L15">
        <f t="shared" si="0"/>
        <v>19.95</v>
      </c>
    </row>
    <row r="16" spans="2:12" x14ac:dyDescent="0.3">
      <c r="B16" t="s">
        <v>1292</v>
      </c>
      <c r="C16" t="s">
        <v>8</v>
      </c>
      <c r="D16" s="12" t="s">
        <v>1449</v>
      </c>
      <c r="E16" s="12">
        <v>1</v>
      </c>
      <c r="F16" s="12" t="s">
        <v>1450</v>
      </c>
      <c r="G16" s="12" t="s">
        <v>1451</v>
      </c>
      <c r="H16" s="12" t="s">
        <v>1452</v>
      </c>
      <c r="I16" s="12">
        <v>1</v>
      </c>
      <c r="J16" s="12">
        <v>1.95</v>
      </c>
      <c r="L16">
        <f t="shared" si="0"/>
        <v>1.95</v>
      </c>
    </row>
    <row r="17" spans="2:12" x14ac:dyDescent="0.3">
      <c r="B17" t="s">
        <v>1292</v>
      </c>
      <c r="C17" t="s">
        <v>8</v>
      </c>
      <c r="D17" s="12" t="s">
        <v>1453</v>
      </c>
      <c r="E17" s="12">
        <v>1</v>
      </c>
      <c r="F17" s="12" t="s">
        <v>1454</v>
      </c>
      <c r="G17" s="12" t="s">
        <v>1455</v>
      </c>
      <c r="H17" s="12" t="s">
        <v>1456</v>
      </c>
      <c r="I17" s="12">
        <v>1</v>
      </c>
      <c r="J17" s="12">
        <v>1.95</v>
      </c>
      <c r="L17">
        <f t="shared" si="0"/>
        <v>1.95</v>
      </c>
    </row>
    <row r="18" spans="2:12" x14ac:dyDescent="0.3">
      <c r="B18" t="s">
        <v>1292</v>
      </c>
      <c r="C18" t="s">
        <v>8</v>
      </c>
      <c r="D18" s="12" t="s">
        <v>1481</v>
      </c>
      <c r="E18" s="12">
        <v>1</v>
      </c>
      <c r="F18" s="12" t="s">
        <v>1482</v>
      </c>
      <c r="G18" s="12" t="s">
        <v>1483</v>
      </c>
      <c r="H18" s="12" t="s">
        <v>1484</v>
      </c>
      <c r="I18" s="12">
        <v>1</v>
      </c>
      <c r="J18" s="12">
        <v>1.95</v>
      </c>
      <c r="L18">
        <f t="shared" si="0"/>
        <v>1.95</v>
      </c>
    </row>
    <row r="19" spans="2:12" x14ac:dyDescent="0.3">
      <c r="B19" t="s">
        <v>1292</v>
      </c>
      <c r="C19" t="s">
        <v>8</v>
      </c>
      <c r="D19" s="12" t="s">
        <v>1457</v>
      </c>
      <c r="E19" s="12">
        <v>1</v>
      </c>
      <c r="F19" s="12" t="s">
        <v>1458</v>
      </c>
      <c r="G19" s="12" t="s">
        <v>1459</v>
      </c>
      <c r="H19" s="12" t="s">
        <v>1460</v>
      </c>
      <c r="I19" s="12">
        <v>1</v>
      </c>
      <c r="J19" s="12">
        <v>2.95</v>
      </c>
      <c r="L19">
        <f t="shared" si="0"/>
        <v>2.95</v>
      </c>
    </row>
    <row r="20" spans="2:12" x14ac:dyDescent="0.3">
      <c r="B20" t="s">
        <v>1292</v>
      </c>
      <c r="C20" t="s">
        <v>8</v>
      </c>
      <c r="D20" s="12" t="s">
        <v>1469</v>
      </c>
      <c r="E20" s="12">
        <v>1</v>
      </c>
      <c r="F20" s="12" t="s">
        <v>1470</v>
      </c>
      <c r="G20" s="12" t="s">
        <v>1471</v>
      </c>
      <c r="H20" s="12" t="s">
        <v>1472</v>
      </c>
      <c r="I20" s="12">
        <v>1</v>
      </c>
      <c r="J20" s="12">
        <v>2.95</v>
      </c>
      <c r="L20">
        <f t="shared" si="0"/>
        <v>2.95</v>
      </c>
    </row>
    <row r="21" spans="2:12" x14ac:dyDescent="0.3">
      <c r="B21" t="s">
        <v>1292</v>
      </c>
      <c r="C21" t="s">
        <v>8</v>
      </c>
      <c r="D21" s="12" t="s">
        <v>1465</v>
      </c>
      <c r="E21" s="12">
        <v>0</v>
      </c>
      <c r="F21" s="12" t="s">
        <v>1466</v>
      </c>
      <c r="G21" s="12" t="s">
        <v>1467</v>
      </c>
      <c r="H21" s="12" t="s">
        <v>1468</v>
      </c>
      <c r="I21" s="12">
        <v>1</v>
      </c>
      <c r="J21" s="12">
        <v>2.95</v>
      </c>
      <c r="L21">
        <f t="shared" si="0"/>
        <v>0</v>
      </c>
    </row>
    <row r="22" spans="2:12" x14ac:dyDescent="0.3">
      <c r="B22" t="s">
        <v>1292</v>
      </c>
      <c r="C22" t="s">
        <v>8</v>
      </c>
      <c r="D22" s="12" t="s">
        <v>1461</v>
      </c>
      <c r="E22" s="12">
        <v>1</v>
      </c>
      <c r="F22" s="12" t="s">
        <v>1462</v>
      </c>
      <c r="G22" s="12" t="s">
        <v>1463</v>
      </c>
      <c r="H22" s="12" t="s">
        <v>1464</v>
      </c>
      <c r="I22" s="12">
        <v>1</v>
      </c>
      <c r="J22" s="12">
        <v>3.95</v>
      </c>
      <c r="L22">
        <f t="shared" si="0"/>
        <v>3.95</v>
      </c>
    </row>
    <row r="23" spans="2:12" x14ac:dyDescent="0.3">
      <c r="B23" t="s">
        <v>1292</v>
      </c>
      <c r="C23" t="s">
        <v>8</v>
      </c>
      <c r="D23" s="12" t="s">
        <v>1485</v>
      </c>
      <c r="E23" s="12">
        <v>0</v>
      </c>
      <c r="F23" s="12" t="s">
        <v>1486</v>
      </c>
      <c r="G23" s="12" t="s">
        <v>1487</v>
      </c>
      <c r="H23" s="12" t="s">
        <v>1488</v>
      </c>
      <c r="I23" s="12">
        <v>1</v>
      </c>
      <c r="J23" s="12">
        <v>3.95</v>
      </c>
      <c r="L23">
        <f t="shared" si="0"/>
        <v>0</v>
      </c>
    </row>
    <row r="24" spans="2:12" x14ac:dyDescent="0.3">
      <c r="B24" t="s">
        <v>1292</v>
      </c>
      <c r="C24" t="s">
        <v>8</v>
      </c>
      <c r="D24" s="12" t="s">
        <v>1477</v>
      </c>
      <c r="E24" s="12">
        <v>1</v>
      </c>
      <c r="F24" s="12" t="s">
        <v>1478</v>
      </c>
      <c r="G24" s="12" t="s">
        <v>1479</v>
      </c>
      <c r="H24" s="12" t="s">
        <v>1480</v>
      </c>
      <c r="I24" s="12">
        <v>1</v>
      </c>
      <c r="J24" s="12">
        <v>3.95</v>
      </c>
      <c r="L24">
        <f t="shared" si="0"/>
        <v>3.95</v>
      </c>
    </row>
    <row r="25" spans="2:12" x14ac:dyDescent="0.3">
      <c r="B25" t="s">
        <v>1292</v>
      </c>
      <c r="C25" t="s">
        <v>8</v>
      </c>
      <c r="D25" s="12" t="s">
        <v>1473</v>
      </c>
      <c r="E25" s="12">
        <v>1</v>
      </c>
      <c r="F25" s="12" t="s">
        <v>1474</v>
      </c>
      <c r="G25" s="12" t="s">
        <v>1475</v>
      </c>
      <c r="H25" s="12" t="s">
        <v>1476</v>
      </c>
      <c r="I25" s="12">
        <v>1</v>
      </c>
      <c r="J25" s="12">
        <v>3.95</v>
      </c>
      <c r="L25">
        <f t="shared" si="0"/>
        <v>3.95</v>
      </c>
    </row>
    <row r="26" spans="2:12" x14ac:dyDescent="0.3">
      <c r="B26" t="s">
        <v>1502</v>
      </c>
      <c r="C26" t="s">
        <v>8</v>
      </c>
      <c r="D26" s="12" t="s">
        <v>1490</v>
      </c>
      <c r="E26" s="12">
        <v>1</v>
      </c>
      <c r="F26" s="12" t="s">
        <v>1491</v>
      </c>
      <c r="G26" s="12" t="s">
        <v>1492</v>
      </c>
      <c r="H26" s="12" t="s">
        <v>1493</v>
      </c>
      <c r="I26" s="12">
        <v>1</v>
      </c>
      <c r="J26" s="12">
        <v>49.95</v>
      </c>
      <c r="L26">
        <f t="shared" si="0"/>
        <v>49.95</v>
      </c>
    </row>
    <row r="27" spans="2:12" x14ac:dyDescent="0.3">
      <c r="B27" t="s">
        <v>1502</v>
      </c>
      <c r="C27" t="s">
        <v>8</v>
      </c>
      <c r="D27" s="12" t="s">
        <v>1494</v>
      </c>
      <c r="E27" s="12">
        <v>1</v>
      </c>
      <c r="F27" s="12" t="s">
        <v>1495</v>
      </c>
      <c r="G27" s="12" t="s">
        <v>1496</v>
      </c>
      <c r="H27" s="12" t="s">
        <v>1497</v>
      </c>
      <c r="I27" s="12">
        <v>1</v>
      </c>
      <c r="J27" s="12">
        <v>44.95</v>
      </c>
      <c r="L27">
        <f t="shared" si="0"/>
        <v>44.95</v>
      </c>
    </row>
    <row r="28" spans="2:12" x14ac:dyDescent="0.3">
      <c r="B28">
        <f>COUNTA(B2:B25)</f>
        <v>24</v>
      </c>
      <c r="E28">
        <f>SUM(E2:E27)</f>
        <v>24</v>
      </c>
      <c r="J28">
        <f>AVERAGE(J2:J27)</f>
        <v>15.949999999999992</v>
      </c>
      <c r="L28">
        <f>SUM(L2:L27)</f>
        <v>407.79999999999984</v>
      </c>
    </row>
    <row r="30" spans="2:12" x14ac:dyDescent="0.3">
      <c r="C30" t="s">
        <v>8</v>
      </c>
      <c r="D30" s="12" t="s">
        <v>1739</v>
      </c>
      <c r="E30" s="12">
        <v>1</v>
      </c>
      <c r="F30" s="12" t="s">
        <v>1740</v>
      </c>
      <c r="G30" s="12" t="s">
        <v>1741</v>
      </c>
      <c r="H30" s="12" t="s">
        <v>1742</v>
      </c>
      <c r="I30" s="12">
        <v>1</v>
      </c>
      <c r="J30" s="12">
        <v>45</v>
      </c>
    </row>
    <row r="31" spans="2:12" x14ac:dyDescent="0.3">
      <c r="C31" t="s">
        <v>8</v>
      </c>
      <c r="D31" s="12" t="s">
        <v>1795</v>
      </c>
      <c r="E31" s="12">
        <v>1</v>
      </c>
      <c r="F31" s="12" t="s">
        <v>1796</v>
      </c>
      <c r="G31" s="12" t="s">
        <v>1797</v>
      </c>
      <c r="H31" s="12" t="s">
        <v>1798</v>
      </c>
      <c r="I31" s="12">
        <v>1</v>
      </c>
      <c r="J31" s="12">
        <v>29.95</v>
      </c>
    </row>
    <row r="32" spans="2:12" x14ac:dyDescent="0.3">
      <c r="C32" t="s">
        <v>8</v>
      </c>
      <c r="D32" s="12" t="s">
        <v>1859</v>
      </c>
      <c r="E32" s="12">
        <v>1</v>
      </c>
      <c r="F32" s="12" t="s">
        <v>1860</v>
      </c>
      <c r="G32" s="12" t="s">
        <v>1861</v>
      </c>
      <c r="H32" s="12" t="s">
        <v>1862</v>
      </c>
      <c r="I32" s="12">
        <v>1</v>
      </c>
      <c r="J32" s="12">
        <v>2.95</v>
      </c>
    </row>
    <row r="33" spans="1:11" x14ac:dyDescent="0.3">
      <c r="C33" t="s">
        <v>8</v>
      </c>
      <c r="D33" s="12" t="s">
        <v>1799</v>
      </c>
      <c r="E33" s="12">
        <v>1</v>
      </c>
      <c r="F33" s="12" t="s">
        <v>1800</v>
      </c>
      <c r="G33" s="12" t="s">
        <v>1801</v>
      </c>
      <c r="H33" s="12" t="s">
        <v>1802</v>
      </c>
      <c r="I33" s="12">
        <v>1</v>
      </c>
      <c r="J33" s="12">
        <v>0.95</v>
      </c>
    </row>
    <row r="34" spans="1:11" x14ac:dyDescent="0.3">
      <c r="C34" t="s">
        <v>8</v>
      </c>
      <c r="D34" s="12" t="s">
        <v>1863</v>
      </c>
      <c r="E34" s="12">
        <v>1</v>
      </c>
      <c r="F34" s="12" t="s">
        <v>1864</v>
      </c>
      <c r="G34" s="12" t="s">
        <v>1865</v>
      </c>
      <c r="H34" s="12" t="s">
        <v>1866</v>
      </c>
      <c r="I34" s="12"/>
      <c r="J34" s="12">
        <v>3.95</v>
      </c>
    </row>
    <row r="35" spans="1:11" x14ac:dyDescent="0.3">
      <c r="C35" t="s">
        <v>8</v>
      </c>
      <c r="D35" s="12" t="s">
        <v>1867</v>
      </c>
      <c r="E35" s="12">
        <v>1</v>
      </c>
      <c r="F35" s="12" t="s">
        <v>1868</v>
      </c>
      <c r="G35" s="12" t="s">
        <v>1869</v>
      </c>
      <c r="H35" s="12" t="s">
        <v>1870</v>
      </c>
      <c r="I35" s="12"/>
      <c r="J35" s="12">
        <v>4.95</v>
      </c>
    </row>
    <row r="36" spans="1:11" x14ac:dyDescent="0.3">
      <c r="C36" t="s">
        <v>8</v>
      </c>
      <c r="D36" s="12" t="s">
        <v>1871</v>
      </c>
      <c r="E36" s="12">
        <v>1</v>
      </c>
      <c r="F36" s="12" t="s">
        <v>1872</v>
      </c>
      <c r="G36" s="12" t="s">
        <v>1873</v>
      </c>
      <c r="H36" s="12" t="s">
        <v>1874</v>
      </c>
      <c r="I36" s="12">
        <v>1</v>
      </c>
      <c r="J36" s="12">
        <v>14.95</v>
      </c>
    </row>
    <row r="37" spans="1:11" x14ac:dyDescent="0.3">
      <c r="C37" t="s">
        <v>8</v>
      </c>
      <c r="D37" s="12" t="s">
        <v>1875</v>
      </c>
      <c r="E37" s="12">
        <v>1</v>
      </c>
      <c r="F37" s="12" t="s">
        <v>1876</v>
      </c>
      <c r="G37" s="12" t="s">
        <v>1877</v>
      </c>
      <c r="H37" s="12" t="s">
        <v>1878</v>
      </c>
      <c r="I37" s="12"/>
      <c r="J37" s="12">
        <v>4.95</v>
      </c>
    </row>
    <row r="38" spans="1:11" x14ac:dyDescent="0.3">
      <c r="C38" t="s">
        <v>8</v>
      </c>
      <c r="D38" s="12" t="s">
        <v>1879</v>
      </c>
      <c r="E38" s="12">
        <v>1</v>
      </c>
      <c r="F38" s="12" t="s">
        <v>1880</v>
      </c>
      <c r="G38" s="12" t="s">
        <v>1881</v>
      </c>
      <c r="H38" s="12" t="s">
        <v>1882</v>
      </c>
      <c r="I38" s="12"/>
      <c r="J38" s="12">
        <v>27.95</v>
      </c>
    </row>
    <row r="39" spans="1:11" x14ac:dyDescent="0.3">
      <c r="A39" t="s">
        <v>897</v>
      </c>
      <c r="B39" t="s">
        <v>885</v>
      </c>
      <c r="C39" t="s">
        <v>8</v>
      </c>
      <c r="D39" s="12" t="s">
        <v>1579</v>
      </c>
      <c r="E39" s="12">
        <v>0</v>
      </c>
      <c r="F39" s="12" t="s">
        <v>1580</v>
      </c>
      <c r="G39" s="12" t="s">
        <v>1581</v>
      </c>
      <c r="H39" s="12" t="s">
        <v>1582</v>
      </c>
      <c r="I39" s="12">
        <v>1</v>
      </c>
      <c r="J39" s="12">
        <v>0.35</v>
      </c>
      <c r="K39">
        <f>E39*J39</f>
        <v>0</v>
      </c>
    </row>
    <row r="40" spans="1:11" x14ac:dyDescent="0.3">
      <c r="A40" t="s">
        <v>897</v>
      </c>
      <c r="B40" t="s">
        <v>885</v>
      </c>
      <c r="C40" t="s">
        <v>8</v>
      </c>
      <c r="D40" s="12" t="s">
        <v>1551</v>
      </c>
      <c r="E40" s="12">
        <v>0</v>
      </c>
      <c r="F40" s="12" t="s">
        <v>1552</v>
      </c>
      <c r="G40" s="12" t="s">
        <v>1553</v>
      </c>
      <c r="H40" s="12" t="s">
        <v>1554</v>
      </c>
      <c r="I40" s="12">
        <v>1</v>
      </c>
      <c r="J40" s="12">
        <v>0.35</v>
      </c>
      <c r="K40">
        <f>E40*J40</f>
        <v>0</v>
      </c>
    </row>
    <row r="47" spans="1:11" x14ac:dyDescent="0.3">
      <c r="D47" s="12"/>
      <c r="E47" s="12"/>
      <c r="F47" s="12"/>
      <c r="G47" s="12"/>
      <c r="H47" s="12"/>
      <c r="I47" s="12"/>
      <c r="J47" s="1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5B111-5FD6-45FF-92FB-19E5A75AE5C7}">
  <sheetPr codeName="Sheet6"/>
  <dimension ref="A1:W167"/>
  <sheetViews>
    <sheetView topLeftCell="A13" zoomScale="115" zoomScaleNormal="115" workbookViewId="0">
      <selection activeCell="B15" sqref="B15"/>
    </sheetView>
  </sheetViews>
  <sheetFormatPr defaultRowHeight="14.4" x14ac:dyDescent="0.3"/>
  <cols>
    <col min="1" max="1" width="19.44140625" customWidth="1"/>
    <col min="2" max="2" width="69.77734375" customWidth="1"/>
    <col min="3" max="3" width="6.44140625" customWidth="1"/>
    <col min="4" max="4" width="13" bestFit="1" customWidth="1"/>
    <col min="5" max="5" width="8" customWidth="1"/>
    <col min="6" max="6" width="14.88671875" bestFit="1" customWidth="1"/>
    <col min="7" max="7" width="11.44140625" bestFit="1" customWidth="1"/>
    <col min="8" max="8" width="10.5546875" customWidth="1"/>
    <col min="10" max="10" width="12.21875" customWidth="1"/>
    <col min="11" max="11" width="103.33203125" customWidth="1"/>
    <col min="12" max="15" width="11.33203125" customWidth="1"/>
    <col min="16" max="23" width="12.33203125" customWidth="1"/>
  </cols>
  <sheetData>
    <row r="1" spans="1:23" ht="19.8" customHeight="1" x14ac:dyDescent="0.3">
      <c r="A1" s="78" t="s">
        <v>994</v>
      </c>
      <c r="B1" s="78" t="b">
        <v>0</v>
      </c>
      <c r="C1" s="78" t="s">
        <v>1955</v>
      </c>
      <c r="D1" s="189" t="s">
        <v>11</v>
      </c>
      <c r="E1" s="189"/>
      <c r="F1" s="189"/>
      <c r="G1" s="189"/>
      <c r="H1" s="79"/>
      <c r="I1" s="79"/>
      <c r="J1" s="79"/>
      <c r="K1" s="79"/>
      <c r="L1" s="79"/>
      <c r="M1" s="79"/>
      <c r="N1" s="79"/>
      <c r="O1" s="79"/>
      <c r="P1" s="79"/>
      <c r="Q1" s="79"/>
      <c r="R1" s="79"/>
      <c r="S1" s="79"/>
      <c r="T1" s="79"/>
      <c r="U1" s="79"/>
      <c r="V1" s="79"/>
      <c r="W1" s="79"/>
    </row>
    <row r="2" spans="1:23" x14ac:dyDescent="0.3">
      <c r="A2" t="s">
        <v>893</v>
      </c>
      <c r="B2" t="s">
        <v>163</v>
      </c>
      <c r="C2" t="s">
        <v>1945</v>
      </c>
      <c r="D2" t="s">
        <v>1928</v>
      </c>
      <c r="E2" t="s">
        <v>1927</v>
      </c>
      <c r="F2" t="s">
        <v>1929</v>
      </c>
      <c r="G2" t="s">
        <v>1943</v>
      </c>
      <c r="H2" t="s">
        <v>1924</v>
      </c>
      <c r="I2" t="s">
        <v>13</v>
      </c>
      <c r="J2" t="s">
        <v>12</v>
      </c>
      <c r="K2" t="s">
        <v>1930</v>
      </c>
      <c r="L2" t="s">
        <v>1931</v>
      </c>
      <c r="M2" t="s">
        <v>1932</v>
      </c>
      <c r="N2" t="s">
        <v>1933</v>
      </c>
      <c r="O2" t="s">
        <v>1934</v>
      </c>
      <c r="P2" t="s">
        <v>1935</v>
      </c>
      <c r="Q2" t="s">
        <v>1936</v>
      </c>
      <c r="R2" t="s">
        <v>1937</v>
      </c>
      <c r="S2" t="s">
        <v>1938</v>
      </c>
      <c r="T2" t="s">
        <v>1939</v>
      </c>
      <c r="U2" t="s">
        <v>1940</v>
      </c>
      <c r="V2" t="s">
        <v>1941</v>
      </c>
      <c r="W2" t="s">
        <v>1942</v>
      </c>
    </row>
    <row r="3" spans="1:23" x14ac:dyDescent="0.3">
      <c r="A3" t="s">
        <v>1925</v>
      </c>
      <c r="B3" t="str">
        <f>Primary!H2</f>
        <v>WAV Trigger</v>
      </c>
      <c r="C3" s="50">
        <f>Primary!$E2</f>
        <v>1</v>
      </c>
      <c r="D3">
        <v>1</v>
      </c>
      <c r="H3">
        <v>1</v>
      </c>
    </row>
    <row r="4" spans="1:23" x14ac:dyDescent="0.3">
      <c r="A4" t="s">
        <v>1925</v>
      </c>
      <c r="B4" t="str">
        <f>Primary!H14</f>
        <v>Text-to-Speech Module - Emic 2</v>
      </c>
      <c r="C4" s="50">
        <f>Primary!$E14</f>
        <v>1</v>
      </c>
      <c r="G4">
        <v>1</v>
      </c>
    </row>
    <row r="5" spans="1:23" x14ac:dyDescent="0.3">
      <c r="A5" t="s">
        <v>1925</v>
      </c>
      <c r="B5" t="str">
        <f>Primary!H24</f>
        <v>SparkFun Logomatic v2 - Serial SD Datalogger (FAT32)</v>
      </c>
      <c r="C5" s="50">
        <f>Primary!$E24</f>
        <v>1</v>
      </c>
      <c r="E5">
        <v>1</v>
      </c>
      <c r="F5">
        <v>1</v>
      </c>
      <c r="G5">
        <v>1</v>
      </c>
      <c r="H5">
        <v>1</v>
      </c>
    </row>
    <row r="6" spans="1:23" x14ac:dyDescent="0.3">
      <c r="A6" t="s">
        <v>1925</v>
      </c>
      <c r="B6" t="str">
        <f>Primary!H25</f>
        <v>SparkFun OpenLog</v>
      </c>
      <c r="C6" s="50">
        <f>Primary!$E25</f>
        <v>1</v>
      </c>
      <c r="G6">
        <v>1</v>
      </c>
      <c r="H6">
        <v>1</v>
      </c>
    </row>
    <row r="7" spans="1:23" x14ac:dyDescent="0.3">
      <c r="A7" t="s">
        <v>1925</v>
      </c>
      <c r="B7" t="str">
        <f>Primary!H35</f>
        <v>SparkFun microSD Sniffer</v>
      </c>
      <c r="C7" s="50">
        <f>Primary!$E35</f>
        <v>1</v>
      </c>
      <c r="H7">
        <v>1</v>
      </c>
    </row>
    <row r="8" spans="1:23" x14ac:dyDescent="0.3">
      <c r="A8" t="s">
        <v>1925</v>
      </c>
      <c r="B8" t="str">
        <f>Primary!H28</f>
        <v>SparkFun SD/MMC Card Breakout</v>
      </c>
      <c r="C8" s="50">
        <f>Primary!$E28</f>
        <v>0</v>
      </c>
      <c r="H8">
        <v>1</v>
      </c>
    </row>
    <row r="9" spans="1:23" x14ac:dyDescent="0.3">
      <c r="A9" t="s">
        <v>1925</v>
      </c>
      <c r="B9" t="str">
        <f>Primary!H29</f>
        <v>SparkFun Level Shifting microSD Breakout</v>
      </c>
      <c r="C9" s="50">
        <f>Primary!$E29</f>
        <v>5</v>
      </c>
      <c r="H9">
        <v>1</v>
      </c>
    </row>
    <row r="10" spans="1:23" x14ac:dyDescent="0.3">
      <c r="A10" t="s">
        <v>1925</v>
      </c>
      <c r="B10" s="80" t="str">
        <f>Primary!H36</f>
        <v>XMEGA Xprotolab</v>
      </c>
      <c r="C10" s="50">
        <f>Primary!$E36</f>
        <v>1</v>
      </c>
    </row>
    <row r="11" spans="1:23" x14ac:dyDescent="0.3">
      <c r="A11" t="s">
        <v>1925</v>
      </c>
      <c r="B11" t="str">
        <f>Primary!H48</f>
        <v>Arduino Mega 2560 R3</v>
      </c>
      <c r="C11" s="50">
        <f>Primary!$E48</f>
        <v>5</v>
      </c>
      <c r="D11">
        <v>1</v>
      </c>
      <c r="E11">
        <v>1</v>
      </c>
      <c r="F11">
        <v>1</v>
      </c>
      <c r="I11">
        <v>1</v>
      </c>
      <c r="J11">
        <v>1</v>
      </c>
    </row>
    <row r="12" spans="1:23" x14ac:dyDescent="0.3">
      <c r="A12" t="s">
        <v>1925</v>
      </c>
      <c r="B12" t="str">
        <f>Primary!H77</f>
        <v>SparkFun LiPower Shield</v>
      </c>
      <c r="C12" s="50">
        <f>Primary!$E77</f>
        <v>5</v>
      </c>
      <c r="E12">
        <v>1</v>
      </c>
      <c r="F12">
        <v>1</v>
      </c>
    </row>
    <row r="13" spans="1:23" x14ac:dyDescent="0.3">
      <c r="A13" t="s">
        <v>1925</v>
      </c>
      <c r="B13" t="str">
        <f>Primary!H78</f>
        <v>SparkFun USB LiPoly Charger - Single Cell</v>
      </c>
      <c r="C13" s="50">
        <f>Primary!$E78</f>
        <v>5</v>
      </c>
      <c r="D13">
        <v>1</v>
      </c>
      <c r="E13">
        <v>1</v>
      </c>
      <c r="F13" t="s">
        <v>1944</v>
      </c>
    </row>
    <row r="14" spans="1:23" x14ac:dyDescent="0.3">
      <c r="A14" t="s">
        <v>1925</v>
      </c>
      <c r="B14" t="str">
        <f>Primary!H82</f>
        <v>SparkFun Breadboard Power Supply Stick - 5V/3.3V</v>
      </c>
      <c r="C14" s="50">
        <f>Primary!$E82</f>
        <v>5</v>
      </c>
      <c r="D14">
        <v>1</v>
      </c>
    </row>
    <row r="15" spans="1:23" x14ac:dyDescent="0.3">
      <c r="A15" t="s">
        <v>1925</v>
      </c>
      <c r="B15" t="str">
        <f>Primary!H83</f>
        <v>SparkFun Breadboard Power Supply 5V/3.3V</v>
      </c>
      <c r="C15" s="50">
        <f>Primary!$E83</f>
        <v>2</v>
      </c>
      <c r="D15">
        <v>1</v>
      </c>
    </row>
    <row r="16" spans="1:23" x14ac:dyDescent="0.3">
      <c r="A16" t="s">
        <v>1925</v>
      </c>
      <c r="B16" t="str">
        <f>Primary!H79</f>
        <v>SparkFun Battery Babysitter - LiPo Battery Manager</v>
      </c>
      <c r="C16" s="50">
        <f>Primary!$E79</f>
        <v>1</v>
      </c>
      <c r="E16">
        <v>1</v>
      </c>
      <c r="F16" t="s">
        <v>1944</v>
      </c>
    </row>
    <row r="17" spans="1:7" x14ac:dyDescent="0.3">
      <c r="A17" t="s">
        <v>1925</v>
      </c>
      <c r="B17" t="str">
        <f>Primary!H105</f>
        <v>SparkFun OpenPIR</v>
      </c>
      <c r="C17" s="50">
        <f>Primary!$E105</f>
        <v>5</v>
      </c>
      <c r="G17">
        <v>1</v>
      </c>
    </row>
    <row r="18" spans="1:7" x14ac:dyDescent="0.3">
      <c r="A18" t="s">
        <v>1925</v>
      </c>
      <c r="B18" t="str">
        <f>Primary!H106</f>
        <v>Ultrasonic Sensor - HC-SR04</v>
      </c>
      <c r="C18" s="50">
        <f>Primary!$E106</f>
        <v>10</v>
      </c>
      <c r="G18">
        <v>1</v>
      </c>
    </row>
    <row r="19" spans="1:7" x14ac:dyDescent="0.3">
      <c r="A19" t="s">
        <v>1925</v>
      </c>
      <c r="B19" t="str">
        <f>Primary!H107</f>
        <v>SparkFun ToF Range Finder Sensor - VL6180</v>
      </c>
      <c r="C19" s="50">
        <f>Primary!$E107</f>
        <v>0</v>
      </c>
      <c r="G19">
        <v>1</v>
      </c>
    </row>
    <row r="20" spans="1:7" x14ac:dyDescent="0.3">
      <c r="A20" t="s">
        <v>1925</v>
      </c>
      <c r="B20" t="str">
        <f>Primary!H108</f>
        <v>ZX Distance and Gesture Sensor</v>
      </c>
      <c r="C20" s="50">
        <f>Primary!$E108</f>
        <v>5</v>
      </c>
      <c r="G20">
        <v>1</v>
      </c>
    </row>
    <row r="21" spans="1:7" x14ac:dyDescent="0.3">
      <c r="A21" t="s">
        <v>1925</v>
      </c>
      <c r="B21" t="str">
        <f>Primary!H109</f>
        <v>SparkFun RGB and Gesture Sensor - APDS-9960</v>
      </c>
      <c r="C21" s="50">
        <f>Primary!$E109</f>
        <v>0</v>
      </c>
      <c r="G21">
        <v>1</v>
      </c>
    </row>
    <row r="22" spans="1:7" x14ac:dyDescent="0.3">
      <c r="A22" t="s">
        <v>1925</v>
      </c>
      <c r="B22" t="str">
        <f>Primary!H110</f>
        <v>Qwiic Distance Sensor - RFD77402</v>
      </c>
      <c r="C22" s="50">
        <f>Primary!$E110</f>
        <v>3</v>
      </c>
      <c r="G22">
        <v>1</v>
      </c>
    </row>
    <row r="23" spans="1:7" x14ac:dyDescent="0.3">
      <c r="A23" t="s">
        <v>1925</v>
      </c>
      <c r="B23" t="str">
        <f>Primary!H111</f>
        <v>Infrared Proximity Sensor - Sharp GP2Y0A21YK</v>
      </c>
      <c r="C23" s="50">
        <f>Primary!$E111</f>
        <v>0</v>
      </c>
      <c r="G23">
        <v>1</v>
      </c>
    </row>
    <row r="24" spans="1:7" x14ac:dyDescent="0.3">
      <c r="A24" t="s">
        <v>1925</v>
      </c>
      <c r="B24" t="str">
        <f>Primary!H139</f>
        <v>LCD Button Shield V2</v>
      </c>
      <c r="C24" s="50">
        <f>Primary!$E139</f>
        <v>5</v>
      </c>
      <c r="G24">
        <v>1</v>
      </c>
    </row>
    <row r="25" spans="1:7" x14ac:dyDescent="0.3">
      <c r="A25" t="s">
        <v>1925</v>
      </c>
      <c r="B25" t="str">
        <f>Primary!H141</f>
        <v>Serial Enabled 20x4 LCD - Black on Green 5V</v>
      </c>
      <c r="C25" s="50">
        <f>Primary!$E141</f>
        <v>0</v>
      </c>
      <c r="G25">
        <v>1</v>
      </c>
    </row>
    <row r="26" spans="1:7" x14ac:dyDescent="0.3">
      <c r="A26" t="s">
        <v>1925</v>
      </c>
      <c r="B26" t="str">
        <f>Primary!H140</f>
        <v>Graphic LCD 128x64 STN LED Backlight</v>
      </c>
      <c r="C26" s="50">
        <f>Primary!$E140</f>
        <v>1</v>
      </c>
      <c r="G26">
        <v>1</v>
      </c>
    </row>
    <row r="27" spans="1:7" x14ac:dyDescent="0.3">
      <c r="A27" t="s">
        <v>1925</v>
      </c>
      <c r="B27" t="str">
        <f>Primary!H146</f>
        <v>SparkFun Environmental Combo Breakout - CCS811/BME280 (Qwiic)</v>
      </c>
      <c r="C27" s="50">
        <f>Primary!$E146</f>
        <v>1</v>
      </c>
      <c r="G27">
        <v>1</v>
      </c>
    </row>
    <row r="28" spans="1:7" x14ac:dyDescent="0.3">
      <c r="A28" t="s">
        <v>1925</v>
      </c>
      <c r="B28" t="str">
        <f>Primary!H147</f>
        <v>SparkFun Particle Sensor Breakout - MAX30105</v>
      </c>
      <c r="C28" s="50">
        <f>Primary!$E147</f>
        <v>1</v>
      </c>
      <c r="G28">
        <v>1</v>
      </c>
    </row>
    <row r="29" spans="1:7" x14ac:dyDescent="0.3">
      <c r="A29" t="s">
        <v>1925</v>
      </c>
      <c r="B29" t="str">
        <f>Primary!H148</f>
        <v>Gas Sensor Breakout</v>
      </c>
      <c r="C29" s="50">
        <f>Primary!$E148</f>
        <v>1</v>
      </c>
      <c r="G29">
        <v>1</v>
      </c>
    </row>
    <row r="30" spans="1:7" x14ac:dyDescent="0.3">
      <c r="A30" t="s">
        <v>1925</v>
      </c>
      <c r="B30" t="str">
        <f>Primary!H149</f>
        <v>Carbon Monoxide Sensor - MQ-7</v>
      </c>
      <c r="C30" s="50">
        <f>Primary!$E149</f>
        <v>1</v>
      </c>
      <c r="G30">
        <v>1</v>
      </c>
    </row>
    <row r="31" spans="1:7" x14ac:dyDescent="0.3">
      <c r="A31" t="s">
        <v>1925</v>
      </c>
      <c r="B31" t="str">
        <f>Primary!H150</f>
        <v>SparkFun Luminosity Sensor Breakout - TSL2561</v>
      </c>
      <c r="C31" s="50">
        <f>Primary!$E150</f>
        <v>0</v>
      </c>
      <c r="G31">
        <v>1</v>
      </c>
    </row>
    <row r="32" spans="1:7" x14ac:dyDescent="0.3">
      <c r="A32" t="s">
        <v>1925</v>
      </c>
      <c r="B32" t="str">
        <f>Primary!H151</f>
        <v>SparkFun Ambient Light Sensor Breakout - TEMT6000</v>
      </c>
      <c r="C32" s="50">
        <f>Primary!$E151</f>
        <v>2</v>
      </c>
      <c r="G32">
        <v>1</v>
      </c>
    </row>
    <row r="33" spans="1:9" x14ac:dyDescent="0.3">
      <c r="A33" t="s">
        <v>1925</v>
      </c>
      <c r="B33" t="str">
        <f>Primary!H152</f>
        <v>Edimax WiFi Adapter (EW-7811UN)</v>
      </c>
      <c r="C33" s="50">
        <f>Primary!$E152</f>
        <v>3</v>
      </c>
      <c r="E33">
        <v>1</v>
      </c>
      <c r="I33">
        <v>1</v>
      </c>
    </row>
    <row r="34" spans="1:9" x14ac:dyDescent="0.3">
      <c r="A34" t="s">
        <v>1925</v>
      </c>
      <c r="B34" t="str">
        <f>Primary!H153</f>
        <v>WiFi Module - ESP8266</v>
      </c>
      <c r="C34" s="50">
        <f>Primary!$E153</f>
        <v>5</v>
      </c>
      <c r="G34">
        <v>1</v>
      </c>
      <c r="I34">
        <v>1</v>
      </c>
    </row>
    <row r="35" spans="1:9" x14ac:dyDescent="0.3">
      <c r="A35" t="s">
        <v>1926</v>
      </c>
      <c r="B35" t="s">
        <v>366</v>
      </c>
      <c r="C35">
        <f>Secondary!$E12</f>
        <v>1</v>
      </c>
      <c r="G35">
        <v>1</v>
      </c>
    </row>
    <row r="36" spans="1:9" x14ac:dyDescent="0.3">
      <c r="A36" t="s">
        <v>1926</v>
      </c>
      <c r="B36" t="s">
        <v>1188</v>
      </c>
      <c r="C36">
        <f>Secondary!$E13</f>
        <v>0</v>
      </c>
      <c r="G36">
        <v>1</v>
      </c>
    </row>
    <row r="37" spans="1:9" x14ac:dyDescent="0.3">
      <c r="A37" t="s">
        <v>1926</v>
      </c>
      <c r="B37" t="s">
        <v>1192</v>
      </c>
      <c r="C37">
        <f>Secondary!$E14</f>
        <v>0</v>
      </c>
      <c r="G37">
        <v>1</v>
      </c>
    </row>
    <row r="38" spans="1:9" x14ac:dyDescent="0.3">
      <c r="A38" t="s">
        <v>1926</v>
      </c>
      <c r="B38" t="s">
        <v>1830</v>
      </c>
      <c r="C38">
        <f>Secondary!$E15</f>
        <v>1</v>
      </c>
      <c r="G38">
        <v>1</v>
      </c>
    </row>
    <row r="39" spans="1:9" x14ac:dyDescent="0.3">
      <c r="A39" t="s">
        <v>1926</v>
      </c>
      <c r="B39" t="s">
        <v>1790</v>
      </c>
      <c r="C39">
        <f>Secondary!$E16</f>
        <v>0</v>
      </c>
      <c r="G39">
        <v>1</v>
      </c>
    </row>
    <row r="40" spans="1:9" ht="43.2" x14ac:dyDescent="0.3">
      <c r="A40" t="s">
        <v>1070</v>
      </c>
      <c r="B40" t="s">
        <v>1530</v>
      </c>
      <c r="C40">
        <f>'Advanced&amp;Optional'!$E2</f>
        <v>1</v>
      </c>
      <c r="D40">
        <v>1</v>
      </c>
      <c r="F40" t="s">
        <v>1946</v>
      </c>
    </row>
    <row r="41" spans="1:9" ht="43.2" x14ac:dyDescent="0.3">
      <c r="A41" t="s">
        <v>1070</v>
      </c>
      <c r="B41" t="s">
        <v>972</v>
      </c>
      <c r="C41">
        <f>'Advanced&amp;Optional'!$E4</f>
        <v>1</v>
      </c>
      <c r="D41" t="s">
        <v>1946</v>
      </c>
      <c r="F41">
        <v>1</v>
      </c>
      <c r="G41">
        <v>1</v>
      </c>
    </row>
    <row r="42" spans="1:9" ht="43.2" x14ac:dyDescent="0.3">
      <c r="A42" t="s">
        <v>1070</v>
      </c>
      <c r="B42" t="s">
        <v>992</v>
      </c>
      <c r="C42">
        <f>'Advanced&amp;Optional'!$E5</f>
        <v>0</v>
      </c>
      <c r="G42">
        <v>1</v>
      </c>
      <c r="H42">
        <v>1</v>
      </c>
    </row>
    <row r="43" spans="1:9" ht="43.2" x14ac:dyDescent="0.3">
      <c r="A43" t="s">
        <v>1070</v>
      </c>
      <c r="B43" t="s">
        <v>956</v>
      </c>
      <c r="C43">
        <f>'Advanced&amp;Optional'!$E6</f>
        <v>1</v>
      </c>
      <c r="F43">
        <v>1</v>
      </c>
      <c r="G43">
        <v>1</v>
      </c>
    </row>
    <row r="44" spans="1:9" ht="43.2" x14ac:dyDescent="0.3">
      <c r="A44" t="s">
        <v>1070</v>
      </c>
      <c r="B44" t="s">
        <v>976</v>
      </c>
      <c r="C44">
        <f>'Advanced&amp;Optional'!$E13</f>
        <v>1</v>
      </c>
      <c r="G44">
        <v>1</v>
      </c>
    </row>
    <row r="45" spans="1:9" ht="43.2" x14ac:dyDescent="0.3">
      <c r="A45" t="s">
        <v>1070</v>
      </c>
      <c r="B45" t="s">
        <v>920</v>
      </c>
      <c r="C45">
        <f>'Advanced&amp;Optional'!$E15</f>
        <v>1</v>
      </c>
      <c r="G45">
        <v>1</v>
      </c>
    </row>
    <row r="46" spans="1:9" ht="43.2" x14ac:dyDescent="0.3">
      <c r="A46" t="s">
        <v>1070</v>
      </c>
      <c r="B46" t="s">
        <v>924</v>
      </c>
      <c r="C46">
        <f>'Advanced&amp;Optional'!$E16</f>
        <v>1</v>
      </c>
      <c r="G46">
        <v>1</v>
      </c>
    </row>
    <row r="47" spans="1:9" ht="43.2" x14ac:dyDescent="0.3">
      <c r="A47" t="s">
        <v>1070</v>
      </c>
      <c r="B47" t="s">
        <v>988</v>
      </c>
      <c r="C47">
        <f>'Advanced&amp;Optional'!$E17</f>
        <v>0</v>
      </c>
      <c r="G47">
        <v>1</v>
      </c>
    </row>
    <row r="48" spans="1:9" ht="43.2" x14ac:dyDescent="0.3">
      <c r="A48" t="s">
        <v>1070</v>
      </c>
      <c r="B48" t="s">
        <v>1786</v>
      </c>
      <c r="C48">
        <f>'Advanced&amp;Optional'!$E18</f>
        <v>1</v>
      </c>
      <c r="G48">
        <v>1</v>
      </c>
    </row>
    <row r="49" spans="1:10" ht="43.2" x14ac:dyDescent="0.3">
      <c r="A49" t="s">
        <v>1070</v>
      </c>
      <c r="B49" t="s">
        <v>1750</v>
      </c>
      <c r="C49">
        <f>'Advanced&amp;Optional'!$E19</f>
        <v>0</v>
      </c>
      <c r="G49">
        <v>1</v>
      </c>
    </row>
    <row r="50" spans="1:10" ht="43.2" x14ac:dyDescent="0.3">
      <c r="A50" t="s">
        <v>1070</v>
      </c>
      <c r="B50" t="s">
        <v>984</v>
      </c>
      <c r="C50">
        <f>'Advanced&amp;Optional'!$E23</f>
        <v>1</v>
      </c>
    </row>
    <row r="51" spans="1:10" ht="43.2" x14ac:dyDescent="0.3">
      <c r="A51" t="s">
        <v>1070</v>
      </c>
      <c r="B51" t="s">
        <v>980</v>
      </c>
      <c r="C51">
        <f>'Advanced&amp;Optional'!$E24</f>
        <v>1</v>
      </c>
      <c r="G51">
        <v>1</v>
      </c>
    </row>
    <row r="52" spans="1:10" ht="43.2" x14ac:dyDescent="0.3">
      <c r="A52" t="s">
        <v>1046</v>
      </c>
      <c r="B52" t="s">
        <v>362</v>
      </c>
      <c r="C52">
        <f>'SmartHome&amp;IoT'!$E2</f>
        <v>1</v>
      </c>
      <c r="E52">
        <v>1</v>
      </c>
      <c r="F52">
        <v>1</v>
      </c>
      <c r="G52">
        <v>1</v>
      </c>
    </row>
    <row r="53" spans="1:10" ht="43.2" x14ac:dyDescent="0.3">
      <c r="A53" t="s">
        <v>1046</v>
      </c>
      <c r="B53" t="s">
        <v>1333</v>
      </c>
      <c r="C53">
        <f>'SmartHome&amp;IoT'!$E3</f>
        <v>1</v>
      </c>
      <c r="D53">
        <v>1</v>
      </c>
      <c r="E53">
        <v>1</v>
      </c>
      <c r="I53">
        <v>1</v>
      </c>
      <c r="J53">
        <v>1</v>
      </c>
    </row>
    <row r="54" spans="1:10" ht="43.2" x14ac:dyDescent="0.3">
      <c r="A54" t="s">
        <v>1046</v>
      </c>
      <c r="B54" t="s">
        <v>1321</v>
      </c>
      <c r="C54">
        <f>'SmartHome&amp;IoT'!$E4</f>
        <v>1</v>
      </c>
      <c r="G54">
        <v>1</v>
      </c>
    </row>
    <row r="55" spans="1:10" ht="43.2" x14ac:dyDescent="0.3">
      <c r="A55" t="s">
        <v>1046</v>
      </c>
      <c r="B55" t="s">
        <v>1325</v>
      </c>
      <c r="C55">
        <f>'SmartHome&amp;IoT'!$E5</f>
        <v>1</v>
      </c>
      <c r="G55">
        <v>1</v>
      </c>
    </row>
    <row r="56" spans="1:10" ht="43.2" x14ac:dyDescent="0.3">
      <c r="A56" t="s">
        <v>1046</v>
      </c>
      <c r="B56" t="s">
        <v>1329</v>
      </c>
      <c r="C56">
        <f>'SmartHome&amp;IoT'!$E6</f>
        <v>0</v>
      </c>
      <c r="G56">
        <v>1</v>
      </c>
    </row>
    <row r="57" spans="1:10" ht="43.2" x14ac:dyDescent="0.3">
      <c r="A57" t="s">
        <v>1046</v>
      </c>
      <c r="B57" t="s">
        <v>343</v>
      </c>
      <c r="C57">
        <f>'SmartHome&amp;IoT'!$E16</f>
        <v>1</v>
      </c>
      <c r="E57">
        <v>1</v>
      </c>
    </row>
    <row r="58" spans="1:10" ht="43.2" x14ac:dyDescent="0.3">
      <c r="A58" t="s">
        <v>1046</v>
      </c>
      <c r="B58" t="s">
        <v>339</v>
      </c>
      <c r="C58">
        <f>'SmartHome&amp;IoT'!$E17</f>
        <v>1</v>
      </c>
      <c r="E58">
        <v>1</v>
      </c>
      <c r="G58">
        <v>1</v>
      </c>
    </row>
    <row r="59" spans="1:10" ht="43.2" x14ac:dyDescent="0.3">
      <c r="A59" t="s">
        <v>1046</v>
      </c>
      <c r="B59" t="s">
        <v>303</v>
      </c>
      <c r="C59">
        <f>'SmartHome&amp;IoT'!$E18</f>
        <v>1</v>
      </c>
      <c r="D59">
        <v>1</v>
      </c>
      <c r="E59">
        <v>1</v>
      </c>
      <c r="H59">
        <v>1</v>
      </c>
      <c r="I59">
        <v>1</v>
      </c>
      <c r="J59">
        <v>1</v>
      </c>
    </row>
    <row r="60" spans="1:10" ht="43.2" x14ac:dyDescent="0.3">
      <c r="A60" t="s">
        <v>1046</v>
      </c>
      <c r="B60" t="s">
        <v>323</v>
      </c>
      <c r="C60">
        <f>'SmartHome&amp;IoT'!$E19</f>
        <v>1</v>
      </c>
      <c r="E60">
        <v>1</v>
      </c>
      <c r="G60">
        <v>1</v>
      </c>
    </row>
    <row r="61" spans="1:10" ht="43.2" x14ac:dyDescent="0.3">
      <c r="A61" t="s">
        <v>1046</v>
      </c>
      <c r="B61" t="s">
        <v>311</v>
      </c>
      <c r="C61">
        <f>'SmartHome&amp;IoT'!$E20</f>
        <v>1</v>
      </c>
      <c r="G61">
        <v>1</v>
      </c>
    </row>
    <row r="62" spans="1:10" ht="43.2" x14ac:dyDescent="0.3">
      <c r="A62" t="s">
        <v>1046</v>
      </c>
      <c r="B62" t="s">
        <v>315</v>
      </c>
      <c r="C62">
        <f>'SmartHome&amp;IoT'!$E21</f>
        <v>1</v>
      </c>
      <c r="G62">
        <v>1</v>
      </c>
    </row>
    <row r="63" spans="1:10" ht="43.2" x14ac:dyDescent="0.3">
      <c r="A63" t="s">
        <v>1046</v>
      </c>
      <c r="B63" t="s">
        <v>319</v>
      </c>
      <c r="C63">
        <f>'SmartHome&amp;IoT'!$E22</f>
        <v>1</v>
      </c>
      <c r="G63">
        <v>1</v>
      </c>
      <c r="H63">
        <v>1</v>
      </c>
    </row>
    <row r="64" spans="1:10" ht="43.2" x14ac:dyDescent="0.3">
      <c r="A64" t="s">
        <v>1046</v>
      </c>
      <c r="B64" t="s">
        <v>307</v>
      </c>
      <c r="C64">
        <f>'SmartHome&amp;IoT'!$E23</f>
        <v>1</v>
      </c>
      <c r="E64">
        <v>1</v>
      </c>
      <c r="F64">
        <v>1</v>
      </c>
      <c r="G64">
        <v>1</v>
      </c>
    </row>
    <row r="65" spans="1:9" ht="43.2" x14ac:dyDescent="0.3">
      <c r="A65" t="s">
        <v>1046</v>
      </c>
      <c r="B65" t="s">
        <v>1131</v>
      </c>
      <c r="C65">
        <f>'SmartHome&amp;IoT'!$E24</f>
        <v>1</v>
      </c>
      <c r="G65">
        <v>1</v>
      </c>
    </row>
    <row r="66" spans="1:9" ht="43.2" x14ac:dyDescent="0.3">
      <c r="A66" t="s">
        <v>1046</v>
      </c>
      <c r="B66" t="s">
        <v>1151</v>
      </c>
      <c r="C66">
        <f>'SmartHome&amp;IoT'!$E25</f>
        <v>1</v>
      </c>
      <c r="G66">
        <v>1</v>
      </c>
    </row>
    <row r="67" spans="1:9" ht="43.2" x14ac:dyDescent="0.3">
      <c r="A67" t="s">
        <v>1047</v>
      </c>
      <c r="B67" t="s">
        <v>1175</v>
      </c>
      <c r="C67">
        <f>'SmartHome&amp;IoT'!$E27</f>
        <v>1</v>
      </c>
      <c r="D67">
        <v>1</v>
      </c>
      <c r="E67">
        <v>1</v>
      </c>
    </row>
    <row r="68" spans="1:9" ht="43.2" x14ac:dyDescent="0.3">
      <c r="A68" t="s">
        <v>1047</v>
      </c>
      <c r="B68" t="s">
        <v>1155</v>
      </c>
      <c r="C68">
        <f>'SmartHome&amp;IoT'!$E28</f>
        <v>1</v>
      </c>
      <c r="G68">
        <v>1</v>
      </c>
      <c r="H68">
        <v>1</v>
      </c>
      <c r="I68">
        <v>1</v>
      </c>
    </row>
    <row r="69" spans="1:9" ht="43.2" x14ac:dyDescent="0.3">
      <c r="A69" t="s">
        <v>1047</v>
      </c>
      <c r="B69" t="s">
        <v>1159</v>
      </c>
      <c r="C69">
        <f>'SmartHome&amp;IoT'!$E29</f>
        <v>1</v>
      </c>
      <c r="G69">
        <v>1</v>
      </c>
    </row>
    <row r="70" spans="1:9" ht="43.2" x14ac:dyDescent="0.3">
      <c r="A70" t="s">
        <v>1047</v>
      </c>
      <c r="B70" t="s">
        <v>1167</v>
      </c>
      <c r="C70">
        <f>'SmartHome&amp;IoT'!$E30</f>
        <v>1</v>
      </c>
      <c r="G70">
        <v>1</v>
      </c>
    </row>
    <row r="71" spans="1:9" ht="43.2" x14ac:dyDescent="0.3">
      <c r="A71" t="s">
        <v>1047</v>
      </c>
      <c r="B71" t="s">
        <v>1171</v>
      </c>
      <c r="C71">
        <f>'SmartHome&amp;IoT'!$E31</f>
        <v>1</v>
      </c>
      <c r="G71">
        <v>1</v>
      </c>
    </row>
    <row r="72" spans="1:9" ht="43.2" x14ac:dyDescent="0.3">
      <c r="A72" t="s">
        <v>1047</v>
      </c>
      <c r="B72" t="s">
        <v>1079</v>
      </c>
      <c r="C72">
        <f>'SmartHome&amp;IoT'!$E34</f>
        <v>1</v>
      </c>
      <c r="E72">
        <v>1</v>
      </c>
    </row>
    <row r="73" spans="1:9" ht="43.2" x14ac:dyDescent="0.3">
      <c r="A73" t="s">
        <v>1047</v>
      </c>
      <c r="B73" t="s">
        <v>1155</v>
      </c>
      <c r="C73">
        <f>'SmartHome&amp;IoT'!$E35</f>
        <v>1</v>
      </c>
      <c r="D73">
        <v>1</v>
      </c>
      <c r="E73">
        <v>1</v>
      </c>
      <c r="G73">
        <v>1</v>
      </c>
      <c r="H73">
        <v>1</v>
      </c>
      <c r="I73">
        <v>1</v>
      </c>
    </row>
    <row r="74" spans="1:9" ht="43.2" x14ac:dyDescent="0.3">
      <c r="A74" t="s">
        <v>1047</v>
      </c>
      <c r="B74" t="s">
        <v>1163</v>
      </c>
      <c r="C74">
        <f>'SmartHome&amp;IoT'!$E36</f>
        <v>1</v>
      </c>
      <c r="E74">
        <v>1</v>
      </c>
      <c r="G74">
        <v>1</v>
      </c>
    </row>
    <row r="75" spans="1:9" ht="43.2" x14ac:dyDescent="0.3">
      <c r="A75" t="s">
        <v>1047</v>
      </c>
      <c r="B75" t="s">
        <v>1159</v>
      </c>
      <c r="C75">
        <f>'SmartHome&amp;IoT'!$E37</f>
        <v>1</v>
      </c>
      <c r="G75">
        <v>1</v>
      </c>
    </row>
    <row r="76" spans="1:9" ht="43.2" x14ac:dyDescent="0.3">
      <c r="A76" t="s">
        <v>1047</v>
      </c>
      <c r="B76" t="s">
        <v>1167</v>
      </c>
      <c r="C76">
        <f>'SmartHome&amp;IoT'!$E38</f>
        <v>1</v>
      </c>
      <c r="G76">
        <v>1</v>
      </c>
    </row>
    <row r="77" spans="1:9" ht="43.2" x14ac:dyDescent="0.3">
      <c r="A77" t="s">
        <v>1047</v>
      </c>
      <c r="B77" t="s">
        <v>358</v>
      </c>
      <c r="C77">
        <f>'SmartHome&amp;IoT'!$E39</f>
        <v>1</v>
      </c>
      <c r="E77">
        <v>1</v>
      </c>
      <c r="F77">
        <v>1</v>
      </c>
    </row>
    <row r="78" spans="1:9" ht="43.2" x14ac:dyDescent="0.3">
      <c r="A78" t="s">
        <v>1047</v>
      </c>
      <c r="B78" t="s">
        <v>327</v>
      </c>
      <c r="C78">
        <f>'SmartHome&amp;IoT'!$E40</f>
        <v>1</v>
      </c>
      <c r="G78">
        <v>1</v>
      </c>
    </row>
    <row r="79" spans="1:9" ht="43.2" x14ac:dyDescent="0.3">
      <c r="A79" t="s">
        <v>1047</v>
      </c>
      <c r="B79" t="s">
        <v>331</v>
      </c>
      <c r="C79">
        <f>'SmartHome&amp;IoT'!$E41</f>
        <v>1</v>
      </c>
      <c r="E79">
        <v>1</v>
      </c>
    </row>
    <row r="80" spans="1:9" ht="43.2" x14ac:dyDescent="0.3">
      <c r="A80" t="s">
        <v>1047</v>
      </c>
      <c r="B80" t="s">
        <v>354</v>
      </c>
      <c r="C80">
        <f>'SmartHome&amp;IoT'!$E42</f>
        <v>1</v>
      </c>
      <c r="E80">
        <v>1</v>
      </c>
      <c r="G80">
        <v>1</v>
      </c>
    </row>
    <row r="81" spans="2:10" x14ac:dyDescent="0.3">
      <c r="B81">
        <f>COUNTA(B3:B80)</f>
        <v>78</v>
      </c>
      <c r="D81">
        <f>SUMPRODUCT(Table16[Qty],Table16[BarrelJack])</f>
        <v>23</v>
      </c>
      <c r="E81">
        <f>SUMPRODUCT(Table16[Qty],Table16[USB])</f>
        <v>34</v>
      </c>
      <c r="F81">
        <f>SUMPRODUCT(Table16[Qty],Table16[LiPO Battery])</f>
        <v>16</v>
      </c>
      <c r="G81">
        <f>SUMPRODUCT(Table16[Qty],Table16[3.3V/5V])</f>
        <v>73</v>
      </c>
      <c r="H81">
        <f>SUMPRODUCT(Table16[Qty],Table16[uSD])</f>
        <v>13</v>
      </c>
      <c r="I81">
        <f>SUMPRODUCT(Table16[Qty],Table16[WiFi])</f>
        <v>17</v>
      </c>
      <c r="J81">
        <f>SUMPRODUCT(Table16[Qty],Table16[Bluetooth])</f>
        <v>7</v>
      </c>
    </row>
    <row r="83" spans="2:10" x14ac:dyDescent="0.3">
      <c r="C83" s="50" t="str">
        <f>Primary!F2</f>
        <v>https://www.sparkfun.com/products/13660</v>
      </c>
      <c r="D83" s="50" t="str">
        <f>Primary!G2</f>
        <v>https://cdn.sparkfun.com/r/92-92/assets/parts/1/1/0/7/3/12897-02.jpg</v>
      </c>
      <c r="E83" s="50" t="str">
        <f>Primary!H2</f>
        <v>WAV Trigger</v>
      </c>
    </row>
    <row r="84" spans="2:10" x14ac:dyDescent="0.3">
      <c r="B84" t="str">
        <f>"4*7+C80"</f>
        <v>4*7+C80</v>
      </c>
      <c r="C84" s="50" t="str">
        <f>Primary!F14</f>
        <v>https://www.sparkfun.com/products/11711</v>
      </c>
      <c r="D84" s="50" t="str">
        <f>Primary!G14</f>
        <v>https://cdn.sparkfun.com/r/92-92/assets/parts/7/8/9/4/11711-01.jpg</v>
      </c>
      <c r="E84" s="50" t="str">
        <f>Primary!H14</f>
        <v>Text-to-Speech Module - Emic 2</v>
      </c>
    </row>
    <row r="85" spans="2:10" x14ac:dyDescent="0.3">
      <c r="B85" t="e">
        <f ca="1">[1]!TextFormula(B84)</f>
        <v>#NAME?</v>
      </c>
      <c r="C85" s="50" t="str">
        <f>Primary!F24</f>
        <v>https://www.sparkfun.com/products/12772</v>
      </c>
      <c r="D85" s="50" t="str">
        <f>Primary!G24</f>
        <v>https://cdn.sparkfun.com/r/92-92/assets/parts/9/5/4/5/12772-01.jpg</v>
      </c>
      <c r="E85" s="50" t="str">
        <f>Primary!H24</f>
        <v>SparkFun Logomatic v2 - Serial SD Datalogger (FAT32)</v>
      </c>
    </row>
    <row r="86" spans="2:10" x14ac:dyDescent="0.3">
      <c r="C86" s="50" t="str">
        <f>Primary!F25</f>
        <v>https://www.sparkfun.com/products/13712</v>
      </c>
      <c r="D86" s="50" t="str">
        <f>Primary!G25</f>
        <v>https://cdn.sparkfun.com/r/92-92/assets/parts/1/1/2/0/2/13712-01a.jpg</v>
      </c>
      <c r="E86" s="50" t="str">
        <f>Primary!H25</f>
        <v>SparkFun OpenLog</v>
      </c>
    </row>
    <row r="87" spans="2:10" x14ac:dyDescent="0.3">
      <c r="C87" s="50" t="str">
        <f>Primary!F35</f>
        <v>https://www.sparkfun.com/products/9419</v>
      </c>
      <c r="D87" s="50" t="str">
        <f>Primary!G35</f>
        <v>https://cdn.sparkfun.com/r/92-92/assets/parts/3/0/5/9/09419-01a.jpg</v>
      </c>
      <c r="E87" s="50" t="str">
        <f>Primary!H35</f>
        <v>SparkFun microSD Sniffer</v>
      </c>
    </row>
    <row r="88" spans="2:10" x14ac:dyDescent="0.3">
      <c r="C88" s="50" t="str">
        <f>Primary!F28</f>
        <v>https://www.sparkfun.com/products/12941</v>
      </c>
      <c r="D88" s="50" t="str">
        <f>Primary!G28</f>
        <v>https://cdn.sparkfun.com/r/92-92/assets/parts/9/8/7/2/12941-01.jpg</v>
      </c>
      <c r="E88" s="50" t="str">
        <f>Primary!H28</f>
        <v>SparkFun SD/MMC Card Breakout</v>
      </c>
    </row>
    <row r="89" spans="2:10" x14ac:dyDescent="0.3">
      <c r="C89" s="50" t="str">
        <f>Primary!F29</f>
        <v>https://www.sparkfun.com/products/13743</v>
      </c>
      <c r="D89" s="50" t="str">
        <f>Primary!G29</f>
        <v>https://cdn.sparkfun.com/r/92-92/assets/parts/1/1/2/6/7/13743-01.jpg</v>
      </c>
      <c r="E89" s="50" t="str">
        <f>Primary!H29</f>
        <v>SparkFun Level Shifting microSD Breakout</v>
      </c>
    </row>
    <row r="90" spans="2:10" x14ac:dyDescent="0.3">
      <c r="C90" s="50" t="str">
        <f>Primary!F36</f>
        <v>https://www.sparkfun.com/products/11643</v>
      </c>
      <c r="D90" s="50" t="str">
        <f>Primary!G36</f>
        <v>https://cdn.sparkfun.com/r/92-92/assets/parts/7/7/1/7/11643-01.jpg</v>
      </c>
      <c r="E90" s="50" t="str">
        <f>Primary!H36</f>
        <v>XMEGA Xprotolab</v>
      </c>
    </row>
    <row r="91" spans="2:10" x14ac:dyDescent="0.3">
      <c r="C91" s="50" t="str">
        <f>Primary!F48</f>
        <v>https://www.sparkfun.com/products/11061</v>
      </c>
      <c r="D91" s="50" t="str">
        <f>Primary!G48</f>
        <v>https://cdn.sparkfun.com/r/92-92/assets/parts/6/4/3/3/11061-01c.jpg</v>
      </c>
      <c r="E91" s="50" t="str">
        <f>Primary!H48</f>
        <v>Arduino Mega 2560 R3</v>
      </c>
    </row>
    <row r="92" spans="2:10" x14ac:dyDescent="0.3">
      <c r="C92" s="50" t="str">
        <f>Primary!F77</f>
        <v>https://www.sparkfun.com/products/13158</v>
      </c>
      <c r="D92" s="50" t="str">
        <f>Primary!G77</f>
        <v>https://cdn.sparkfun.com/r/92-92/assets/parts/1/0/2/7/0/13158-01.jpg</v>
      </c>
      <c r="E92" s="50" t="str">
        <f>Primary!H77</f>
        <v>SparkFun LiPower Shield</v>
      </c>
    </row>
    <row r="93" spans="2:10" x14ac:dyDescent="0.3">
      <c r="C93" s="50" t="str">
        <f>Primary!F78</f>
        <v>https://www.sparkfun.com/products/12711</v>
      </c>
      <c r="D93" s="50" t="str">
        <f>Primary!G78</f>
        <v>https://cdn.sparkfun.com/r/92-92/assets/parts/9/4/5/6/12711-01.jpg</v>
      </c>
      <c r="E93" s="50" t="str">
        <f>Primary!H78</f>
        <v>SparkFun USB LiPoly Charger - Single Cell</v>
      </c>
    </row>
    <row r="94" spans="2:10" x14ac:dyDescent="0.3">
      <c r="C94" s="50" t="str">
        <f>Primary!F82</f>
        <v>https://www.sparkfun.com/products/13032</v>
      </c>
      <c r="D94" s="50" t="str">
        <f>Primary!G82</f>
        <v>https://cdn.sparkfun.com/r/92-92/assets/parts/1/0/0/3/2/13032-01.jpg</v>
      </c>
      <c r="E94" s="50" t="str">
        <f>Primary!H82</f>
        <v>SparkFun Breadboard Power Supply Stick - 5V/3.3V</v>
      </c>
    </row>
    <row r="95" spans="2:10" x14ac:dyDescent="0.3">
      <c r="C95" s="50" t="str">
        <f>Primary!F83</f>
        <v>https://www.sparkfun.com/products/114</v>
      </c>
      <c r="D95" s="50" t="str">
        <f>Primary!G83</f>
        <v>https://cdn.sparkfun.com/r/92-92/assets/parts/1/0/4/00114-05.jpg</v>
      </c>
      <c r="E95" s="50" t="str">
        <f>Primary!H83</f>
        <v>SparkFun Breadboard Power Supply 5V/3.3V</v>
      </c>
    </row>
    <row r="96" spans="2:10" x14ac:dyDescent="0.3">
      <c r="C96" s="50" t="str">
        <f>Primary!F79</f>
        <v>https://www.sparkfun.com/products/13777</v>
      </c>
      <c r="D96" s="50" t="str">
        <f>Primary!G79</f>
        <v>https://cdn.sparkfun.com/r/92-92/assets/parts/1/1/3/3/1/13777-01.jpg</v>
      </c>
      <c r="E96" s="50" t="str">
        <f>Primary!H79</f>
        <v>SparkFun Battery Babysitter - LiPo Battery Manager</v>
      </c>
    </row>
    <row r="97" spans="3:5" x14ac:dyDescent="0.3">
      <c r="C97" s="50" t="str">
        <f>Primary!F105</f>
        <v>https://www.sparkfun.com/products/13968</v>
      </c>
      <c r="D97" s="50" t="str">
        <f>Primary!G105</f>
        <v>https://cdn.sparkfun.com/r/92-92/assets/parts/1/1/7/0/6/13968-01.jpg</v>
      </c>
      <c r="E97" s="50" t="str">
        <f>Primary!H105</f>
        <v>SparkFun OpenPIR</v>
      </c>
    </row>
    <row r="98" spans="3:5" x14ac:dyDescent="0.3">
      <c r="C98" s="50" t="str">
        <f>Primary!F106</f>
        <v>https://www.sparkfun.com/products/13959</v>
      </c>
      <c r="D98" s="50" t="str">
        <f>Primary!G106</f>
        <v>https://cdn.sparkfun.com/r/92-92/assets/parts/1/1/6/6/8/13959-01a.jpg</v>
      </c>
      <c r="E98" s="50" t="str">
        <f>Primary!H106</f>
        <v>Ultrasonic Sensor - HC-SR04</v>
      </c>
    </row>
    <row r="99" spans="3:5" x14ac:dyDescent="0.3">
      <c r="C99" s="50" t="str">
        <f>Primary!F107</f>
        <v>https://www.sparkfun.com/products/12785</v>
      </c>
      <c r="D99" s="50" t="str">
        <f>Primary!G107</f>
        <v>https://cdn.sparkfun.com/r/92-92/assets/parts/9/5/9/7/12785-01.jpg</v>
      </c>
      <c r="E99" s="50" t="str">
        <f>Primary!H107</f>
        <v>SparkFun ToF Range Finder Sensor - VL6180</v>
      </c>
    </row>
    <row r="100" spans="3:5" x14ac:dyDescent="0.3">
      <c r="C100" s="50" t="str">
        <f>Primary!F108</f>
        <v>https://www.sparkfun.com/products/13162</v>
      </c>
      <c r="D100" s="50" t="str">
        <f>Primary!G108</f>
        <v>https://cdn.sparkfun.com/r/92-92/assets/parts/1/0/2/7/9/13162-01a.jpg</v>
      </c>
      <c r="E100" s="50" t="str">
        <f>Primary!H108</f>
        <v>ZX Distance and Gesture Sensor</v>
      </c>
    </row>
    <row r="101" spans="3:5" x14ac:dyDescent="0.3">
      <c r="C101" s="50" t="str">
        <f>Primary!F109</f>
        <v>https://www.sparkfun.com/products/12787</v>
      </c>
      <c r="D101" s="50" t="str">
        <f>Primary!G109</f>
        <v>https://cdn.sparkfun.com/r/92-92/assets/parts/9/6/0/3/12787-01.jpg</v>
      </c>
      <c r="E101" s="50" t="str">
        <f>Primary!H109</f>
        <v>SparkFun RGB and Gesture Sensor - APDS-9960</v>
      </c>
    </row>
    <row r="102" spans="3:5" x14ac:dyDescent="0.3">
      <c r="C102" s="50" t="str">
        <f>Primary!F110</f>
        <v>https://www.sparkfun.com/products/14343</v>
      </c>
      <c r="D102" s="50" t="str">
        <f>Primary!G110</f>
        <v>https://cdn.sparkfun.com/r/92-92/assets/parts/1/2/3/1/9/ToFQuarter.jpg</v>
      </c>
      <c r="E102" s="50" t="str">
        <f>Primary!H110</f>
        <v>Qwiic Distance Sensor - RFD77402</v>
      </c>
    </row>
    <row r="103" spans="3:5" x14ac:dyDescent="0.3">
      <c r="C103" s="50" t="str">
        <f>Primary!F111</f>
        <v>https://www.sparkfun.com/products/242</v>
      </c>
      <c r="D103" s="50" t="str">
        <f>Primary!G111</f>
        <v>https://cdn.sparkfun.com/r/92-92/assets/parts/1/8/4/00242-1.jpg</v>
      </c>
      <c r="E103" s="50" t="str">
        <f>Primary!H111</f>
        <v>Infrared Proximity Sensor - Sharp GP2Y0A21YK</v>
      </c>
    </row>
    <row r="104" spans="3:5" x14ac:dyDescent="0.3">
      <c r="C104" s="50" t="str">
        <f>Primary!F139</f>
        <v>https://www.sparkfun.com/products/13293</v>
      </c>
      <c r="D104" s="50" t="str">
        <f>Primary!G139</f>
        <v>https://cdn.sparkfun.com/r/92-92/assets/parts/1/0/5/4/6/13293-01.jpg</v>
      </c>
      <c r="E104" s="50" t="str">
        <f>Primary!H139</f>
        <v>LCD Button Shield V2</v>
      </c>
    </row>
    <row r="105" spans="3:5" x14ac:dyDescent="0.3">
      <c r="C105" s="50" t="str">
        <f>Primary!F141</f>
        <v>https://www.sparkfun.com/products/9568</v>
      </c>
      <c r="D105" s="50" t="str">
        <f>Primary!G141</f>
        <v>https://cdn.sparkfun.com/r/92-92/assets/parts/3/3/4/6/09568Actiona.jpg</v>
      </c>
      <c r="E105" s="50" t="str">
        <f>Primary!H141</f>
        <v>Serial Enabled 20x4 LCD - Black on Green 5V</v>
      </c>
    </row>
    <row r="106" spans="3:5" x14ac:dyDescent="0.3">
      <c r="C106" s="50" t="str">
        <f>Primary!F140</f>
        <v>https://www.sparkfun.com/products/710</v>
      </c>
      <c r="D106" s="50" t="str">
        <f>Primary!G140</f>
        <v>https://cdn.sparkfun.com/r/92-92/assets/parts/4/9/2/00710-01.jpg</v>
      </c>
      <c r="E106" s="50" t="str">
        <f>Primary!H140</f>
        <v>Graphic LCD 128x64 STN LED Backlight</v>
      </c>
    </row>
    <row r="107" spans="3:5" x14ac:dyDescent="0.3">
      <c r="C107" s="50" t="str">
        <f>Primary!F146</f>
        <v>https://www.sparkfun.com/products/14348</v>
      </c>
      <c r="D107" s="50" t="str">
        <f>Primary!G146</f>
        <v>https://cdn.sparkfun.com/r/92-92/assets/parts/1/2/3/2/9/14348-01.jpg</v>
      </c>
      <c r="E107" s="50" t="str">
        <f>Primary!H146</f>
        <v>SparkFun Environmental Combo Breakout - CCS811/BME280 (Qwiic)</v>
      </c>
    </row>
    <row r="108" spans="3:5" x14ac:dyDescent="0.3">
      <c r="C108" s="50" t="str">
        <f>Primary!F147</f>
        <v>https://www.sparkfun.com/products/14045</v>
      </c>
      <c r="D108" s="50" t="str">
        <f>Primary!G147</f>
        <v>https://cdn.sparkfun.com/r/92-92/assets/parts/1/1/8/7/4/14045-01.jpg</v>
      </c>
      <c r="E108" s="50" t="str">
        <f>Primary!H147</f>
        <v>SparkFun Particle Sensor Breakout - MAX30105</v>
      </c>
    </row>
    <row r="109" spans="3:5" x14ac:dyDescent="0.3">
      <c r="C109" s="50" t="str">
        <f>Primary!F148</f>
        <v>https://www.sparkfun.com/products/8891</v>
      </c>
      <c r="D109" s="50" t="str">
        <f>Primary!G148</f>
        <v>https://cdn.sparkfun.com/r/92-92/assets/parts/2/1/6/8/08891-01.jpg</v>
      </c>
      <c r="E109" s="50" t="str">
        <f>Primary!H148</f>
        <v>Gas Sensor Breakout</v>
      </c>
    </row>
    <row r="110" spans="3:5" x14ac:dyDescent="0.3">
      <c r="C110" s="50" t="str">
        <f>Primary!F149</f>
        <v>https://www.sparkfun.com/products/9403</v>
      </c>
      <c r="D110" s="50" t="str">
        <f>Primary!G149</f>
        <v>https://cdn.sparkfun.com/r/92-92/assets/parts/3/0/1/8/09403-01.jpg</v>
      </c>
      <c r="E110" s="50" t="str">
        <f>Primary!H149</f>
        <v>Carbon Monoxide Sensor - MQ-7</v>
      </c>
    </row>
    <row r="111" spans="3:5" x14ac:dyDescent="0.3">
      <c r="C111" s="50" t="str">
        <f>Primary!F150</f>
        <v>https://www.sparkfun.com/products/12055</v>
      </c>
      <c r="D111" s="50" t="str">
        <f>Primary!G150</f>
        <v>https://cdn.sparkfun.com/r/92-92/assets/parts/8/6/4/4/12055-01.jpg</v>
      </c>
      <c r="E111" s="50" t="str">
        <f>Primary!H150</f>
        <v>SparkFun Luminosity Sensor Breakout - TSL2561</v>
      </c>
    </row>
    <row r="112" spans="3:5" x14ac:dyDescent="0.3">
      <c r="C112" s="50" t="str">
        <f>Primary!F151</f>
        <v>https://www.sparkfun.com/products/8688</v>
      </c>
      <c r="D112" s="50" t="str">
        <f>Primary!G151</f>
        <v>https://cdn.sparkfun.com/r/92-92/assets/parts/1/8/5/9/08688-01.jpg</v>
      </c>
      <c r="E112" s="50" t="str">
        <f>Primary!H151</f>
        <v>SparkFun Ambient Light Sensor Breakout - TEMT6000</v>
      </c>
    </row>
    <row r="113" spans="3:5" x14ac:dyDescent="0.3">
      <c r="C113" s="50" t="str">
        <f>Primary!F152</f>
        <v>https://www.sparkfun.com/products/13677</v>
      </c>
      <c r="D113" s="50" t="str">
        <f>Primary!G152</f>
        <v>https://cdn.sparkfun.com/r/92-92/assets/parts/1/1/1/2/7/13677-01.jpg</v>
      </c>
      <c r="E113" s="50" t="str">
        <f>Primary!H152</f>
        <v>Edimax WiFi Adapter (EW-7811UN)</v>
      </c>
    </row>
    <row r="114" spans="3:5" x14ac:dyDescent="0.3">
      <c r="C114" s="50" t="str">
        <f>Primary!F153</f>
        <v>https://www.sparkfun.com/products/13678</v>
      </c>
      <c r="D114" s="50" t="str">
        <f>Primary!G153</f>
        <v>https://cdn.sparkfun.com/r/92-92/assets/parts/1/1/1/2/9/13678-01.jpg</v>
      </c>
      <c r="E114" s="50" t="str">
        <f>Primary!H153</f>
        <v>WiFi Module - ESP8266</v>
      </c>
    </row>
    <row r="115" spans="3:5" x14ac:dyDescent="0.3">
      <c r="C115" s="50" t="str">
        <f>Secondary!F12</f>
        <v>https://www.sparkfun.com/products/14291</v>
      </c>
      <c r="D115" s="50" t="str">
        <f>Secondary!G12</f>
        <v>https://cdn.sparkfun.com/r/92-92/assets/parts/1/2/2/5/0/1Wire_to_Qwiic_Bridge_DS28E17_05.jpg</v>
      </c>
      <c r="E115" s="50" t="str">
        <f>Secondary!H12</f>
        <v>1-Wire to Qwiic Bridge - DS28E17</v>
      </c>
    </row>
    <row r="116" spans="3:5" x14ac:dyDescent="0.3">
      <c r="C116" s="50" t="str">
        <f>Secondary!F13</f>
        <v>https://www.sparkfun.com/products/14286</v>
      </c>
      <c r="D116" s="50" t="str">
        <f>Secondary!G13</f>
        <v>https://cdn.sparkfun.com/r/92-92/assets/parts/1/2/2/4/5/Qwiic_Shield_for_Arduino_X1.1_04.jpg</v>
      </c>
      <c r="E116" s="50" t="str">
        <f>Secondary!H13</f>
        <v>Qwiic Shield for Arduino</v>
      </c>
    </row>
    <row r="117" spans="3:5" x14ac:dyDescent="0.3">
      <c r="C117" s="50" t="str">
        <f>Secondary!F14</f>
        <v>https://www.sparkfun.com/products/14257</v>
      </c>
      <c r="D117" s="50" t="str">
        <f>Secondary!G14</f>
        <v>https://cdn.sparkfun.com/r/92-92/assets/parts/1/2/2/0/5/Qwiic_Mux_Shield_Arduino_04.jpg</v>
      </c>
      <c r="E117" s="50" t="str">
        <f>Secondary!H14</f>
        <v>Qwiic Mux Shield for Arduino - PCA9548A</v>
      </c>
    </row>
    <row r="118" spans="3:5" x14ac:dyDescent="0.3">
      <c r="C118" s="50" t="str">
        <f>Secondary!F15</f>
        <v>https://www.sparkfun.com/products/14293</v>
      </c>
      <c r="D118" s="50" t="str">
        <f>Secondary!G15</f>
        <v>https://cdn.sparkfun.com/r/92-92/assets/parts/1/2/2/5/2/Qwiic-Mux-PCA9548A-3.jpg</v>
      </c>
      <c r="E118" s="50" t="str">
        <f>Secondary!H15</f>
        <v>Qwiic Mux - PCA9548A</v>
      </c>
    </row>
    <row r="119" spans="3:5" x14ac:dyDescent="0.3">
      <c r="C119" s="50" t="str">
        <f>Secondary!F16</f>
        <v>https://www.sparkfun.com/products/14289</v>
      </c>
      <c r="D119" s="50" t="str">
        <f>Secondary!G16</f>
        <v>https://cdn.sparkfun.com/r/92-92/assets/parts/1/2/2/4/8/Qwiic-AK9750-3.jpg</v>
      </c>
      <c r="E119" s="50" t="str">
        <f>Secondary!H16</f>
        <v>Qwiic Human Presence Sensor - AK9750</v>
      </c>
    </row>
    <row r="120" spans="3:5" x14ac:dyDescent="0.3">
      <c r="C120" s="50" t="str">
        <f>'Advanced&amp;Optional'!F2</f>
        <v>https://www.sparkfun.com/products/12885</v>
      </c>
      <c r="D120" s="50" t="str">
        <f>'Advanced&amp;Optional'!G2</f>
        <v>https://cdn.sparkfun.com/r/92-92/assets/parts/9/7/7/2/12885-01.jpg</v>
      </c>
      <c r="E120" s="50" t="str">
        <f>'Advanced&amp;Optional'!H2</f>
        <v>SparkFun Sunny Buddy - MPPT Solar Charger</v>
      </c>
    </row>
    <row r="121" spans="3:5" x14ac:dyDescent="0.3">
      <c r="C121" s="50" t="str">
        <f>'Advanced&amp;Optional'!F4</f>
        <v>https://www.sparkfun.com/products/14416</v>
      </c>
      <c r="D121" s="50" t="str">
        <f>'Advanced&amp;Optional'!G4</f>
        <v>https://cdn.sparkfun.com/r/92-92/assets/parts/1/2/4/4/2/20170801_112457_Scaled.jpg</v>
      </c>
      <c r="E121" s="50" t="str">
        <f>'Advanced&amp;Optional'!H4</f>
        <v>GeoFence - GPS Boundary Widget</v>
      </c>
    </row>
    <row r="122" spans="3:5" x14ac:dyDescent="0.3">
      <c r="C122" s="50" t="str">
        <f>'Advanced&amp;Optional'!F5</f>
        <v>https://www.sparkfun.com/products/13750</v>
      </c>
      <c r="D122" s="50" t="str">
        <f>'Advanced&amp;Optional'!G5</f>
        <v>https://cdn.sparkfun.com/r/92-92/assets/parts/1/1/2/8/4/13750-01.jpg</v>
      </c>
      <c r="E122" s="50" t="str">
        <f>'Advanced&amp;Optional'!H5</f>
        <v>SparkFun GPS Logger Shield</v>
      </c>
    </row>
    <row r="123" spans="3:5" x14ac:dyDescent="0.3">
      <c r="C123" s="50" t="str">
        <f>'Advanced&amp;Optional'!F6</f>
        <v>https://www.sparkfun.com/products/10920</v>
      </c>
      <c r="D123" s="50" t="str">
        <f>'Advanced&amp;Optional'!G6</f>
        <v>https://cdn.sparkfun.com/r/92-92/assets/parts/6/0/5/3/10920-01a.jpg</v>
      </c>
      <c r="E123" s="50" t="str">
        <f>'Advanced&amp;Optional'!H6</f>
        <v>SparkFun Venus GPS Logger - SMA Connector</v>
      </c>
    </row>
    <row r="124" spans="3:5" x14ac:dyDescent="0.3">
      <c r="C124" s="50" t="str">
        <f>'Advanced&amp;Optional'!F13</f>
        <v>https://www.sparkfun.com/products/14117</v>
      </c>
      <c r="D124" s="50" t="str">
        <f>'Advanced&amp;Optional'!G13</f>
        <v>https://cdn.sparkfun.com/r/92-92/assets/parts/1/2/0/0/3/14117-04a.jpg</v>
      </c>
      <c r="E124" s="50" t="str">
        <f>'Advanced&amp;Optional'!H13</f>
        <v>Scanse Sweep</v>
      </c>
    </row>
    <row r="125" spans="3:5" x14ac:dyDescent="0.3">
      <c r="C125" s="50" t="str">
        <f>'Advanced&amp;Optional'!F15</f>
        <v>https://www.sparkfun.com/products/13284</v>
      </c>
      <c r="D125" s="50" t="str">
        <f>'Advanced&amp;Optional'!G15</f>
        <v>https://cdn.sparkfun.com/r/92-92/assets/parts/1/0/5/3/3/13284-02.jpg</v>
      </c>
      <c r="E125" s="50" t="str">
        <f>'Advanced&amp;Optional'!H15</f>
        <v>SparkFun 9DoF IMU Breakout - LSM9DS1</v>
      </c>
    </row>
    <row r="126" spans="3:5" x14ac:dyDescent="0.3">
      <c r="C126" s="50" t="str">
        <f>'Advanced&amp;Optional'!F16</f>
        <v>https://www.sparkfun.com/products/13762</v>
      </c>
      <c r="D126" s="50" t="str">
        <f>'Advanced&amp;Optional'!G16</f>
        <v>https://cdn.sparkfun.com/r/92-92/assets/parts/1/1/3/0/6/13762-00a.jpg</v>
      </c>
      <c r="E126" s="50" t="str">
        <f>'Advanced&amp;Optional'!H16</f>
        <v>SparkFun IMU Breakout - MPU-9250</v>
      </c>
    </row>
    <row r="127" spans="3:5" x14ac:dyDescent="0.3">
      <c r="C127" s="50" t="str">
        <f>'Advanced&amp;Optional'!F17</f>
        <v>https://www.sparkfun.com/products/12725</v>
      </c>
      <c r="D127" s="50" t="str">
        <f>'Advanced&amp;Optional'!G17</f>
        <v>https://cdn.sparkfun.com/r/92-92/assets/parts/9/4/8/2/12725-01.jpg</v>
      </c>
      <c r="E127" s="50" t="str">
        <f>'Advanced&amp;Optional'!H17</f>
        <v>Display Module - 7\" Touchscreen LCD</v>
      </c>
    </row>
    <row r="128" spans="3:5" x14ac:dyDescent="0.3">
      <c r="C128" s="50" t="str">
        <f>'Advanced&amp;Optional'!F18</f>
        <v>https://www.sparkfun.com/products/11741</v>
      </c>
      <c r="D128" s="50" t="str">
        <f>'Advanced&amp;Optional'!G18</f>
        <v>https://cdn.sparkfun.com/r/92-92/assets/parts/7/9/6/3/11741-01a.jpg</v>
      </c>
      <c r="E128" s="50" t="str">
        <f>'Advanced&amp;Optional'!H18</f>
        <v>Arduino Display Module - 3.2\" Touchscreen LCD</v>
      </c>
    </row>
    <row r="129" spans="3:5" x14ac:dyDescent="0.3">
      <c r="C129" s="50" t="str">
        <f>'Advanced&amp;Optional'!F19</f>
        <v>https://www.sparkfun.com/products/11677</v>
      </c>
      <c r="D129" s="50" t="str">
        <f>'Advanced&amp;Optional'!G19</f>
        <v>https://cdn.sparkfun.com/r/92-92/assets/parts/7/7/7/7/11677-01.jpg</v>
      </c>
      <c r="E129" s="50" t="str">
        <f>'Advanced&amp;Optional'!H19</f>
        <v>Serial TFT LCD - 3.2\" with Touchscreen (uLCD-32PTU-GFX)</v>
      </c>
    </row>
    <row r="130" spans="3:5" x14ac:dyDescent="0.3">
      <c r="C130" s="50" t="str">
        <f>'Advanced&amp;Optional'!F23</f>
        <v>https://www.sparkfun.com/products/14022</v>
      </c>
      <c r="D130" s="50" t="str">
        <f>'Advanced&amp;Optional'!G23</f>
        <v>https://cdn.sparkfun.com/r/92-92/assets/parts/1/1/8/2/8/14022-01a.jpg</v>
      </c>
      <c r="E130" s="50" t="str">
        <f>'Advanced&amp;Optional'!H23</f>
        <v>BITalino (r)evolution Board Kit</v>
      </c>
    </row>
    <row r="131" spans="3:5" x14ac:dyDescent="0.3">
      <c r="C131" s="50" t="str">
        <f>'Advanced&amp;Optional'!F24</f>
        <v>https://www.sparkfun.com/products/13316</v>
      </c>
      <c r="D131" s="50" t="str">
        <f>'Advanced&amp;Optional'!G24</f>
        <v>https://cdn.sparkfun.com/r/92-92/assets/parts/1/0/6/0/0/13316-01a.jpg</v>
      </c>
      <c r="E131" s="50" t="str">
        <f>'Advanced&amp;Optional'!H24</f>
        <v>EasyVR Shield 3.0 - Voice Recognition Shield</v>
      </c>
    </row>
    <row r="132" spans="3:5" x14ac:dyDescent="0.3">
      <c r="C132" s="50" t="str">
        <f>'SmartHome&amp;IoT'!F2</f>
        <v>https://www.sparkfun.com/products/14135</v>
      </c>
      <c r="D132" s="50" t="str">
        <f>'SmartHome&amp;IoT'!G2</f>
        <v>https://cdn.sparkfun.com/r/92-92/assets/parts/1/2/0/3/4/14135-03.jpg</v>
      </c>
      <c r="E132" s="50" t="str">
        <f>'SmartHome&amp;IoT'!H2</f>
        <v>Arduino Tian</v>
      </c>
    </row>
    <row r="133" spans="3:5" x14ac:dyDescent="0.3">
      <c r="C133" s="50" t="str">
        <f>'SmartHome&amp;IoT'!F3</f>
        <v>https://www.sparkfun.com/products/14162</v>
      </c>
      <c r="D133" s="50" t="str">
        <f>'SmartHome&amp;IoT'!G3</f>
        <v>https://cdn.sparkfun.com/r/92-92/assets/parts/1/2/0/7/6/14162-02.jpg</v>
      </c>
      <c r="E133" s="50" t="str">
        <f>'SmartHome&amp;IoT'!H3</f>
        <v>BeagleBone Black Wireless</v>
      </c>
    </row>
    <row r="134" spans="3:5" x14ac:dyDescent="0.3">
      <c r="C134" s="50" t="str">
        <f>'SmartHome&amp;IoT'!F4</f>
        <v>https://www.sparkfun.com/products/12774</v>
      </c>
      <c r="D134" s="50" t="str">
        <f>'SmartHome&amp;IoT'!G4</f>
        <v>https://cdn.sparkfun.com/r/92-92/assets/parts/9/5/5/9/12774-02.jpg</v>
      </c>
      <c r="E134" s="50" t="str">
        <f>'SmartHome&amp;IoT'!H4</f>
        <v>SparkFun BeagleBone Black Proto Cape</v>
      </c>
    </row>
    <row r="135" spans="3:5" x14ac:dyDescent="0.3">
      <c r="C135" s="50" t="str">
        <f>'SmartHome&amp;IoT'!F5</f>
        <v>https://www.sparkfun.com/products/12086</v>
      </c>
      <c r="D135" s="50" t="str">
        <f>'SmartHome&amp;IoT'!G5</f>
        <v>https://cdn.sparkfun.com/r/92-92/assets/parts/8/7/1/8/12086-01.jpg</v>
      </c>
      <c r="E135" s="50" t="str">
        <f>'SmartHome&amp;IoT'!H5</f>
        <v>BeagleBone Black Cape - LCD (7.0\")</v>
      </c>
    </row>
    <row r="136" spans="3:5" x14ac:dyDescent="0.3">
      <c r="C136" s="50" t="str">
        <f>'SmartHome&amp;IoT'!F6</f>
        <v>https://www.sparkfun.com/products/12085</v>
      </c>
      <c r="D136" s="50" t="str">
        <f>'SmartHome&amp;IoT'!G6</f>
        <v>https://cdn.sparkfun.com/r/92-92/assets/parts/8/7/1/7/12085-01.jpg</v>
      </c>
      <c r="E136" s="50" t="str">
        <f>'SmartHome&amp;IoT'!H6</f>
        <v>BeagleBone Black Cape - LCD (4.3\")</v>
      </c>
    </row>
    <row r="137" spans="3:5" x14ac:dyDescent="0.3">
      <c r="C137" s="50" t="str">
        <f>'SmartHome&amp;IoT'!F16</f>
        <v>https://www.sparkfun.com/products/9564</v>
      </c>
      <c r="D137" s="50" t="str">
        <f>'SmartHome&amp;IoT'!G16</f>
        <v>https://cdn.sparkfun.com/r/92-92/assets/parts/3/3/3/6/09564-05.jpg</v>
      </c>
      <c r="E137" s="50" t="str">
        <f>'SmartHome&amp;IoT'!H16</f>
        <v>mbed - LPC1768 (Cortex-M3)</v>
      </c>
    </row>
    <row r="138" spans="3:5" x14ac:dyDescent="0.3">
      <c r="C138" s="50" t="str">
        <f>'SmartHome&amp;IoT'!F17</f>
        <v>https://www.sparkfun.com/products/11695</v>
      </c>
      <c r="D138" s="50" t="str">
        <f>'SmartHome&amp;IoT'!G17</f>
        <v>https://cdn.sparkfun.com/r/92-92/assets/parts/7/8/5/9/11695-01.jpg</v>
      </c>
      <c r="E138" s="50" t="str">
        <f>'SmartHome&amp;IoT'!H17</f>
        <v>mbed Application Board</v>
      </c>
    </row>
    <row r="139" spans="3:5" x14ac:dyDescent="0.3">
      <c r="C139" s="50" t="str">
        <f>'SmartHome&amp;IoT'!F18</f>
        <v>https://www.sparkfun.com/products/13097</v>
      </c>
      <c r="D139" s="50" t="str">
        <f>'SmartHome&amp;IoT'!G18</f>
        <v>https://cdn.sparkfun.com/r/92-92/assets/parts/1/0/1/3/9/13097-06.jpg</v>
      </c>
      <c r="E139" s="50" t="str">
        <f>'SmartHome&amp;IoT'!H18</f>
        <v>IntelÂ® Edison and Arduino Breakout Kit</v>
      </c>
    </row>
    <row r="140" spans="3:5" x14ac:dyDescent="0.3">
      <c r="C140" s="50" t="str">
        <f>'SmartHome&amp;IoT'!F19</f>
        <v>https://www.sparkfun.com/products/13045</v>
      </c>
      <c r="D140" s="50" t="str">
        <f>'SmartHome&amp;IoT'!G19</f>
        <v>https://cdn.sparkfun.com/r/92-92/assets/parts/1/0/0/4/7/13045-01.jpg</v>
      </c>
      <c r="E140" s="50" t="str">
        <f>'SmartHome&amp;IoT'!H19</f>
        <v>SparkFun Block for IntelÂ® Edison - Base</v>
      </c>
    </row>
    <row r="141" spans="3:5" x14ac:dyDescent="0.3">
      <c r="C141" s="50" t="str">
        <f>'SmartHome&amp;IoT'!F20</f>
        <v>https://www.sparkfun.com/products/13038</v>
      </c>
      <c r="D141" s="50" t="str">
        <f>'SmartHome&amp;IoT'!G20</f>
        <v>https://cdn.sparkfun.com/r/92-92/assets/parts/1/0/0/3/9/13038-04.jpg</v>
      </c>
      <c r="E141" s="50" t="str">
        <f>'SmartHome&amp;IoT'!H20</f>
        <v>SparkFun Block for IntelÂ® Edison - GPIO</v>
      </c>
    </row>
    <row r="142" spans="3:5" x14ac:dyDescent="0.3">
      <c r="C142" s="50" t="str">
        <f>'SmartHome&amp;IoT'!F21</f>
        <v>https://www.sparkfun.com/products/13034</v>
      </c>
      <c r="D142" s="50" t="str">
        <f>'SmartHome&amp;IoT'!G21</f>
        <v>https://cdn.sparkfun.com/r/92-92/assets/parts/1/0/0/3/5/13034-01_1.jpg</v>
      </c>
      <c r="E142" s="50" t="str">
        <f>'SmartHome&amp;IoT'!H21</f>
        <v>SparkFun Block for IntelÂ® Edison - I2C</v>
      </c>
    </row>
    <row r="143" spans="3:5" x14ac:dyDescent="0.3">
      <c r="C143" s="50" t="str">
        <f>'SmartHome&amp;IoT'!F22</f>
        <v>https://www.sparkfun.com/products/13041</v>
      </c>
      <c r="D143" s="50" t="str">
        <f>'SmartHome&amp;IoT'!G22</f>
        <v>https://cdn.sparkfun.com/r/92-92/assets/parts/1/0/0/4/2/13041-01.jpg</v>
      </c>
      <c r="E143" s="50" t="str">
        <f>'SmartHome&amp;IoT'!H22</f>
        <v>SparkFun Block for IntelÂ® Edison - microSD</v>
      </c>
    </row>
    <row r="144" spans="3:5" x14ac:dyDescent="0.3">
      <c r="C144" s="50" t="str">
        <f>'SmartHome&amp;IoT'!F23</f>
        <v>https://www.sparkfun.com/products/13727</v>
      </c>
      <c r="D144" s="50" t="str">
        <f>'SmartHome&amp;IoT'!G23</f>
        <v>https://cdn.sparkfun.com/r/92-92/assets/parts/1/1/2/3/7/13727-01.jpg</v>
      </c>
      <c r="E144" s="50" t="str">
        <f>'SmartHome&amp;IoT'!H23</f>
        <v>SparkFun Block for IntelÂ® Edison - Power</v>
      </c>
    </row>
    <row r="145" spans="3:5" x14ac:dyDescent="0.3">
      <c r="C145" s="50" t="str">
        <f>'SmartHome&amp;IoT'!F24</f>
        <v>https://www.sparkfun.com/products/13035</v>
      </c>
      <c r="D145" s="50" t="str">
        <f>'SmartHome&amp;IoT'!G24</f>
        <v>https://cdn.sparkfun.com/r/92-92/assets/parts/1/0/0/3/6/13035-01.jpg</v>
      </c>
      <c r="E145" s="50" t="str">
        <f>'SmartHome&amp;IoT'!H24</f>
        <v>SparkFun Block for IntelÂ® Edison - OLED</v>
      </c>
    </row>
    <row r="146" spans="3:5" x14ac:dyDescent="0.3">
      <c r="C146" s="50" t="str">
        <f>'SmartHome&amp;IoT'!F25</f>
        <v>https://www.sparkfun.com/products/13770</v>
      </c>
      <c r="D146" s="50" t="str">
        <f>'SmartHome&amp;IoT'!G25</f>
        <v>https://cdn.sparkfun.com/r/92-92/assets/parts/1/1/3/2/1/13770-00.jpg</v>
      </c>
      <c r="E146" s="50" t="str">
        <f>'SmartHome&amp;IoT'!H25</f>
        <v>SparkFun Block for Intel Edison - ADC</v>
      </c>
    </row>
    <row r="147" spans="3:5" x14ac:dyDescent="0.3">
      <c r="C147" s="50" t="str">
        <f>'SmartHome&amp;IoT'!F26</f>
        <v>https://www.sparkfun.com/products/13187</v>
      </c>
      <c r="D147" s="50" t="str">
        <f>'SmartHome&amp;IoT'!G26</f>
        <v>https://cdn.sparkfun.com/r/92-92/assets/parts/1/0/3/2/4/13187-01.jpg</v>
      </c>
      <c r="E147" s="50" t="str">
        <f>'SmartHome&amp;IoT'!H26</f>
        <v>IntelÂ® Edison Hardware Pack</v>
      </c>
    </row>
    <row r="148" spans="3:5" x14ac:dyDescent="0.3">
      <c r="C148" s="50" t="str">
        <f>'SmartHome&amp;IoT'!F27</f>
        <v>https://www.sparkfun.com/products/14438</v>
      </c>
      <c r="D148" s="50" t="str">
        <f>'SmartHome&amp;IoT'!G27</f>
        <v>https://cdn.sparkfun.com/r/92-92/assets/parts/1/2/4/6/8/14438-01.jpg</v>
      </c>
      <c r="E148" s="50" t="str">
        <f>'SmartHome&amp;IoT'!H27</f>
        <v>Arduino Dock R2 for Onion Omega</v>
      </c>
    </row>
    <row r="149" spans="3:5" x14ac:dyDescent="0.3">
      <c r="C149" s="50" t="str">
        <f>'SmartHome&amp;IoT'!F28</f>
        <v>https://www.sparkfun.com/products/14431</v>
      </c>
      <c r="D149" s="50" t="str">
        <f>'SmartHome&amp;IoT'!G28</f>
        <v>https://cdn.sparkfun.com/r/92-92/assets/parts/1/2/4/6/1/14431-01.jpg</v>
      </c>
      <c r="E149" s="50" t="str">
        <f>'SmartHome&amp;IoT'!H28</f>
        <v>Onion Omega2+ IoT Computer</v>
      </c>
    </row>
    <row r="150" spans="3:5" x14ac:dyDescent="0.3">
      <c r="C150" s="50" t="str">
        <f>'SmartHome&amp;IoT'!F29</f>
        <v>https://www.sparkfun.com/products/14443</v>
      </c>
      <c r="D150" s="50" t="str">
        <f>'SmartHome&amp;IoT'!G29</f>
        <v>https://cdn.sparkfun.com/r/92-92/assets/parts/1/2/4/7/3/14443-01.jpg</v>
      </c>
      <c r="E150" s="50" t="str">
        <f>'SmartHome&amp;IoT'!H29</f>
        <v>Proto Expansion Board for Onion Omega</v>
      </c>
    </row>
    <row r="151" spans="3:5" x14ac:dyDescent="0.3">
      <c r="C151" s="50" t="str">
        <f>'SmartHome&amp;IoT'!F30</f>
        <v>https://www.sparkfun.com/products/14442</v>
      </c>
      <c r="D151" s="50" t="str">
        <f>'SmartHome&amp;IoT'!G30</f>
        <v>https://cdn.sparkfun.com/r/92-92/assets/parts/1/2/4/7/2/14442-01.jpg</v>
      </c>
      <c r="E151" s="50" t="str">
        <f>'SmartHome&amp;IoT'!H30</f>
        <v>OLED Expansion Board for Onion Omega</v>
      </c>
    </row>
    <row r="152" spans="3:5" x14ac:dyDescent="0.3">
      <c r="C152" s="50" t="str">
        <f>'SmartHome&amp;IoT'!F31</f>
        <v>https://www.sparkfun.com/products/14441</v>
      </c>
      <c r="D152" s="50" t="str">
        <f>'SmartHome&amp;IoT'!G31</f>
        <v>https://cdn.sparkfun.com/r/92-92/assets/parts/1/2/4/7/1/14441-02.jpg</v>
      </c>
      <c r="E152" s="50" t="str">
        <f>'SmartHome&amp;IoT'!H31</f>
        <v>Ethernet Expansion Board for Onion Omega</v>
      </c>
    </row>
    <row r="153" spans="3:5" x14ac:dyDescent="0.3">
      <c r="C153" s="50" t="str">
        <f>'SmartHome&amp;IoT'!F34</f>
        <v>https://www.sparkfun.com/products/14439</v>
      </c>
      <c r="D153" s="50" t="str">
        <f>'SmartHome&amp;IoT'!G34</f>
        <v>https://cdn.sparkfun.com/r/92-92/assets/parts/1/2/4/6/9/14439-03.jpg</v>
      </c>
      <c r="E153" s="50" t="str">
        <f>'SmartHome&amp;IoT'!H34</f>
        <v>Expansion Dock for Onion Omega</v>
      </c>
    </row>
    <row r="154" spans="3:5" x14ac:dyDescent="0.3">
      <c r="C154" s="50" t="str">
        <f>'SmartHome&amp;IoT'!F35</f>
        <v>https://www.sparkfun.com/products/14431</v>
      </c>
      <c r="D154" s="50" t="str">
        <f>'SmartHome&amp;IoT'!G35</f>
        <v>https://cdn.sparkfun.com/r/92-92/assets/parts/1/2/4/6/1/14431-01.jpg</v>
      </c>
      <c r="E154" s="50" t="str">
        <f>'SmartHome&amp;IoT'!H35</f>
        <v>Onion Omega2+ IoT Computer</v>
      </c>
    </row>
    <row r="155" spans="3:5" x14ac:dyDescent="0.3">
      <c r="C155" s="50" t="str">
        <f>'SmartHome&amp;IoT'!F36</f>
        <v>https://www.sparkfun.com/products/14446</v>
      </c>
      <c r="D155" s="50" t="str">
        <f>'SmartHome&amp;IoT'!G36</f>
        <v>https://cdn.sparkfun.com/r/92-92/assets/parts/1/2/4/7/6/14446-01.jpg</v>
      </c>
      <c r="E155" s="50" t="str">
        <f>'SmartHome&amp;IoT'!H36</f>
        <v>GPS Expansion Board for Onion Omega</v>
      </c>
    </row>
    <row r="156" spans="3:5" x14ac:dyDescent="0.3">
      <c r="C156" s="50" t="str">
        <f>'SmartHome&amp;IoT'!F37</f>
        <v>https://www.sparkfun.com/products/14443</v>
      </c>
      <c r="D156" s="50" t="str">
        <f>'SmartHome&amp;IoT'!G37</f>
        <v>https://cdn.sparkfun.com/r/92-92/assets/parts/1/2/4/7/3/14443-01.jpg</v>
      </c>
      <c r="E156" s="50" t="str">
        <f>'SmartHome&amp;IoT'!H37</f>
        <v>Proto Expansion Board for Onion Omega</v>
      </c>
    </row>
    <row r="157" spans="3:5" x14ac:dyDescent="0.3">
      <c r="C157" s="50" t="str">
        <f>'SmartHome&amp;IoT'!F38</f>
        <v>https://www.sparkfun.com/products/14442</v>
      </c>
      <c r="D157" s="50" t="str">
        <f>'SmartHome&amp;IoT'!G38</f>
        <v>https://cdn.sparkfun.com/r/92-92/assets/parts/1/2/4/7/2/14442-01.jpg</v>
      </c>
      <c r="E157" s="50" t="str">
        <f>'SmartHome&amp;IoT'!H38</f>
        <v>OLED Expansion Board for Onion Omega</v>
      </c>
    </row>
    <row r="158" spans="3:5" x14ac:dyDescent="0.3">
      <c r="C158" s="50" t="str">
        <f>'SmartHome&amp;IoT'!F39</f>
        <v>https://www.sparkfun.com/products/13613</v>
      </c>
      <c r="D158" s="50" t="str">
        <f>'SmartHome&amp;IoT'!G39</f>
        <v>https://cdn.sparkfun.com/r/92-92/assets/parts/1/0/9/8/3/13613-01.jpg</v>
      </c>
      <c r="E158" s="50" t="str">
        <f>'SmartHome&amp;IoT'!H39</f>
        <v>IOIO-OTG - V2.2</v>
      </c>
    </row>
    <row r="159" spans="3:5" x14ac:dyDescent="0.3">
      <c r="C159" s="50" t="str">
        <f>'SmartHome&amp;IoT'!F40</f>
        <v>https://www.sparkfun.com/products/12923</v>
      </c>
      <c r="D159" s="50" t="str">
        <f>'SmartHome&amp;IoT'!G40</f>
        <v>https://cdn.sparkfun.com/r/92-92/assets/parts/9/8/4/5/12923-01.jpg</v>
      </c>
      <c r="E159" s="50" t="str">
        <f>'SmartHome&amp;IoT'!H40</f>
        <v>SparkFun MicroView - OLED Arduino Module</v>
      </c>
    </row>
    <row r="160" spans="3:5" x14ac:dyDescent="0.3">
      <c r="C160" s="50" t="str">
        <f>'SmartHome&amp;IoT'!F41</f>
        <v>https://www.sparkfun.com/products/12924</v>
      </c>
      <c r="D160" s="50" t="str">
        <f>'SmartHome&amp;IoT'!G41</f>
        <v>https://cdn.sparkfun.com/r/92-92/assets/parts/9/8/4/6/12924-01.jpg</v>
      </c>
      <c r="E160" s="50" t="str">
        <f>'SmartHome&amp;IoT'!H41</f>
        <v>SparkFun MicroView - USB Programmer</v>
      </c>
    </row>
    <row r="161" spans="2:5" x14ac:dyDescent="0.3">
      <c r="C161" s="50" t="str">
        <f>'SmartHome&amp;IoT'!F42</f>
        <v>https://www.sparkfun.com/products/14280</v>
      </c>
      <c r="D161" s="50" t="str">
        <f>'SmartHome&amp;IoT'!G42</f>
        <v>https://cdn.sparkfun.com/r/92-92/assets/parts/1/2/2/3/6/14280-01.jpg</v>
      </c>
      <c r="E161" s="50" t="str">
        <f>'SmartHome&amp;IoT'!H42</f>
        <v>Realtek Ameba Board</v>
      </c>
    </row>
    <row r="164" spans="2:5" s="50" customFormat="1" x14ac:dyDescent="0.3">
      <c r="B164" s="50">
        <v>5</v>
      </c>
      <c r="C164" s="50" t="s">
        <v>57</v>
      </c>
      <c r="D164" s="50" t="s">
        <v>58</v>
      </c>
      <c r="E164" s="50" t="s">
        <v>59</v>
      </c>
    </row>
    <row r="165" spans="2:5" s="50" customFormat="1" x14ac:dyDescent="0.3">
      <c r="B165" s="50">
        <v>5</v>
      </c>
      <c r="C165" s="50" t="s">
        <v>61</v>
      </c>
      <c r="D165" s="50" t="s">
        <v>62</v>
      </c>
      <c r="E165" s="50" t="s">
        <v>63</v>
      </c>
    </row>
    <row r="166" spans="2:5" s="50" customFormat="1" x14ac:dyDescent="0.3">
      <c r="B166" s="50">
        <v>5</v>
      </c>
      <c r="C166" s="50" t="s">
        <v>65</v>
      </c>
      <c r="D166" s="50" t="s">
        <v>66</v>
      </c>
      <c r="E166" s="50" t="s">
        <v>67</v>
      </c>
    </row>
    <row r="167" spans="2:5" s="50" customFormat="1" x14ac:dyDescent="0.3">
      <c r="B167" s="50">
        <v>10</v>
      </c>
      <c r="C167" s="50" t="s">
        <v>69</v>
      </c>
      <c r="D167" s="50" t="s">
        <v>70</v>
      </c>
      <c r="E167" s="50" t="s">
        <v>71</v>
      </c>
    </row>
  </sheetData>
  <mergeCells count="1">
    <mergeCell ref="D1:G1"/>
  </mergeCells>
  <pageMargins left="0.7" right="0.7" top="0.75" bottom="0.75" header="0.3" footer="0.3"/>
  <pageSetup orientation="portrait" horizontalDpi="4294967294"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3FD9-9B14-42ED-9E77-C54A6E4442FC}">
  <sheetPr codeName="Sheet18"/>
  <dimension ref="A1:R38"/>
  <sheetViews>
    <sheetView workbookViewId="0">
      <selection activeCell="J5" sqref="J5"/>
    </sheetView>
  </sheetViews>
  <sheetFormatPr defaultRowHeight="14.4" x14ac:dyDescent="0.3"/>
  <cols>
    <col min="1" max="1" width="2" customWidth="1"/>
    <col min="2" max="2" width="4.44140625" hidden="1" customWidth="1"/>
    <col min="3" max="3" width="12.21875" hidden="1" customWidth="1"/>
    <col min="4" max="4" width="59" customWidth="1"/>
    <col min="5" max="5" width="8.88671875" style="51" hidden="1" customWidth="1"/>
    <col min="6" max="6" width="6" bestFit="1" customWidth="1"/>
    <col min="7" max="7" width="13.77734375" customWidth="1"/>
    <col min="8" max="8" width="15.33203125" bestFit="1" customWidth="1"/>
    <col min="9" max="10" width="15.33203125" customWidth="1"/>
    <col min="11" max="11" width="16" bestFit="1" customWidth="1"/>
    <col min="12" max="12" width="2.21875" bestFit="1" customWidth="1"/>
    <col min="13" max="13" width="42.44140625" bestFit="1" customWidth="1"/>
    <col min="14" max="14" width="43.21875" bestFit="1" customWidth="1"/>
    <col min="16" max="16" width="10.77734375" bestFit="1" customWidth="1"/>
    <col min="17" max="17" width="166.88671875" bestFit="1" customWidth="1"/>
  </cols>
  <sheetData>
    <row r="1" spans="1:18" x14ac:dyDescent="0.3">
      <c r="G1" t="s">
        <v>2511</v>
      </c>
      <c r="H1" t="s">
        <v>2512</v>
      </c>
      <c r="I1" t="s">
        <v>2515</v>
      </c>
      <c r="J1" t="s">
        <v>2513</v>
      </c>
      <c r="K1" t="s">
        <v>2518</v>
      </c>
    </row>
    <row r="2" spans="1:18" x14ac:dyDescent="0.3">
      <c r="A2" s="89">
        <v>1</v>
      </c>
      <c r="B2" s="12" t="s">
        <v>137</v>
      </c>
      <c r="C2" s="12" t="s">
        <v>138</v>
      </c>
      <c r="D2" s="12" t="s">
        <v>139</v>
      </c>
      <c r="E2" s="12">
        <v>1</v>
      </c>
      <c r="F2" s="89">
        <v>49.95</v>
      </c>
      <c r="G2" s="104" t="s">
        <v>2516</v>
      </c>
      <c r="H2" s="111" t="s">
        <v>2409</v>
      </c>
      <c r="K2" t="s">
        <v>2528</v>
      </c>
      <c r="L2" s="12" t="s">
        <v>1910</v>
      </c>
      <c r="M2" s="51" t="s">
        <v>894</v>
      </c>
      <c r="N2" s="51" t="s">
        <v>888</v>
      </c>
      <c r="O2" s="51" t="s">
        <v>8</v>
      </c>
    </row>
    <row r="3" spans="1:18" s="105" customFormat="1" x14ac:dyDescent="0.3">
      <c r="A3" s="104">
        <v>1</v>
      </c>
      <c r="B3" s="103" t="s">
        <v>231</v>
      </c>
      <c r="C3" s="103" t="s">
        <v>232</v>
      </c>
      <c r="D3" s="103" t="s">
        <v>198</v>
      </c>
      <c r="E3" s="103">
        <v>1</v>
      </c>
      <c r="F3" s="104">
        <v>54.95</v>
      </c>
      <c r="G3" s="104" t="s">
        <v>194</v>
      </c>
      <c r="H3" s="104" t="s">
        <v>2514</v>
      </c>
      <c r="I3" s="104" t="s">
        <v>2514</v>
      </c>
      <c r="J3" s="104" t="s">
        <v>2514</v>
      </c>
      <c r="K3" s="104"/>
      <c r="L3" s="103" t="s">
        <v>1910</v>
      </c>
      <c r="M3" s="102" t="s">
        <v>894</v>
      </c>
      <c r="N3" s="102" t="s">
        <v>1896</v>
      </c>
      <c r="O3" s="102" t="s">
        <v>8</v>
      </c>
      <c r="P3" s="103" t="s">
        <v>230</v>
      </c>
      <c r="R3" s="105">
        <v>54.95</v>
      </c>
    </row>
    <row r="4" spans="1:18" s="105" customFormat="1" x14ac:dyDescent="0.3">
      <c r="A4" s="104">
        <v>5</v>
      </c>
      <c r="B4" s="103" t="s">
        <v>33</v>
      </c>
      <c r="C4" s="103" t="s">
        <v>34</v>
      </c>
      <c r="D4" s="103" t="s">
        <v>35</v>
      </c>
      <c r="E4" s="103">
        <v>1</v>
      </c>
      <c r="F4" s="104">
        <v>45.95</v>
      </c>
      <c r="G4" s="104" t="s">
        <v>2516</v>
      </c>
      <c r="H4" s="104"/>
      <c r="I4" s="104"/>
      <c r="J4" s="104"/>
      <c r="K4" s="104"/>
      <c r="L4" s="103" t="s">
        <v>1911</v>
      </c>
      <c r="M4" s="102" t="s">
        <v>894</v>
      </c>
      <c r="N4" s="102" t="s">
        <v>1616</v>
      </c>
      <c r="O4" s="102" t="s">
        <v>8</v>
      </c>
      <c r="P4" s="103" t="s">
        <v>32</v>
      </c>
      <c r="R4" s="105">
        <v>229.75</v>
      </c>
    </row>
    <row r="5" spans="1:18" s="105" customFormat="1" x14ac:dyDescent="0.3">
      <c r="A5" s="104">
        <v>5</v>
      </c>
      <c r="B5" s="103" t="s">
        <v>37</v>
      </c>
      <c r="C5" s="103" t="s">
        <v>38</v>
      </c>
      <c r="D5" s="102" t="s">
        <v>39</v>
      </c>
      <c r="E5" s="102">
        <v>1</v>
      </c>
      <c r="F5" s="111">
        <v>29.95</v>
      </c>
      <c r="G5" s="111" t="s">
        <v>2409</v>
      </c>
      <c r="H5" s="111" t="s">
        <v>2409</v>
      </c>
      <c r="I5" s="111"/>
      <c r="J5" s="111" t="s">
        <v>2526</v>
      </c>
      <c r="K5" s="111" t="s">
        <v>194</v>
      </c>
      <c r="L5" s="102" t="s">
        <v>1911</v>
      </c>
      <c r="M5" s="103" t="s">
        <v>894</v>
      </c>
      <c r="N5" s="103" t="s">
        <v>2040</v>
      </c>
      <c r="O5" s="103" t="s">
        <v>8</v>
      </c>
      <c r="P5" s="103" t="s">
        <v>36</v>
      </c>
      <c r="R5" s="105">
        <v>149.75</v>
      </c>
    </row>
    <row r="6" spans="1:18" s="105" customFormat="1" ht="43.2" x14ac:dyDescent="0.3">
      <c r="A6" s="104">
        <v>5</v>
      </c>
      <c r="B6" s="103" t="s">
        <v>41</v>
      </c>
      <c r="C6" s="103" t="s">
        <v>42</v>
      </c>
      <c r="D6" s="102" t="s">
        <v>43</v>
      </c>
      <c r="E6" s="102">
        <v>1</v>
      </c>
      <c r="F6" s="111">
        <v>14.95</v>
      </c>
      <c r="G6" s="136" t="s">
        <v>2527</v>
      </c>
      <c r="H6" s="111" t="s">
        <v>2409</v>
      </c>
      <c r="I6" s="111"/>
      <c r="J6" s="111" t="s">
        <v>194</v>
      </c>
      <c r="K6" s="111" t="s">
        <v>194</v>
      </c>
      <c r="L6" s="102" t="s">
        <v>1911</v>
      </c>
      <c r="M6" s="103" t="s">
        <v>894</v>
      </c>
      <c r="N6" s="103" t="s">
        <v>2040</v>
      </c>
      <c r="O6" s="103" t="s">
        <v>8</v>
      </c>
      <c r="P6" s="103" t="s">
        <v>40</v>
      </c>
      <c r="R6" s="105">
        <v>74.75</v>
      </c>
    </row>
    <row r="7" spans="1:18" s="105" customFormat="1" x14ac:dyDescent="0.3">
      <c r="A7" s="104">
        <v>1</v>
      </c>
      <c r="B7" s="103" t="s">
        <v>49</v>
      </c>
      <c r="C7" s="103" t="s">
        <v>50</v>
      </c>
      <c r="D7" s="102" t="s">
        <v>51</v>
      </c>
      <c r="E7" s="102">
        <v>1</v>
      </c>
      <c r="F7" s="111">
        <v>19.95</v>
      </c>
      <c r="G7" s="111" t="s">
        <v>2409</v>
      </c>
      <c r="H7" s="111" t="s">
        <v>2409</v>
      </c>
      <c r="I7" s="111"/>
      <c r="J7" s="104" t="s">
        <v>2514</v>
      </c>
      <c r="K7" s="104" t="s">
        <v>2514</v>
      </c>
      <c r="L7" s="102" t="s">
        <v>1910</v>
      </c>
      <c r="M7" s="103" t="s">
        <v>894</v>
      </c>
      <c r="N7" s="103" t="s">
        <v>2040</v>
      </c>
      <c r="O7" s="103" t="s">
        <v>8</v>
      </c>
      <c r="P7" s="103" t="s">
        <v>48</v>
      </c>
      <c r="R7" s="105">
        <v>19.95</v>
      </c>
    </row>
    <row r="8" spans="1:18" s="105" customFormat="1" x14ac:dyDescent="0.3">
      <c r="A8" s="104">
        <v>5</v>
      </c>
      <c r="B8" s="103" t="s">
        <v>45</v>
      </c>
      <c r="C8" s="103" t="s">
        <v>46</v>
      </c>
      <c r="D8" s="102" t="s">
        <v>47</v>
      </c>
      <c r="E8" s="102">
        <v>1</v>
      </c>
      <c r="F8" s="111">
        <v>9.9499999999999993</v>
      </c>
      <c r="G8" s="104" t="s">
        <v>2516</v>
      </c>
      <c r="H8" s="111"/>
      <c r="I8" s="111"/>
      <c r="J8" s="111"/>
      <c r="K8" s="111"/>
      <c r="L8" s="102" t="s">
        <v>1911</v>
      </c>
      <c r="M8" s="103" t="s">
        <v>894</v>
      </c>
      <c r="N8" s="103" t="s">
        <v>2034</v>
      </c>
      <c r="O8" s="103" t="s">
        <v>8</v>
      </c>
      <c r="P8" s="103" t="s">
        <v>44</v>
      </c>
      <c r="R8" s="105">
        <v>49.75</v>
      </c>
    </row>
    <row r="9" spans="1:18" s="105" customFormat="1" x14ac:dyDescent="0.3">
      <c r="A9" s="104">
        <v>2</v>
      </c>
      <c r="B9" s="103" t="s">
        <v>1206</v>
      </c>
      <c r="C9" s="103" t="s">
        <v>1207</v>
      </c>
      <c r="D9" s="102" t="s">
        <v>1208</v>
      </c>
      <c r="E9" s="102">
        <v>1</v>
      </c>
      <c r="F9" s="111">
        <v>9.9499999999999993</v>
      </c>
      <c r="G9" s="104" t="s">
        <v>2516</v>
      </c>
      <c r="H9" s="111"/>
      <c r="I9" s="111"/>
      <c r="J9" s="111"/>
      <c r="K9" s="111"/>
      <c r="L9" s="102" t="s">
        <v>1913</v>
      </c>
      <c r="M9" s="103" t="s">
        <v>894</v>
      </c>
      <c r="N9" s="103" t="s">
        <v>2034</v>
      </c>
      <c r="O9" s="103" t="s">
        <v>8</v>
      </c>
      <c r="P9" s="103" t="s">
        <v>1205</v>
      </c>
      <c r="R9" s="105">
        <v>19.899999999999999</v>
      </c>
    </row>
    <row r="10" spans="1:18" s="105" customFormat="1" x14ac:dyDescent="0.3">
      <c r="A10" s="104">
        <v>0</v>
      </c>
      <c r="B10" s="103"/>
      <c r="C10" s="103"/>
      <c r="D10" s="102" t="s">
        <v>2288</v>
      </c>
      <c r="E10" s="102"/>
      <c r="F10" s="111">
        <v>14.95</v>
      </c>
      <c r="G10" s="104" t="s">
        <v>2516</v>
      </c>
      <c r="H10" s="111"/>
      <c r="I10" s="111"/>
      <c r="J10" s="111"/>
      <c r="K10" s="111"/>
      <c r="L10" s="102" t="s">
        <v>1910</v>
      </c>
      <c r="M10" s="103" t="s">
        <v>894</v>
      </c>
      <c r="N10" s="103" t="s">
        <v>2034</v>
      </c>
      <c r="O10" s="103" t="s">
        <v>1898</v>
      </c>
      <c r="P10" s="103" t="s">
        <v>2287</v>
      </c>
    </row>
    <row r="11" spans="1:18" s="105" customFormat="1" x14ac:dyDescent="0.3">
      <c r="A11" s="104">
        <v>1</v>
      </c>
      <c r="B11" s="103" t="s">
        <v>1528</v>
      </c>
      <c r="C11" s="103" t="s">
        <v>1529</v>
      </c>
      <c r="D11" s="103" t="s">
        <v>1530</v>
      </c>
      <c r="E11" s="103">
        <v>1</v>
      </c>
      <c r="F11" s="104">
        <v>24.95</v>
      </c>
      <c r="G11" s="104" t="s">
        <v>2516</v>
      </c>
      <c r="H11" s="104"/>
      <c r="I11" s="104"/>
      <c r="J11" s="104" t="s">
        <v>194</v>
      </c>
      <c r="K11" s="104"/>
      <c r="L11" s="103" t="s">
        <v>1914</v>
      </c>
      <c r="M11" s="102" t="s">
        <v>1070</v>
      </c>
      <c r="N11" s="102" t="s">
        <v>1603</v>
      </c>
      <c r="O11" s="102" t="s">
        <v>8</v>
      </c>
      <c r="P11" s="103" t="s">
        <v>1527</v>
      </c>
      <c r="R11" s="105">
        <v>24.95</v>
      </c>
    </row>
    <row r="12" spans="1:18" s="70" customFormat="1" x14ac:dyDescent="0.3">
      <c r="A12" s="98">
        <v>1</v>
      </c>
      <c r="B12" s="69" t="s">
        <v>970</v>
      </c>
      <c r="C12" s="69" t="s">
        <v>971</v>
      </c>
      <c r="D12" s="69" t="s">
        <v>972</v>
      </c>
      <c r="E12" s="69">
        <v>1</v>
      </c>
      <c r="F12" s="98">
        <v>49.95</v>
      </c>
      <c r="G12" s="104" t="s">
        <v>194</v>
      </c>
      <c r="H12" s="104" t="s">
        <v>2514</v>
      </c>
      <c r="I12" s="104" t="s">
        <v>2514</v>
      </c>
      <c r="J12" s="104" t="s">
        <v>2514</v>
      </c>
      <c r="K12" s="104"/>
      <c r="L12" s="69" t="s">
        <v>1914</v>
      </c>
      <c r="M12" s="99" t="s">
        <v>1070</v>
      </c>
      <c r="N12" s="99" t="s">
        <v>1013</v>
      </c>
      <c r="O12" s="99" t="s">
        <v>8</v>
      </c>
      <c r="P12" s="69" t="s">
        <v>969</v>
      </c>
      <c r="Q12" s="69" t="s">
        <v>1056</v>
      </c>
      <c r="R12" s="69">
        <v>49.95</v>
      </c>
    </row>
    <row r="13" spans="1:18" s="70" customFormat="1" x14ac:dyDescent="0.3">
      <c r="A13" s="98">
        <v>0</v>
      </c>
      <c r="B13" s="69" t="s">
        <v>990</v>
      </c>
      <c r="C13" s="69" t="s">
        <v>991</v>
      </c>
      <c r="D13" s="69" t="s">
        <v>992</v>
      </c>
      <c r="E13" s="69">
        <v>1</v>
      </c>
      <c r="F13" s="98">
        <v>44.95</v>
      </c>
      <c r="G13" s="98"/>
      <c r="H13" s="98"/>
      <c r="I13" s="98"/>
      <c r="J13" s="98"/>
      <c r="K13" s="98"/>
      <c r="L13" s="69" t="s">
        <v>1914</v>
      </c>
      <c r="M13" s="99" t="s">
        <v>1070</v>
      </c>
      <c r="N13" s="100" t="s">
        <v>1013</v>
      </c>
      <c r="O13" s="100" t="s">
        <v>8</v>
      </c>
      <c r="P13" s="69" t="s">
        <v>989</v>
      </c>
      <c r="Q13" s="69" t="s">
        <v>1057</v>
      </c>
      <c r="R13" s="69">
        <v>0</v>
      </c>
    </row>
    <row r="14" spans="1:18" s="70" customFormat="1" x14ac:dyDescent="0.3">
      <c r="A14" s="98">
        <v>1</v>
      </c>
      <c r="B14" s="69" t="s">
        <v>954</v>
      </c>
      <c r="C14" s="69" t="s">
        <v>955</v>
      </c>
      <c r="D14" s="69" t="s">
        <v>956</v>
      </c>
      <c r="E14" s="69">
        <v>1</v>
      </c>
      <c r="F14" s="98">
        <v>59.95</v>
      </c>
      <c r="G14" s="98" t="s">
        <v>2523</v>
      </c>
      <c r="H14" s="98" t="s">
        <v>2409</v>
      </c>
      <c r="I14" s="98"/>
      <c r="J14" s="98"/>
      <c r="K14" s="98"/>
      <c r="L14" s="69" t="s">
        <v>1914</v>
      </c>
      <c r="M14" s="99" t="s">
        <v>1070</v>
      </c>
      <c r="N14" s="99" t="s">
        <v>1013</v>
      </c>
      <c r="O14" s="99" t="s">
        <v>8</v>
      </c>
      <c r="P14" s="69" t="s">
        <v>953</v>
      </c>
      <c r="Q14" s="69" t="s">
        <v>1057</v>
      </c>
      <c r="R14" s="69">
        <v>59.95</v>
      </c>
    </row>
    <row r="15" spans="1:18" x14ac:dyDescent="0.3">
      <c r="A15" s="89">
        <v>0</v>
      </c>
      <c r="B15" s="12"/>
      <c r="C15" s="12"/>
      <c r="D15" s="12" t="s">
        <v>2095</v>
      </c>
      <c r="E15" s="12"/>
      <c r="F15" s="89">
        <v>44.95</v>
      </c>
      <c r="G15" s="89" t="s">
        <v>2409</v>
      </c>
      <c r="H15" s="89" t="s">
        <v>2409</v>
      </c>
      <c r="I15" s="89"/>
      <c r="J15" s="89"/>
      <c r="K15" s="89"/>
      <c r="L15" s="12" t="s">
        <v>1910</v>
      </c>
      <c r="M15" s="12" t="s">
        <v>1070</v>
      </c>
      <c r="N15" s="12" t="s">
        <v>1013</v>
      </c>
      <c r="O15" s="12" t="s">
        <v>1898</v>
      </c>
      <c r="P15" s="12" t="s">
        <v>2094</v>
      </c>
    </row>
    <row r="16" spans="1:18" x14ac:dyDescent="0.3">
      <c r="A16" s="89">
        <v>1</v>
      </c>
      <c r="B16" s="12"/>
      <c r="C16" s="12"/>
      <c r="D16" s="12" t="s">
        <v>2072</v>
      </c>
      <c r="E16" s="12"/>
      <c r="F16" s="89">
        <v>39.950000000000003</v>
      </c>
      <c r="G16" s="89"/>
      <c r="H16" s="89"/>
      <c r="I16" s="89"/>
      <c r="J16" s="89"/>
      <c r="K16" s="89"/>
      <c r="L16" s="12" t="s">
        <v>1910</v>
      </c>
      <c r="M16" s="12" t="s">
        <v>1070</v>
      </c>
      <c r="N16" s="12" t="s">
        <v>2065</v>
      </c>
      <c r="O16" s="12" t="s">
        <v>1898</v>
      </c>
      <c r="P16" s="12" t="s">
        <v>2073</v>
      </c>
    </row>
    <row r="17" spans="1:18" s="70" customFormat="1" x14ac:dyDescent="0.3">
      <c r="A17" s="98">
        <v>1</v>
      </c>
      <c r="B17" s="69" t="s">
        <v>974</v>
      </c>
      <c r="C17" s="69" t="s">
        <v>975</v>
      </c>
      <c r="D17" s="69" t="s">
        <v>976</v>
      </c>
      <c r="E17" s="69">
        <v>1</v>
      </c>
      <c r="F17" s="98">
        <v>349</v>
      </c>
      <c r="G17" s="98"/>
      <c r="H17" s="98"/>
      <c r="I17" s="98"/>
      <c r="J17" s="98"/>
      <c r="K17" s="98"/>
      <c r="L17" s="69" t="s">
        <v>1914</v>
      </c>
      <c r="M17" s="99" t="s">
        <v>1070</v>
      </c>
      <c r="N17" s="100" t="s">
        <v>1014</v>
      </c>
      <c r="O17" s="100" t="s">
        <v>8</v>
      </c>
      <c r="P17" s="69" t="s">
        <v>973</v>
      </c>
      <c r="Q17" s="69" t="s">
        <v>1058</v>
      </c>
      <c r="R17" s="69">
        <v>349</v>
      </c>
    </row>
    <row r="18" spans="1:18" s="105" customFormat="1" x14ac:dyDescent="0.3">
      <c r="A18" s="104">
        <v>1</v>
      </c>
      <c r="B18" s="103" t="s">
        <v>978</v>
      </c>
      <c r="C18" s="103" t="s">
        <v>979</v>
      </c>
      <c r="D18" s="103" t="s">
        <v>980</v>
      </c>
      <c r="E18" s="103">
        <v>1</v>
      </c>
      <c r="F18" s="104">
        <v>49.95</v>
      </c>
      <c r="G18" s="104"/>
      <c r="H18" s="104"/>
      <c r="I18" s="104"/>
      <c r="J18" s="104"/>
      <c r="K18" s="104"/>
      <c r="L18" s="103" t="s">
        <v>1910</v>
      </c>
      <c r="M18" s="102" t="s">
        <v>1070</v>
      </c>
      <c r="N18" s="117" t="s">
        <v>1437</v>
      </c>
      <c r="O18" s="117" t="s">
        <v>8</v>
      </c>
      <c r="P18" s="103" t="s">
        <v>977</v>
      </c>
      <c r="Q18" s="103" t="s">
        <v>1061</v>
      </c>
      <c r="R18" s="103">
        <v>49.95</v>
      </c>
    </row>
    <row r="19" spans="1:18" s="105" customFormat="1" x14ac:dyDescent="0.3">
      <c r="A19" s="104">
        <v>1</v>
      </c>
      <c r="B19" s="103" t="s">
        <v>360</v>
      </c>
      <c r="C19" s="103" t="s">
        <v>361</v>
      </c>
      <c r="D19" s="103" t="s">
        <v>362</v>
      </c>
      <c r="E19" s="103">
        <v>1</v>
      </c>
      <c r="F19" s="104">
        <v>94.95</v>
      </c>
      <c r="G19" s="104" t="s">
        <v>2514</v>
      </c>
      <c r="H19" s="104" t="s">
        <v>2524</v>
      </c>
      <c r="I19" s="104" t="s">
        <v>2514</v>
      </c>
      <c r="J19" s="104"/>
      <c r="K19" s="104" t="s">
        <v>2519</v>
      </c>
      <c r="L19" s="103" t="s">
        <v>1913</v>
      </c>
      <c r="M19" s="102" t="s">
        <v>1046</v>
      </c>
      <c r="N19" s="102" t="s">
        <v>1068</v>
      </c>
      <c r="O19" s="102" t="s">
        <v>8</v>
      </c>
      <c r="P19" s="103" t="s">
        <v>359</v>
      </c>
      <c r="Q19" s="103" t="s">
        <v>1054</v>
      </c>
      <c r="R19" s="103">
        <v>94.95</v>
      </c>
    </row>
    <row r="20" spans="1:18" s="105" customFormat="1" ht="43.2" x14ac:dyDescent="0.3">
      <c r="A20" s="104">
        <v>1</v>
      </c>
      <c r="B20" s="103" t="s">
        <v>1331</v>
      </c>
      <c r="C20" s="103" t="s">
        <v>1332</v>
      </c>
      <c r="D20" s="103" t="s">
        <v>1333</v>
      </c>
      <c r="E20" s="103">
        <v>1</v>
      </c>
      <c r="F20" s="104">
        <v>69.95</v>
      </c>
      <c r="G20" s="136" t="s">
        <v>2520</v>
      </c>
      <c r="H20" s="104" t="s">
        <v>2514</v>
      </c>
      <c r="I20" s="104" t="s">
        <v>2514</v>
      </c>
      <c r="J20" s="104"/>
      <c r="K20" s="104" t="s">
        <v>2519</v>
      </c>
      <c r="L20" s="103" t="s">
        <v>1914</v>
      </c>
      <c r="M20" s="102" t="s">
        <v>1046</v>
      </c>
      <c r="N20" s="102" t="s">
        <v>1409</v>
      </c>
      <c r="O20" s="102" t="s">
        <v>8</v>
      </c>
      <c r="P20" s="103" t="s">
        <v>1330</v>
      </c>
      <c r="Q20" s="103" t="s">
        <v>1350</v>
      </c>
      <c r="R20" s="103">
        <v>69.95</v>
      </c>
    </row>
    <row r="21" spans="1:18" s="105" customFormat="1" x14ac:dyDescent="0.3">
      <c r="A21" s="104">
        <v>0</v>
      </c>
      <c r="B21" s="103" t="s">
        <v>337</v>
      </c>
      <c r="C21" s="103" t="s">
        <v>338</v>
      </c>
      <c r="D21" s="103" t="s">
        <v>339</v>
      </c>
      <c r="E21" s="103"/>
      <c r="F21" s="104">
        <v>59.95</v>
      </c>
      <c r="G21" s="104" t="s">
        <v>2516</v>
      </c>
      <c r="H21" s="104"/>
      <c r="I21" s="104"/>
      <c r="J21" s="104"/>
      <c r="K21" s="104" t="s">
        <v>2525</v>
      </c>
      <c r="L21" s="103" t="s">
        <v>1913</v>
      </c>
      <c r="M21" s="102" t="s">
        <v>1046</v>
      </c>
      <c r="N21" s="102" t="s">
        <v>1042</v>
      </c>
      <c r="O21" s="102" t="s">
        <v>8</v>
      </c>
      <c r="P21" s="103" t="s">
        <v>336</v>
      </c>
      <c r="Q21" s="103" t="s">
        <v>1045</v>
      </c>
      <c r="R21" s="103">
        <v>0</v>
      </c>
    </row>
    <row r="22" spans="1:18" s="105" customFormat="1" x14ac:dyDescent="0.3">
      <c r="A22" s="104">
        <v>1</v>
      </c>
      <c r="B22" s="103" t="s">
        <v>301</v>
      </c>
      <c r="C22" s="103" t="s">
        <v>302</v>
      </c>
      <c r="D22" s="103" t="s">
        <v>303</v>
      </c>
      <c r="E22" s="103">
        <v>1</v>
      </c>
      <c r="F22" s="104">
        <v>99.95</v>
      </c>
      <c r="G22" s="104"/>
      <c r="H22" s="104"/>
      <c r="I22" s="104"/>
      <c r="J22" s="104"/>
      <c r="K22" s="104"/>
      <c r="L22" s="103" t="s">
        <v>1914</v>
      </c>
      <c r="M22" s="102" t="s">
        <v>1046</v>
      </c>
      <c r="N22" s="102" t="s">
        <v>1043</v>
      </c>
      <c r="O22" s="102" t="s">
        <v>8</v>
      </c>
      <c r="P22" s="103" t="s">
        <v>300</v>
      </c>
      <c r="Q22" s="103" t="s">
        <v>1052</v>
      </c>
      <c r="R22" s="103">
        <v>99.95</v>
      </c>
    </row>
    <row r="23" spans="1:18" s="70" customFormat="1" ht="28.8" x14ac:dyDescent="0.3">
      <c r="A23" s="98">
        <v>1</v>
      </c>
      <c r="B23" s="69" t="s">
        <v>1173</v>
      </c>
      <c r="C23" s="69" t="s">
        <v>1174</v>
      </c>
      <c r="D23" s="69" t="s">
        <v>1175</v>
      </c>
      <c r="E23" s="69"/>
      <c r="F23" s="98">
        <v>20</v>
      </c>
      <c r="G23" s="136" t="s">
        <v>2517</v>
      </c>
      <c r="H23" s="104" t="s">
        <v>2514</v>
      </c>
      <c r="I23" s="98"/>
      <c r="J23" s="98"/>
      <c r="K23" s="98" t="s">
        <v>2519</v>
      </c>
      <c r="L23" s="69" t="s">
        <v>1914</v>
      </c>
      <c r="M23" s="99" t="s">
        <v>1046</v>
      </c>
      <c r="N23" s="99" t="s">
        <v>1737</v>
      </c>
      <c r="O23" s="99" t="s">
        <v>8</v>
      </c>
      <c r="P23" s="69" t="s">
        <v>1172</v>
      </c>
      <c r="Q23" s="71" t="s">
        <v>1050</v>
      </c>
      <c r="R23" s="69">
        <v>20</v>
      </c>
    </row>
    <row r="24" spans="1:18" x14ac:dyDescent="0.3">
      <c r="A24" s="89">
        <v>1</v>
      </c>
      <c r="B24" s="12" t="s">
        <v>2438</v>
      </c>
      <c r="C24" s="12" t="s">
        <v>2439</v>
      </c>
      <c r="D24" s="12" t="s">
        <v>2440</v>
      </c>
      <c r="E24" s="12"/>
      <c r="F24" s="89">
        <v>15</v>
      </c>
      <c r="G24" s="136" t="s">
        <v>2522</v>
      </c>
      <c r="H24" s="104" t="s">
        <v>2514</v>
      </c>
      <c r="I24" s="98"/>
      <c r="J24" s="98"/>
      <c r="K24" s="98" t="s">
        <v>2519</v>
      </c>
      <c r="L24" s="12" t="s">
        <v>1914</v>
      </c>
      <c r="M24" s="51" t="s">
        <v>1046</v>
      </c>
      <c r="N24" s="51" t="s">
        <v>1180</v>
      </c>
      <c r="O24" s="51" t="s">
        <v>8</v>
      </c>
      <c r="P24" s="12" t="s">
        <v>2437</v>
      </c>
      <c r="Q24" s="12" t="s">
        <v>1050</v>
      </c>
      <c r="R24" s="69">
        <v>15</v>
      </c>
    </row>
    <row r="25" spans="1:18" x14ac:dyDescent="0.3">
      <c r="A25" s="89">
        <v>1</v>
      </c>
      <c r="B25" s="12" t="s">
        <v>2442</v>
      </c>
      <c r="C25" s="12" t="s">
        <v>2443</v>
      </c>
      <c r="D25" s="12" t="s">
        <v>2444</v>
      </c>
      <c r="E25" s="12"/>
      <c r="F25" s="89">
        <v>10</v>
      </c>
      <c r="G25" s="136" t="s">
        <v>2522</v>
      </c>
      <c r="H25" s="89"/>
      <c r="I25" s="89"/>
      <c r="J25" s="89"/>
      <c r="K25" s="89"/>
      <c r="L25" s="12" t="s">
        <v>1914</v>
      </c>
      <c r="M25" s="51" t="s">
        <v>1046</v>
      </c>
      <c r="N25" s="51" t="s">
        <v>1180</v>
      </c>
      <c r="O25" s="51" t="s">
        <v>8</v>
      </c>
      <c r="P25" s="12" t="s">
        <v>2441</v>
      </c>
      <c r="Q25" s="12" t="s">
        <v>1050</v>
      </c>
      <c r="R25" s="69">
        <v>10</v>
      </c>
    </row>
    <row r="26" spans="1:18" s="70" customFormat="1" ht="16.2" x14ac:dyDescent="0.3">
      <c r="A26" s="98">
        <v>1</v>
      </c>
      <c r="B26" s="69" t="s">
        <v>1077</v>
      </c>
      <c r="C26" s="69" t="s">
        <v>1078</v>
      </c>
      <c r="D26" s="69" t="s">
        <v>1079</v>
      </c>
      <c r="E26" s="69"/>
      <c r="F26" s="98">
        <v>15</v>
      </c>
      <c r="G26" s="136" t="s">
        <v>2522</v>
      </c>
      <c r="H26" s="104" t="s">
        <v>2514</v>
      </c>
      <c r="I26" s="98"/>
      <c r="J26" s="98"/>
      <c r="K26" s="98" t="s">
        <v>2519</v>
      </c>
      <c r="L26" s="69" t="s">
        <v>1914</v>
      </c>
      <c r="M26" s="99" t="s">
        <v>1047</v>
      </c>
      <c r="N26" s="99" t="s">
        <v>1738</v>
      </c>
      <c r="O26" s="99" t="s">
        <v>8</v>
      </c>
      <c r="P26" s="69" t="s">
        <v>1076</v>
      </c>
      <c r="Q26" s="71" t="s">
        <v>1050</v>
      </c>
      <c r="R26" s="69">
        <v>15</v>
      </c>
    </row>
    <row r="27" spans="1:18" s="70" customFormat="1" x14ac:dyDescent="0.3">
      <c r="A27" s="98">
        <v>1</v>
      </c>
      <c r="B27" s="69" t="s">
        <v>352</v>
      </c>
      <c r="C27" s="69" t="s">
        <v>353</v>
      </c>
      <c r="D27" s="69" t="s">
        <v>354</v>
      </c>
      <c r="E27" s="69"/>
      <c r="F27" s="98">
        <v>24.95</v>
      </c>
      <c r="G27" s="104" t="s">
        <v>2514</v>
      </c>
      <c r="H27" s="104" t="s">
        <v>2521</v>
      </c>
      <c r="I27" s="104" t="s">
        <v>2514</v>
      </c>
      <c r="J27" s="104" t="s">
        <v>2514</v>
      </c>
      <c r="K27" s="104"/>
      <c r="L27" s="69" t="s">
        <v>1914</v>
      </c>
      <c r="M27" s="99" t="s">
        <v>1047</v>
      </c>
      <c r="N27" s="99" t="s">
        <v>1067</v>
      </c>
      <c r="O27" s="99" t="s">
        <v>8</v>
      </c>
      <c r="P27" s="69" t="s">
        <v>351</v>
      </c>
      <c r="Q27" s="69" t="s">
        <v>1051</v>
      </c>
      <c r="R27" s="69">
        <v>24.95</v>
      </c>
    </row>
    <row r="28" spans="1:18" s="70" customFormat="1" x14ac:dyDescent="0.3">
      <c r="A28" s="98">
        <v>1</v>
      </c>
      <c r="B28" s="69" t="s">
        <v>356</v>
      </c>
      <c r="C28" s="69" t="s">
        <v>357</v>
      </c>
      <c r="D28" s="69" t="s">
        <v>358</v>
      </c>
      <c r="E28" s="69">
        <v>1</v>
      </c>
      <c r="F28" s="98">
        <v>39.950000000000003</v>
      </c>
      <c r="G28" s="104" t="s">
        <v>194</v>
      </c>
      <c r="H28" s="98"/>
      <c r="I28" s="98"/>
      <c r="J28" s="98"/>
      <c r="K28" s="136" t="s">
        <v>2522</v>
      </c>
      <c r="L28" s="69" t="s">
        <v>1914</v>
      </c>
      <c r="M28" s="99" t="s">
        <v>1047</v>
      </c>
      <c r="N28" s="99" t="s">
        <v>1618</v>
      </c>
      <c r="O28" s="99" t="s">
        <v>8</v>
      </c>
      <c r="P28" s="69" t="s">
        <v>355</v>
      </c>
      <c r="Q28" s="69" t="s">
        <v>1044</v>
      </c>
      <c r="R28" s="69">
        <v>39.950000000000003</v>
      </c>
    </row>
    <row r="29" spans="1:18" s="70" customFormat="1" x14ac:dyDescent="0.3">
      <c r="A29" s="98">
        <v>1</v>
      </c>
      <c r="B29" s="69" t="s">
        <v>325</v>
      </c>
      <c r="C29" s="69" t="s">
        <v>326</v>
      </c>
      <c r="D29" s="69" t="s">
        <v>327</v>
      </c>
      <c r="E29" s="69">
        <v>1</v>
      </c>
      <c r="F29" s="98">
        <v>39.950000000000003</v>
      </c>
      <c r="G29" s="98"/>
      <c r="H29" s="98"/>
      <c r="I29" s="98"/>
      <c r="J29" s="98"/>
      <c r="K29" s="98"/>
      <c r="L29" s="69" t="s">
        <v>1914</v>
      </c>
      <c r="M29" s="99" t="s">
        <v>1047</v>
      </c>
      <c r="N29" s="99" t="s">
        <v>1066</v>
      </c>
      <c r="O29" s="99" t="s">
        <v>8</v>
      </c>
      <c r="P29" s="69" t="s">
        <v>324</v>
      </c>
      <c r="Q29" s="69" t="s">
        <v>1055</v>
      </c>
      <c r="R29" s="69">
        <v>39.950000000000003</v>
      </c>
    </row>
    <row r="31" spans="1:18" s="70" customFormat="1" x14ac:dyDescent="0.3">
      <c r="A31" s="51"/>
      <c r="B31" s="51"/>
      <c r="C31" s="51"/>
      <c r="D31" s="12"/>
      <c r="E31" s="89"/>
      <c r="F31" s="12"/>
      <c r="G31" s="12"/>
      <c r="H31" s="12"/>
      <c r="I31" s="12"/>
      <c r="J31" s="89"/>
      <c r="K31" s="12"/>
      <c r="L31"/>
      <c r="M31"/>
    </row>
    <row r="33" spans="4:13" x14ac:dyDescent="0.3">
      <c r="D33" s="12"/>
      <c r="E33" s="12"/>
      <c r="F33" s="12"/>
    </row>
    <row r="35" spans="4:13" x14ac:dyDescent="0.3">
      <c r="D35" s="51"/>
      <c r="F35" s="51"/>
      <c r="G35" s="12"/>
    </row>
    <row r="38" spans="4:13" x14ac:dyDescent="0.3">
      <c r="H38" s="12"/>
      <c r="I38" s="89"/>
      <c r="J38" s="12"/>
      <c r="K38" s="12"/>
      <c r="L38" s="12"/>
      <c r="M38" s="12"/>
    </row>
  </sheetData>
  <conditionalFormatting sqref="A3:R29">
    <cfRule type="expression" dxfId="173" priority="148">
      <formula>AND($A3=0,NOT(ISBLANK($A3)))</formula>
    </cfRule>
  </conditionalFormatting>
  <conditionalFormatting sqref="G2">
    <cfRule type="expression" dxfId="172" priority="137">
      <formula>AND($A2=0,NOT(ISBLANK($A2)))</formula>
    </cfRule>
  </conditionalFormatting>
  <conditionalFormatting sqref="H2">
    <cfRule type="expression" dxfId="171" priority="126">
      <formula>AND($A2=0,NOT(ISBLANK($A2)))</formula>
    </cfRule>
  </conditionalFormatting>
  <conditionalFormatting sqref="A31:M31">
    <cfRule type="expression" dxfId="170" priority="115">
      <formula>AND($E31=0,NOT(ISBLANK($E31)))</formula>
    </cfRule>
  </conditionalFormatting>
  <conditionalFormatting sqref="D2:F2">
    <cfRule type="expression" dxfId="169" priority="104">
      <formula>AND($E2=0,NOT(ISBLANK($E2)))</formula>
    </cfRule>
  </conditionalFormatting>
  <conditionalFormatting sqref="D33:F33">
    <cfRule type="expression" dxfId="168" priority="93">
      <formula>AND($E33=0,NOT(ISBLANK($E33)))</formula>
    </cfRule>
  </conditionalFormatting>
  <conditionalFormatting sqref="H38:M38">
    <cfRule type="expression" dxfId="167" priority="82">
      <formula>AND($E38=0,NOT(ISBLANK($E38)))</formula>
    </cfRule>
  </conditionalFormatting>
  <conditionalFormatting sqref="A2">
    <cfRule type="expression" dxfId="166" priority="71">
      <formula>AND($E2=0,NOT(ISBLANK($E2)))</formula>
    </cfRule>
  </conditionalFormatting>
  <conditionalFormatting sqref="M2">
    <cfRule type="expression" dxfId="165" priority="60">
      <formula>AND($E2=0,NOT(ISBLANK($E2)))</formula>
    </cfRule>
  </conditionalFormatting>
  <conditionalFormatting sqref="L2">
    <cfRule type="expression" dxfId="164" priority="49">
      <formula>AND($E2=0,NOT(ISBLANK($E2)))</formula>
    </cfRule>
  </conditionalFormatting>
  <conditionalFormatting sqref="D35:G35">
    <cfRule type="expression" dxfId="163" priority="38">
      <formula>AND($E35=0,NOT(ISBLANK($E35)))</formula>
    </cfRule>
  </conditionalFormatting>
  <conditionalFormatting sqref="O2">
    <cfRule type="expression" dxfId="162" priority="27">
      <formula>AND($E2=0,NOT(ISBLANK($E2)))</formula>
    </cfRule>
  </conditionalFormatting>
  <conditionalFormatting sqref="N2">
    <cfRule type="expression" dxfId="161" priority="16">
      <formula>AND($E2=0,NOT(ISBLANK($E2)))</formula>
    </cfRule>
  </conditionalFormatting>
  <conditionalFormatting sqref="B2:C2">
    <cfRule type="expression" dxfId="160" priority="5">
      <formula>AND($E2=0,NOT(ISBLANK($E2)))</formula>
    </cfRule>
  </conditionalFormatting>
  <dataValidations count="1">
    <dataValidation type="list" allowBlank="1" showInputMessage="1" showErrorMessage="1" sqref="M25:N25" xr:uid="{B824D933-6E27-4A7C-A806-CBA2D96697A5}">
      <formula1>$C$6:$C$13</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44" id="{A703928D-30D9-4A92-995A-D7BACB0827E2}">
            <xm:f>$L3=FilterSpecs!$F$13</xm:f>
            <x14:dxf>
              <font>
                <b/>
                <i val="0"/>
                <color theme="0"/>
              </font>
              <fill>
                <patternFill>
                  <bgColor theme="9" tint="-0.499984740745262"/>
                </patternFill>
              </fill>
            </x14:dxf>
          </x14:cfRule>
          <x14:cfRule type="expression" priority="145" id="{BE442DF7-401E-4A92-9C36-4CBC4F13EDA9}">
            <xm:f>$L3=FilterSpecs!$E$13</xm:f>
            <x14:dxf>
              <font>
                <b/>
                <i val="0"/>
                <color theme="0"/>
              </font>
              <fill>
                <patternFill>
                  <bgColor theme="9" tint="-0.499984740745262"/>
                </patternFill>
              </fill>
            </x14:dxf>
          </x14:cfRule>
          <x14:cfRule type="expression" priority="146" id="{414BE13B-B6FB-4292-8E7D-841AD78422B0}">
            <xm:f>$L3=FilterSpecs!$F$12</xm:f>
            <x14:dxf>
              <font>
                <b/>
                <i val="0"/>
                <color theme="0"/>
              </font>
              <fill>
                <patternFill>
                  <bgColor rgb="FFFF4F4F"/>
                </patternFill>
              </fill>
            </x14:dxf>
          </x14:cfRule>
          <x14:cfRule type="expression" priority="147" id="{C476FCE9-7440-481A-8489-E9DF53328ADE}">
            <xm:f>$L3=FilterSpecs!$F$9</xm:f>
            <x14:dxf>
              <font>
                <b/>
                <i val="0"/>
                <color theme="0"/>
              </font>
              <fill>
                <patternFill>
                  <bgColor rgb="FFFF0000"/>
                </patternFill>
              </fill>
            </x14:dxf>
          </x14:cfRule>
          <x14:cfRule type="expression" priority="149" id="{C0AF9D5E-B41B-4DA4-9E51-3B4E9C732698}">
            <xm:f>$L3=FilterSpecs!$F$7</xm:f>
            <x14:dxf>
              <font>
                <b/>
                <i val="0"/>
                <color theme="0"/>
              </font>
              <fill>
                <patternFill>
                  <bgColor rgb="FF00B0F0"/>
                </patternFill>
              </fill>
            </x14:dxf>
          </x14:cfRule>
          <x14:cfRule type="expression" priority="150" id="{247BB0B7-F921-4098-A6E6-E6741A426D43}">
            <xm:f>$L3=FilterSpecs!$F$10</xm:f>
            <x14:dxf>
              <font>
                <b/>
                <i val="0"/>
                <color theme="0"/>
              </font>
              <fill>
                <patternFill>
                  <bgColor rgb="FF002060"/>
                </patternFill>
              </fill>
            </x14:dxf>
          </x14:cfRule>
          <x14:cfRule type="expression" priority="151" id="{A0435D68-3CE9-499B-9224-D48C0EE59F87}">
            <xm:f>$L3=FilterSpecs!$F$8</xm:f>
            <x14:dxf>
              <font>
                <b/>
                <i val="0"/>
                <color theme="0"/>
              </font>
              <fill>
                <patternFill>
                  <bgColor rgb="FFFFC000"/>
                </patternFill>
              </fill>
            </x14:dxf>
          </x14:cfRule>
          <x14:cfRule type="expression" priority="152" id="{9D501C1F-4785-426E-A072-759B20F342E6}">
            <xm:f>$L3=FilterSpecs!$F$10</xm:f>
            <x14:dxf>
              <font>
                <b/>
                <i val="0"/>
                <color theme="0"/>
              </font>
              <fill>
                <patternFill>
                  <bgColor rgb="FF002060"/>
                </patternFill>
              </fill>
            </x14:dxf>
          </x14:cfRule>
          <x14:cfRule type="expression" priority="153" id="{D4CC68EC-774A-4FDC-B2BA-A650D20EF801}">
            <xm:f>$L3=FilterSpecs!$F$8</xm:f>
            <x14:dxf>
              <font>
                <b/>
                <i val="0"/>
                <color theme="0"/>
              </font>
              <fill>
                <patternFill>
                  <bgColor rgb="FFFFC000"/>
                </patternFill>
              </fill>
            </x14:dxf>
          </x14:cfRule>
          <x14:cfRule type="expression" priority="154" id="{D48E6108-B514-4D16-8853-3721FC7B72A4}">
            <xm:f>$L3=FilterSpecs!$F$7</xm:f>
            <x14:dxf>
              <font>
                <b/>
                <i val="0"/>
                <color theme="0"/>
              </font>
              <fill>
                <patternFill>
                  <bgColor rgb="FF00B0F0"/>
                </patternFill>
              </fill>
            </x14:dxf>
          </x14:cfRule>
          <xm:sqref>A3:R29</xm:sqref>
        </x14:conditionalFormatting>
        <x14:conditionalFormatting xmlns:xm="http://schemas.microsoft.com/office/excel/2006/main">
          <x14:cfRule type="expression" priority="133" id="{4BA33A91-22A2-43B6-8838-60BE792A67EB}">
            <xm:f>$L2=FilterSpecs!$F$13</xm:f>
            <x14:dxf>
              <font>
                <b/>
                <i val="0"/>
                <color theme="0"/>
              </font>
              <fill>
                <patternFill>
                  <bgColor theme="9" tint="-0.499984740745262"/>
                </patternFill>
              </fill>
            </x14:dxf>
          </x14:cfRule>
          <x14:cfRule type="expression" priority="134" id="{956EED72-F01E-4D91-BDE0-4F948BC1D63C}">
            <xm:f>$L2=FilterSpecs!$E$13</xm:f>
            <x14:dxf>
              <font>
                <b/>
                <i val="0"/>
                <color theme="0"/>
              </font>
              <fill>
                <patternFill>
                  <bgColor theme="9" tint="-0.499984740745262"/>
                </patternFill>
              </fill>
            </x14:dxf>
          </x14:cfRule>
          <x14:cfRule type="expression" priority="135" id="{05929D29-E78E-4886-9069-3F5999BBF821}">
            <xm:f>$L2=FilterSpecs!$F$12</xm:f>
            <x14:dxf>
              <font>
                <b/>
                <i val="0"/>
                <color theme="0"/>
              </font>
              <fill>
                <patternFill>
                  <bgColor rgb="FFFF4F4F"/>
                </patternFill>
              </fill>
            </x14:dxf>
          </x14:cfRule>
          <x14:cfRule type="expression" priority="136" id="{D45D6527-BD40-4042-94A9-A4BD5556C72D}">
            <xm:f>$L2=FilterSpecs!$F$9</xm:f>
            <x14:dxf>
              <font>
                <b/>
                <i val="0"/>
                <color theme="0"/>
              </font>
              <fill>
                <patternFill>
                  <bgColor rgb="FFFF0000"/>
                </patternFill>
              </fill>
            </x14:dxf>
          </x14:cfRule>
          <x14:cfRule type="expression" priority="138" id="{9E8A434B-A175-437A-98F8-FB39905AEF83}">
            <xm:f>$L2=FilterSpecs!$F$7</xm:f>
            <x14:dxf>
              <font>
                <b/>
                <i val="0"/>
                <color theme="0"/>
              </font>
              <fill>
                <patternFill>
                  <bgColor rgb="FF00B0F0"/>
                </patternFill>
              </fill>
            </x14:dxf>
          </x14:cfRule>
          <x14:cfRule type="expression" priority="139" id="{6F52EE48-19A8-4BAF-95C8-177CAE9BF0B5}">
            <xm:f>$L2=FilterSpecs!$F$10</xm:f>
            <x14:dxf>
              <font>
                <b/>
                <i val="0"/>
                <color theme="0"/>
              </font>
              <fill>
                <patternFill>
                  <bgColor rgb="FF002060"/>
                </patternFill>
              </fill>
            </x14:dxf>
          </x14:cfRule>
          <x14:cfRule type="expression" priority="140" id="{4BBD832C-9371-4756-A43D-B57D41A0EBD3}">
            <xm:f>$L2=FilterSpecs!$F$8</xm:f>
            <x14:dxf>
              <font>
                <b/>
                <i val="0"/>
                <color theme="0"/>
              </font>
              <fill>
                <patternFill>
                  <bgColor rgb="FFFFC000"/>
                </patternFill>
              </fill>
            </x14:dxf>
          </x14:cfRule>
          <x14:cfRule type="expression" priority="141" id="{99C4F107-6887-4E3C-A66D-1AD7AC0BCA1A}">
            <xm:f>$L2=FilterSpecs!$F$10</xm:f>
            <x14:dxf>
              <font>
                <b/>
                <i val="0"/>
                <color theme="0"/>
              </font>
              <fill>
                <patternFill>
                  <bgColor rgb="FF002060"/>
                </patternFill>
              </fill>
            </x14:dxf>
          </x14:cfRule>
          <x14:cfRule type="expression" priority="142" id="{D5FF84B7-4730-4AC7-8D0E-D2A154295239}">
            <xm:f>$L2=FilterSpecs!$F$8</xm:f>
            <x14:dxf>
              <font>
                <b/>
                <i val="0"/>
                <color theme="0"/>
              </font>
              <fill>
                <patternFill>
                  <bgColor rgb="FFFFC000"/>
                </patternFill>
              </fill>
            </x14:dxf>
          </x14:cfRule>
          <x14:cfRule type="expression" priority="143" id="{A49236B6-8F93-4966-BB50-ED663B4AFC90}">
            <xm:f>$L2=FilterSpecs!$F$7</xm:f>
            <x14:dxf>
              <font>
                <b/>
                <i val="0"/>
                <color theme="0"/>
              </font>
              <fill>
                <patternFill>
                  <bgColor rgb="FF00B0F0"/>
                </patternFill>
              </fill>
            </x14:dxf>
          </x14:cfRule>
          <xm:sqref>G2</xm:sqref>
        </x14:conditionalFormatting>
        <x14:conditionalFormatting xmlns:xm="http://schemas.microsoft.com/office/excel/2006/main">
          <x14:cfRule type="expression" priority="122" id="{358A34C0-987B-4105-B430-FB61A9971583}">
            <xm:f>$L2=FilterSpecs!$F$13</xm:f>
            <x14:dxf>
              <font>
                <b/>
                <i val="0"/>
                <color theme="0"/>
              </font>
              <fill>
                <patternFill>
                  <bgColor theme="9" tint="-0.499984740745262"/>
                </patternFill>
              </fill>
            </x14:dxf>
          </x14:cfRule>
          <x14:cfRule type="expression" priority="123" id="{251C16DB-3F76-40E5-BFBA-EE96FF077247}">
            <xm:f>$L2=FilterSpecs!$E$13</xm:f>
            <x14:dxf>
              <font>
                <b/>
                <i val="0"/>
                <color theme="0"/>
              </font>
              <fill>
                <patternFill>
                  <bgColor theme="9" tint="-0.499984740745262"/>
                </patternFill>
              </fill>
            </x14:dxf>
          </x14:cfRule>
          <x14:cfRule type="expression" priority="124" id="{FD72ED0F-6961-4DB7-BF93-4CA7E77F32C2}">
            <xm:f>$L2=FilterSpecs!$F$12</xm:f>
            <x14:dxf>
              <font>
                <b/>
                <i val="0"/>
                <color theme="0"/>
              </font>
              <fill>
                <patternFill>
                  <bgColor rgb="FFFF4F4F"/>
                </patternFill>
              </fill>
            </x14:dxf>
          </x14:cfRule>
          <x14:cfRule type="expression" priority="125" id="{51AE1B2A-5D84-401F-A470-EA44D46CA27A}">
            <xm:f>$L2=FilterSpecs!$F$9</xm:f>
            <x14:dxf>
              <font>
                <b/>
                <i val="0"/>
                <color theme="0"/>
              </font>
              <fill>
                <patternFill>
                  <bgColor rgb="FFFF0000"/>
                </patternFill>
              </fill>
            </x14:dxf>
          </x14:cfRule>
          <x14:cfRule type="expression" priority="127" id="{B969E1B1-0148-44F8-86A8-AA0AFBC2E4D8}">
            <xm:f>$L2=FilterSpecs!$F$7</xm:f>
            <x14:dxf>
              <font>
                <b/>
                <i val="0"/>
                <color theme="0"/>
              </font>
              <fill>
                <patternFill>
                  <bgColor rgb="FF00B0F0"/>
                </patternFill>
              </fill>
            </x14:dxf>
          </x14:cfRule>
          <x14:cfRule type="expression" priority="128" id="{C397C986-C9D3-4FA8-A8B2-A0FE59836EDF}">
            <xm:f>$L2=FilterSpecs!$F$10</xm:f>
            <x14:dxf>
              <font>
                <b/>
                <i val="0"/>
                <color theme="0"/>
              </font>
              <fill>
                <patternFill>
                  <bgColor rgb="FF002060"/>
                </patternFill>
              </fill>
            </x14:dxf>
          </x14:cfRule>
          <x14:cfRule type="expression" priority="129" id="{5448A93E-D924-41BE-B13D-03026B08F6FD}">
            <xm:f>$L2=FilterSpecs!$F$8</xm:f>
            <x14:dxf>
              <font>
                <b/>
                <i val="0"/>
                <color theme="0"/>
              </font>
              <fill>
                <patternFill>
                  <bgColor rgb="FFFFC000"/>
                </patternFill>
              </fill>
            </x14:dxf>
          </x14:cfRule>
          <x14:cfRule type="expression" priority="130" id="{9BF349C3-8B9B-4E22-B452-EDE9D6780984}">
            <xm:f>$L2=FilterSpecs!$F$10</xm:f>
            <x14:dxf>
              <font>
                <b/>
                <i val="0"/>
                <color theme="0"/>
              </font>
              <fill>
                <patternFill>
                  <bgColor rgb="FF002060"/>
                </patternFill>
              </fill>
            </x14:dxf>
          </x14:cfRule>
          <x14:cfRule type="expression" priority="131" id="{C37BC8BE-E11A-4633-94A0-B54EC4501027}">
            <xm:f>$L2=FilterSpecs!$F$8</xm:f>
            <x14:dxf>
              <font>
                <b/>
                <i val="0"/>
                <color theme="0"/>
              </font>
              <fill>
                <patternFill>
                  <bgColor rgb="FFFFC000"/>
                </patternFill>
              </fill>
            </x14:dxf>
          </x14:cfRule>
          <x14:cfRule type="expression" priority="132" id="{9970F637-B9AB-4AB4-9897-CC8C8D6462B9}">
            <xm:f>$L2=FilterSpecs!$F$7</xm:f>
            <x14:dxf>
              <font>
                <b/>
                <i val="0"/>
                <color theme="0"/>
              </font>
              <fill>
                <patternFill>
                  <bgColor rgb="FF00B0F0"/>
                </patternFill>
              </fill>
            </x14:dxf>
          </x14:cfRule>
          <xm:sqref>H2</xm:sqref>
        </x14:conditionalFormatting>
        <x14:conditionalFormatting xmlns:xm="http://schemas.microsoft.com/office/excel/2006/main">
          <x14:cfRule type="expression" priority="111" id="{0C962AA2-24C1-4CA0-BFA4-DCBFE58E0155}">
            <xm:f>$K31=FilterSpecs!$F$13</xm:f>
            <x14:dxf>
              <font>
                <b/>
                <i val="0"/>
                <color theme="0"/>
              </font>
              <fill>
                <patternFill>
                  <bgColor theme="9" tint="-0.499984740745262"/>
                </patternFill>
              </fill>
            </x14:dxf>
          </x14:cfRule>
          <x14:cfRule type="expression" priority="112" id="{71B6D6BD-885C-4628-9887-7AC6E8A6F874}">
            <xm:f>$K31=FilterSpecs!$E$13</xm:f>
            <x14:dxf>
              <font>
                <b/>
                <i val="0"/>
                <color theme="0"/>
              </font>
              <fill>
                <patternFill>
                  <bgColor theme="9" tint="-0.499984740745262"/>
                </patternFill>
              </fill>
            </x14:dxf>
          </x14:cfRule>
          <x14:cfRule type="expression" priority="113" id="{B2CA8DBA-E272-463F-BDFA-30BFCE544C54}">
            <xm:f>$K31=FilterSpecs!$F$12</xm:f>
            <x14:dxf>
              <font>
                <b/>
                <i val="0"/>
                <color theme="0"/>
              </font>
              <fill>
                <patternFill>
                  <bgColor rgb="FFFF4F4F"/>
                </patternFill>
              </fill>
            </x14:dxf>
          </x14:cfRule>
          <x14:cfRule type="expression" priority="114" id="{1A5B9AFC-3969-4F18-A255-F922B25A631A}">
            <xm:f>$K31=FilterSpecs!$F$9</xm:f>
            <x14:dxf>
              <font>
                <b/>
                <i val="0"/>
                <color theme="0"/>
              </font>
              <fill>
                <patternFill>
                  <bgColor rgb="FFFF0000"/>
                </patternFill>
              </fill>
            </x14:dxf>
          </x14:cfRule>
          <x14:cfRule type="expression" priority="116" id="{81B3E519-38DF-4591-B5F3-5B7C1702DB02}">
            <xm:f>$K31=FilterSpecs!$F$7</xm:f>
            <x14:dxf>
              <font>
                <b/>
                <i val="0"/>
                <color theme="0"/>
              </font>
              <fill>
                <patternFill>
                  <bgColor rgb="FF00B0F0"/>
                </patternFill>
              </fill>
            </x14:dxf>
          </x14:cfRule>
          <x14:cfRule type="expression" priority="117" id="{375952B3-DA18-4945-9196-D9EACD7F6CBF}">
            <xm:f>$K31=FilterSpecs!$F$10</xm:f>
            <x14:dxf>
              <font>
                <b/>
                <i val="0"/>
                <color theme="0"/>
              </font>
              <fill>
                <patternFill>
                  <bgColor rgb="FF002060"/>
                </patternFill>
              </fill>
            </x14:dxf>
          </x14:cfRule>
          <x14:cfRule type="expression" priority="118" id="{13B49586-67C3-4D28-A448-9531636396CF}">
            <xm:f>$K31=FilterSpecs!$F$8</xm:f>
            <x14:dxf>
              <font>
                <b/>
                <i val="0"/>
                <color theme="0"/>
              </font>
              <fill>
                <patternFill>
                  <bgColor rgb="FFFFC000"/>
                </patternFill>
              </fill>
            </x14:dxf>
          </x14:cfRule>
          <x14:cfRule type="expression" priority="119" id="{51E8D22F-C6FA-4F6B-BFF4-92B5CCA209BB}">
            <xm:f>$K31=FilterSpecs!$F$10</xm:f>
            <x14:dxf>
              <font>
                <b/>
                <i val="0"/>
                <color theme="0"/>
              </font>
              <fill>
                <patternFill>
                  <bgColor rgb="FF002060"/>
                </patternFill>
              </fill>
            </x14:dxf>
          </x14:cfRule>
          <x14:cfRule type="expression" priority="120" id="{36C429A3-5F1F-4B3C-A18C-F5F8039523D0}">
            <xm:f>$K31=FilterSpecs!$F$8</xm:f>
            <x14:dxf>
              <font>
                <b/>
                <i val="0"/>
                <color theme="0"/>
              </font>
              <fill>
                <patternFill>
                  <bgColor rgb="FFFFC000"/>
                </patternFill>
              </fill>
            </x14:dxf>
          </x14:cfRule>
          <x14:cfRule type="expression" priority="121" id="{87FD2326-3D2A-4959-BCCB-CA2E556B0CE9}">
            <xm:f>$K31=FilterSpecs!$F$7</xm:f>
            <x14:dxf>
              <font>
                <b/>
                <i val="0"/>
                <color theme="0"/>
              </font>
              <fill>
                <patternFill>
                  <bgColor rgb="FF00B0F0"/>
                </patternFill>
              </fill>
            </x14:dxf>
          </x14:cfRule>
          <xm:sqref>A31:M31</xm:sqref>
        </x14:conditionalFormatting>
        <x14:conditionalFormatting xmlns:xm="http://schemas.microsoft.com/office/excel/2006/main">
          <x14:cfRule type="expression" priority="100" id="{536FC80A-D889-426E-B3C6-09446724B11C}">
            <xm:f>$K2=FilterSpecs!$F$13</xm:f>
            <x14:dxf>
              <font>
                <b/>
                <i val="0"/>
                <color theme="0"/>
              </font>
              <fill>
                <patternFill>
                  <bgColor theme="9" tint="-0.499984740745262"/>
                </patternFill>
              </fill>
            </x14:dxf>
          </x14:cfRule>
          <x14:cfRule type="expression" priority="101" id="{275CD4B9-261D-4CC2-A8BD-9E0BE9AA4134}">
            <xm:f>$K2=FilterSpecs!$E$13</xm:f>
            <x14:dxf>
              <font>
                <b/>
                <i val="0"/>
                <color theme="0"/>
              </font>
              <fill>
                <patternFill>
                  <bgColor theme="9" tint="-0.499984740745262"/>
                </patternFill>
              </fill>
            </x14:dxf>
          </x14:cfRule>
          <x14:cfRule type="expression" priority="102" id="{21923DF2-17F7-4FB4-9661-C90FB346EFE0}">
            <xm:f>$K2=FilterSpecs!$F$12</xm:f>
            <x14:dxf>
              <font>
                <b/>
                <i val="0"/>
                <color theme="0"/>
              </font>
              <fill>
                <patternFill>
                  <bgColor rgb="FFFF4F4F"/>
                </patternFill>
              </fill>
            </x14:dxf>
          </x14:cfRule>
          <x14:cfRule type="expression" priority="103" id="{53FBF865-F686-4BE9-9A2D-B45225069690}">
            <xm:f>$K2=FilterSpecs!$F$9</xm:f>
            <x14:dxf>
              <font>
                <b/>
                <i val="0"/>
                <color theme="0"/>
              </font>
              <fill>
                <patternFill>
                  <bgColor rgb="FFFF0000"/>
                </patternFill>
              </fill>
            </x14:dxf>
          </x14:cfRule>
          <x14:cfRule type="expression" priority="105" id="{749756F9-47D7-42AD-8DD7-001FDDAA0876}">
            <xm:f>$K2=FilterSpecs!$F$7</xm:f>
            <x14:dxf>
              <font>
                <b/>
                <i val="0"/>
                <color theme="0"/>
              </font>
              <fill>
                <patternFill>
                  <bgColor rgb="FF00B0F0"/>
                </patternFill>
              </fill>
            </x14:dxf>
          </x14:cfRule>
          <x14:cfRule type="expression" priority="106" id="{F0D5AEAE-5416-47B1-8350-CAD04C9B137B}">
            <xm:f>$K2=FilterSpecs!$F$10</xm:f>
            <x14:dxf>
              <font>
                <b/>
                <i val="0"/>
                <color theme="0"/>
              </font>
              <fill>
                <patternFill>
                  <bgColor rgb="FF002060"/>
                </patternFill>
              </fill>
            </x14:dxf>
          </x14:cfRule>
          <x14:cfRule type="expression" priority="107" id="{A93678DD-F27E-43E5-9156-77B9B9B29AE6}">
            <xm:f>$K2=FilterSpecs!$F$8</xm:f>
            <x14:dxf>
              <font>
                <b/>
                <i val="0"/>
                <color theme="0"/>
              </font>
              <fill>
                <patternFill>
                  <bgColor rgb="FFFFC000"/>
                </patternFill>
              </fill>
            </x14:dxf>
          </x14:cfRule>
          <x14:cfRule type="expression" priority="108" id="{5842775D-8BD8-4FF8-AE25-6A1120B874ED}">
            <xm:f>$K2=FilterSpecs!$F$10</xm:f>
            <x14:dxf>
              <font>
                <b/>
                <i val="0"/>
                <color theme="0"/>
              </font>
              <fill>
                <patternFill>
                  <bgColor rgb="FF002060"/>
                </patternFill>
              </fill>
            </x14:dxf>
          </x14:cfRule>
          <x14:cfRule type="expression" priority="109" id="{5D9C9ED9-FEA6-497C-B739-7C46CA8E6C18}">
            <xm:f>$K2=FilterSpecs!$F$8</xm:f>
            <x14:dxf>
              <font>
                <b/>
                <i val="0"/>
                <color theme="0"/>
              </font>
              <fill>
                <patternFill>
                  <bgColor rgb="FFFFC000"/>
                </patternFill>
              </fill>
            </x14:dxf>
          </x14:cfRule>
          <x14:cfRule type="expression" priority="110" id="{04995DDF-C6FF-4C82-B1A9-E4C8DB89024C}">
            <xm:f>$K2=FilterSpecs!$F$7</xm:f>
            <x14:dxf>
              <font>
                <b/>
                <i val="0"/>
                <color theme="0"/>
              </font>
              <fill>
                <patternFill>
                  <bgColor rgb="FF00B0F0"/>
                </patternFill>
              </fill>
            </x14:dxf>
          </x14:cfRule>
          <xm:sqref>D2:F2</xm:sqref>
        </x14:conditionalFormatting>
        <x14:conditionalFormatting xmlns:xm="http://schemas.microsoft.com/office/excel/2006/main">
          <x14:cfRule type="expression" priority="89" id="{4030F607-4F61-463C-A674-4B68C4D3683F}">
            <xm:f>$K33=FilterSpecs!$F$13</xm:f>
            <x14:dxf>
              <font>
                <b/>
                <i val="0"/>
                <color theme="0"/>
              </font>
              <fill>
                <patternFill>
                  <bgColor theme="9" tint="-0.499984740745262"/>
                </patternFill>
              </fill>
            </x14:dxf>
          </x14:cfRule>
          <x14:cfRule type="expression" priority="90" id="{07E08655-58E8-4A1F-B7DE-FE04E0CFD3D4}">
            <xm:f>$K33=FilterSpecs!$E$13</xm:f>
            <x14:dxf>
              <font>
                <b/>
                <i val="0"/>
                <color theme="0"/>
              </font>
              <fill>
                <patternFill>
                  <bgColor theme="9" tint="-0.499984740745262"/>
                </patternFill>
              </fill>
            </x14:dxf>
          </x14:cfRule>
          <x14:cfRule type="expression" priority="91" id="{7FACD61C-310E-44EC-9558-63D543D429E1}">
            <xm:f>$K33=FilterSpecs!$F$12</xm:f>
            <x14:dxf>
              <font>
                <b/>
                <i val="0"/>
                <color theme="0"/>
              </font>
              <fill>
                <patternFill>
                  <bgColor rgb="FFFF4F4F"/>
                </patternFill>
              </fill>
            </x14:dxf>
          </x14:cfRule>
          <x14:cfRule type="expression" priority="92" id="{341E062C-762F-4E7F-BAC7-D365FCB9462F}">
            <xm:f>$K33=FilterSpecs!$F$9</xm:f>
            <x14:dxf>
              <font>
                <b/>
                <i val="0"/>
                <color theme="0"/>
              </font>
              <fill>
                <patternFill>
                  <bgColor rgb="FFFF0000"/>
                </patternFill>
              </fill>
            </x14:dxf>
          </x14:cfRule>
          <x14:cfRule type="expression" priority="94" id="{4C5D7B65-BB6A-4725-854C-3B4D0C5A6CD7}">
            <xm:f>$K33=FilterSpecs!$F$7</xm:f>
            <x14:dxf>
              <font>
                <b/>
                <i val="0"/>
                <color theme="0"/>
              </font>
              <fill>
                <patternFill>
                  <bgColor rgb="FF00B0F0"/>
                </patternFill>
              </fill>
            </x14:dxf>
          </x14:cfRule>
          <x14:cfRule type="expression" priority="95" id="{D409FF45-BEB7-4FCD-8928-DFF8D6A770DB}">
            <xm:f>$K33=FilterSpecs!$F$10</xm:f>
            <x14:dxf>
              <font>
                <b/>
                <i val="0"/>
                <color theme="0"/>
              </font>
              <fill>
                <patternFill>
                  <bgColor rgb="FF002060"/>
                </patternFill>
              </fill>
            </x14:dxf>
          </x14:cfRule>
          <x14:cfRule type="expression" priority="96" id="{6EF87AD3-FF7C-4A3F-A622-A9C394218C90}">
            <xm:f>$K33=FilterSpecs!$F$8</xm:f>
            <x14:dxf>
              <font>
                <b/>
                <i val="0"/>
                <color theme="0"/>
              </font>
              <fill>
                <patternFill>
                  <bgColor rgb="FFFFC000"/>
                </patternFill>
              </fill>
            </x14:dxf>
          </x14:cfRule>
          <x14:cfRule type="expression" priority="97" id="{9145F522-6B14-4F58-8038-B79101717777}">
            <xm:f>$K33=FilterSpecs!$F$10</xm:f>
            <x14:dxf>
              <font>
                <b/>
                <i val="0"/>
                <color theme="0"/>
              </font>
              <fill>
                <patternFill>
                  <bgColor rgb="FF002060"/>
                </patternFill>
              </fill>
            </x14:dxf>
          </x14:cfRule>
          <x14:cfRule type="expression" priority="98" id="{59177DC3-0C76-44FE-A63E-6D821FE6DD4A}">
            <xm:f>$K33=FilterSpecs!$F$8</xm:f>
            <x14:dxf>
              <font>
                <b/>
                <i val="0"/>
                <color theme="0"/>
              </font>
              <fill>
                <patternFill>
                  <bgColor rgb="FFFFC000"/>
                </patternFill>
              </fill>
            </x14:dxf>
          </x14:cfRule>
          <x14:cfRule type="expression" priority="99" id="{2C1926B1-FC96-4706-9E63-B9D85853A416}">
            <xm:f>$K33=FilterSpecs!$F$7</xm:f>
            <x14:dxf>
              <font>
                <b/>
                <i val="0"/>
                <color theme="0"/>
              </font>
              <fill>
                <patternFill>
                  <bgColor rgb="FF00B0F0"/>
                </patternFill>
              </fill>
            </x14:dxf>
          </x14:cfRule>
          <xm:sqref>D33:F33</xm:sqref>
        </x14:conditionalFormatting>
        <x14:conditionalFormatting xmlns:xm="http://schemas.microsoft.com/office/excel/2006/main">
          <x14:cfRule type="expression" priority="78" id="{EB1221B1-E49E-4059-8342-EF4D89A710DF}">
            <xm:f>$K38=FilterSpecs!$F$13</xm:f>
            <x14:dxf>
              <font>
                <b/>
                <i val="0"/>
                <color theme="0"/>
              </font>
              <fill>
                <patternFill>
                  <bgColor theme="9" tint="-0.499984740745262"/>
                </patternFill>
              </fill>
            </x14:dxf>
          </x14:cfRule>
          <x14:cfRule type="expression" priority="79" id="{63DD6BB5-123D-4DDB-BA31-8BC23361B562}">
            <xm:f>$K38=FilterSpecs!$E$13</xm:f>
            <x14:dxf>
              <font>
                <b/>
                <i val="0"/>
                <color theme="0"/>
              </font>
              <fill>
                <patternFill>
                  <bgColor theme="9" tint="-0.499984740745262"/>
                </patternFill>
              </fill>
            </x14:dxf>
          </x14:cfRule>
          <x14:cfRule type="expression" priority="80" id="{517AB8CC-35AF-450E-9BBE-06E6A547D5D7}">
            <xm:f>$K38=FilterSpecs!$F$12</xm:f>
            <x14:dxf>
              <font>
                <b/>
                <i val="0"/>
                <color theme="0"/>
              </font>
              <fill>
                <patternFill>
                  <bgColor rgb="FFFF4F4F"/>
                </patternFill>
              </fill>
            </x14:dxf>
          </x14:cfRule>
          <x14:cfRule type="expression" priority="81" id="{B1FD4247-08BE-4315-A80A-9A5A65350E9D}">
            <xm:f>$K38=FilterSpecs!$F$9</xm:f>
            <x14:dxf>
              <font>
                <b/>
                <i val="0"/>
                <color theme="0"/>
              </font>
              <fill>
                <patternFill>
                  <bgColor rgb="FFFF0000"/>
                </patternFill>
              </fill>
            </x14:dxf>
          </x14:cfRule>
          <x14:cfRule type="expression" priority="83" id="{0E02F78F-8A00-4782-804E-7ECFD03C4512}">
            <xm:f>$K38=FilterSpecs!$F$7</xm:f>
            <x14:dxf>
              <font>
                <b/>
                <i val="0"/>
                <color theme="0"/>
              </font>
              <fill>
                <patternFill>
                  <bgColor rgb="FF00B0F0"/>
                </patternFill>
              </fill>
            </x14:dxf>
          </x14:cfRule>
          <x14:cfRule type="expression" priority="84" id="{765F39EC-4103-4258-A392-CF7C96340ED3}">
            <xm:f>$K38=FilterSpecs!$F$10</xm:f>
            <x14:dxf>
              <font>
                <b/>
                <i val="0"/>
                <color theme="0"/>
              </font>
              <fill>
                <patternFill>
                  <bgColor rgb="FF002060"/>
                </patternFill>
              </fill>
            </x14:dxf>
          </x14:cfRule>
          <x14:cfRule type="expression" priority="85" id="{67E40E19-D54B-4ED5-BBF9-2A8B712DD7CF}">
            <xm:f>$K38=FilterSpecs!$F$8</xm:f>
            <x14:dxf>
              <font>
                <b/>
                <i val="0"/>
                <color theme="0"/>
              </font>
              <fill>
                <patternFill>
                  <bgColor rgb="FFFFC000"/>
                </patternFill>
              </fill>
            </x14:dxf>
          </x14:cfRule>
          <x14:cfRule type="expression" priority="86" id="{3EEBB8BF-629E-446C-99EA-081FCD6B2D45}">
            <xm:f>$K38=FilterSpecs!$F$10</xm:f>
            <x14:dxf>
              <font>
                <b/>
                <i val="0"/>
                <color theme="0"/>
              </font>
              <fill>
                <patternFill>
                  <bgColor rgb="FF002060"/>
                </patternFill>
              </fill>
            </x14:dxf>
          </x14:cfRule>
          <x14:cfRule type="expression" priority="87" id="{C1326F9B-B70B-4988-8C3D-F70A0E6CDA17}">
            <xm:f>$K38=FilterSpecs!$F$8</xm:f>
            <x14:dxf>
              <font>
                <b/>
                <i val="0"/>
                <color theme="0"/>
              </font>
              <fill>
                <patternFill>
                  <bgColor rgb="FFFFC000"/>
                </patternFill>
              </fill>
            </x14:dxf>
          </x14:cfRule>
          <x14:cfRule type="expression" priority="88" id="{F608F0BA-8160-4ED6-A6FC-5FBDEEB31235}">
            <xm:f>$K38=FilterSpecs!$F$7</xm:f>
            <x14:dxf>
              <font>
                <b/>
                <i val="0"/>
                <color theme="0"/>
              </font>
              <fill>
                <patternFill>
                  <bgColor rgb="FF00B0F0"/>
                </patternFill>
              </fill>
            </x14:dxf>
          </x14:cfRule>
          <xm:sqref>H38:M38</xm:sqref>
        </x14:conditionalFormatting>
        <x14:conditionalFormatting xmlns:xm="http://schemas.microsoft.com/office/excel/2006/main">
          <x14:cfRule type="expression" priority="67" id="{D4E014DB-BD5C-4F88-9AF8-47B6B410C2D7}">
            <xm:f>$K2=FilterSpecs!$F$13</xm:f>
            <x14:dxf>
              <font>
                <b/>
                <i val="0"/>
                <color theme="0"/>
              </font>
              <fill>
                <patternFill>
                  <bgColor theme="9" tint="-0.499984740745262"/>
                </patternFill>
              </fill>
            </x14:dxf>
          </x14:cfRule>
          <x14:cfRule type="expression" priority="68" id="{A724D21E-22F4-44D2-B448-DC7AD0F42C5D}">
            <xm:f>$K2=FilterSpecs!$E$13</xm:f>
            <x14:dxf>
              <font>
                <b/>
                <i val="0"/>
                <color theme="0"/>
              </font>
              <fill>
                <patternFill>
                  <bgColor theme="9" tint="-0.499984740745262"/>
                </patternFill>
              </fill>
            </x14:dxf>
          </x14:cfRule>
          <x14:cfRule type="expression" priority="69" id="{A69A15EC-A12D-4126-B571-B061F8B0A73F}">
            <xm:f>$K2=FilterSpecs!$F$12</xm:f>
            <x14:dxf>
              <font>
                <b/>
                <i val="0"/>
                <color theme="0"/>
              </font>
              <fill>
                <patternFill>
                  <bgColor rgb="FFFF4F4F"/>
                </patternFill>
              </fill>
            </x14:dxf>
          </x14:cfRule>
          <x14:cfRule type="expression" priority="70" id="{DFC7364F-1F46-4A87-821D-0B7A28BE7A52}">
            <xm:f>$K2=FilterSpecs!$F$9</xm:f>
            <x14:dxf>
              <font>
                <b/>
                <i val="0"/>
                <color theme="0"/>
              </font>
              <fill>
                <patternFill>
                  <bgColor rgb="FFFF0000"/>
                </patternFill>
              </fill>
            </x14:dxf>
          </x14:cfRule>
          <x14:cfRule type="expression" priority="72" id="{4FADDD3A-973D-40CE-839A-6F1AF10C8284}">
            <xm:f>$K2=FilterSpecs!$F$7</xm:f>
            <x14:dxf>
              <font>
                <b/>
                <i val="0"/>
                <color theme="0"/>
              </font>
              <fill>
                <patternFill>
                  <bgColor rgb="FF00B0F0"/>
                </patternFill>
              </fill>
            </x14:dxf>
          </x14:cfRule>
          <x14:cfRule type="expression" priority="73" id="{AB2301F7-426C-48A1-9EDB-A6067ED90C83}">
            <xm:f>$K2=FilterSpecs!$F$10</xm:f>
            <x14:dxf>
              <font>
                <b/>
                <i val="0"/>
                <color theme="0"/>
              </font>
              <fill>
                <patternFill>
                  <bgColor rgb="FF002060"/>
                </patternFill>
              </fill>
            </x14:dxf>
          </x14:cfRule>
          <x14:cfRule type="expression" priority="74" id="{6CF818E1-9430-46BA-88F0-7E3DC53917CB}">
            <xm:f>$K2=FilterSpecs!$F$8</xm:f>
            <x14:dxf>
              <font>
                <b/>
                <i val="0"/>
                <color theme="0"/>
              </font>
              <fill>
                <patternFill>
                  <bgColor rgb="FFFFC000"/>
                </patternFill>
              </fill>
            </x14:dxf>
          </x14:cfRule>
          <x14:cfRule type="expression" priority="75" id="{6AAAC920-60E9-4401-809A-7AF8E18698C1}">
            <xm:f>$K2=FilterSpecs!$F$10</xm:f>
            <x14:dxf>
              <font>
                <b/>
                <i val="0"/>
                <color theme="0"/>
              </font>
              <fill>
                <patternFill>
                  <bgColor rgb="FF002060"/>
                </patternFill>
              </fill>
            </x14:dxf>
          </x14:cfRule>
          <x14:cfRule type="expression" priority="76" id="{15C32F2E-CD12-4EF7-A285-F8D4EE9CBF05}">
            <xm:f>$K2=FilterSpecs!$F$8</xm:f>
            <x14:dxf>
              <font>
                <b/>
                <i val="0"/>
                <color theme="0"/>
              </font>
              <fill>
                <patternFill>
                  <bgColor rgb="FFFFC000"/>
                </patternFill>
              </fill>
            </x14:dxf>
          </x14:cfRule>
          <x14:cfRule type="expression" priority="77" id="{BDB5CEA5-9B64-442F-AF1D-B67E8C355549}">
            <xm:f>$K2=FilterSpecs!$F$7</xm:f>
            <x14:dxf>
              <font>
                <b/>
                <i val="0"/>
                <color theme="0"/>
              </font>
              <fill>
                <patternFill>
                  <bgColor rgb="FF00B0F0"/>
                </patternFill>
              </fill>
            </x14:dxf>
          </x14:cfRule>
          <xm:sqref>A2</xm:sqref>
        </x14:conditionalFormatting>
        <x14:conditionalFormatting xmlns:xm="http://schemas.microsoft.com/office/excel/2006/main">
          <x14:cfRule type="expression" priority="56" id="{DF36E852-409F-4235-972B-A4770AD1368B}">
            <xm:f>$K2=FilterSpecs!$F$13</xm:f>
            <x14:dxf>
              <font>
                <b/>
                <i val="0"/>
                <color theme="0"/>
              </font>
              <fill>
                <patternFill>
                  <bgColor theme="9" tint="-0.499984740745262"/>
                </patternFill>
              </fill>
            </x14:dxf>
          </x14:cfRule>
          <x14:cfRule type="expression" priority="57" id="{A98CC1DC-8AAC-4D11-9B6C-CCD2516DD86A}">
            <xm:f>$K2=FilterSpecs!$E$13</xm:f>
            <x14:dxf>
              <font>
                <b/>
                <i val="0"/>
                <color theme="0"/>
              </font>
              <fill>
                <patternFill>
                  <bgColor theme="9" tint="-0.499984740745262"/>
                </patternFill>
              </fill>
            </x14:dxf>
          </x14:cfRule>
          <x14:cfRule type="expression" priority="58" id="{B4DBBCE7-B759-4801-9589-C608A96D6C68}">
            <xm:f>$K2=FilterSpecs!$F$12</xm:f>
            <x14:dxf>
              <font>
                <b/>
                <i val="0"/>
                <color theme="0"/>
              </font>
              <fill>
                <patternFill>
                  <bgColor rgb="FFFF4F4F"/>
                </patternFill>
              </fill>
            </x14:dxf>
          </x14:cfRule>
          <x14:cfRule type="expression" priority="59" id="{16C628F5-9E4A-4B7D-A8AD-EAC2F7862118}">
            <xm:f>$K2=FilterSpecs!$F$9</xm:f>
            <x14:dxf>
              <font>
                <b/>
                <i val="0"/>
                <color theme="0"/>
              </font>
              <fill>
                <patternFill>
                  <bgColor rgb="FFFF0000"/>
                </patternFill>
              </fill>
            </x14:dxf>
          </x14:cfRule>
          <x14:cfRule type="expression" priority="61" id="{59034E80-A576-47BA-A627-FA722C7A0EC3}">
            <xm:f>$K2=FilterSpecs!$F$7</xm:f>
            <x14:dxf>
              <font>
                <b/>
                <i val="0"/>
                <color theme="0"/>
              </font>
              <fill>
                <patternFill>
                  <bgColor rgb="FF00B0F0"/>
                </patternFill>
              </fill>
            </x14:dxf>
          </x14:cfRule>
          <x14:cfRule type="expression" priority="62" id="{D0D4AD5E-2996-471F-8616-B049C056E39E}">
            <xm:f>$K2=FilterSpecs!$F$10</xm:f>
            <x14:dxf>
              <font>
                <b/>
                <i val="0"/>
                <color theme="0"/>
              </font>
              <fill>
                <patternFill>
                  <bgColor rgb="FF002060"/>
                </patternFill>
              </fill>
            </x14:dxf>
          </x14:cfRule>
          <x14:cfRule type="expression" priority="63" id="{D95F2E3F-5ACB-4FF8-989F-A93413DBDF17}">
            <xm:f>$K2=FilterSpecs!$F$8</xm:f>
            <x14:dxf>
              <font>
                <b/>
                <i val="0"/>
                <color theme="0"/>
              </font>
              <fill>
                <patternFill>
                  <bgColor rgb="FFFFC000"/>
                </patternFill>
              </fill>
            </x14:dxf>
          </x14:cfRule>
          <x14:cfRule type="expression" priority="64" id="{5C2E0E73-CFD8-4216-9D4D-EDAED8FECD61}">
            <xm:f>$K2=FilterSpecs!$F$10</xm:f>
            <x14:dxf>
              <font>
                <b/>
                <i val="0"/>
                <color theme="0"/>
              </font>
              <fill>
                <patternFill>
                  <bgColor rgb="FF002060"/>
                </patternFill>
              </fill>
            </x14:dxf>
          </x14:cfRule>
          <x14:cfRule type="expression" priority="65" id="{C7215C56-3E74-4792-9EA2-90E8F67B0D18}">
            <xm:f>$K2=FilterSpecs!$F$8</xm:f>
            <x14:dxf>
              <font>
                <b/>
                <i val="0"/>
                <color theme="0"/>
              </font>
              <fill>
                <patternFill>
                  <bgColor rgb="FFFFC000"/>
                </patternFill>
              </fill>
            </x14:dxf>
          </x14:cfRule>
          <x14:cfRule type="expression" priority="66" id="{04500508-FAD8-47E3-8061-F74FDA743F83}">
            <xm:f>$K2=FilterSpecs!$F$7</xm:f>
            <x14:dxf>
              <font>
                <b/>
                <i val="0"/>
                <color theme="0"/>
              </font>
              <fill>
                <patternFill>
                  <bgColor rgb="FF00B0F0"/>
                </patternFill>
              </fill>
            </x14:dxf>
          </x14:cfRule>
          <xm:sqref>M2</xm:sqref>
        </x14:conditionalFormatting>
        <x14:conditionalFormatting xmlns:xm="http://schemas.microsoft.com/office/excel/2006/main">
          <x14:cfRule type="expression" priority="45" id="{0A253BBA-EADD-4C4C-8B49-96266535C15C}">
            <xm:f>$K2=FilterSpecs!$F$13</xm:f>
            <x14:dxf>
              <font>
                <b/>
                <i val="0"/>
                <color theme="0"/>
              </font>
              <fill>
                <patternFill>
                  <bgColor theme="9" tint="-0.499984740745262"/>
                </patternFill>
              </fill>
            </x14:dxf>
          </x14:cfRule>
          <x14:cfRule type="expression" priority="46" id="{BF1879B0-41AA-4244-9E0A-47E1705AAAE4}">
            <xm:f>$K2=FilterSpecs!$E$13</xm:f>
            <x14:dxf>
              <font>
                <b/>
                <i val="0"/>
                <color theme="0"/>
              </font>
              <fill>
                <patternFill>
                  <bgColor theme="9" tint="-0.499984740745262"/>
                </patternFill>
              </fill>
            </x14:dxf>
          </x14:cfRule>
          <x14:cfRule type="expression" priority="47" id="{34C145BD-4F92-4B95-A12C-C66D0A74017E}">
            <xm:f>$K2=FilterSpecs!$F$12</xm:f>
            <x14:dxf>
              <font>
                <b/>
                <i val="0"/>
                <color theme="0"/>
              </font>
              <fill>
                <patternFill>
                  <bgColor rgb="FFFF4F4F"/>
                </patternFill>
              </fill>
            </x14:dxf>
          </x14:cfRule>
          <x14:cfRule type="expression" priority="48" id="{0BBC400D-828B-49F9-AB4C-9DC13969815E}">
            <xm:f>$K2=FilterSpecs!$F$9</xm:f>
            <x14:dxf>
              <font>
                <b/>
                <i val="0"/>
                <color theme="0"/>
              </font>
              <fill>
                <patternFill>
                  <bgColor rgb="FFFF0000"/>
                </patternFill>
              </fill>
            </x14:dxf>
          </x14:cfRule>
          <x14:cfRule type="expression" priority="50" id="{6CBFE79E-F724-473D-839D-82CE9C1C9C7B}">
            <xm:f>$K2=FilterSpecs!$F$7</xm:f>
            <x14:dxf>
              <font>
                <b/>
                <i val="0"/>
                <color theme="0"/>
              </font>
              <fill>
                <patternFill>
                  <bgColor rgb="FF00B0F0"/>
                </patternFill>
              </fill>
            </x14:dxf>
          </x14:cfRule>
          <x14:cfRule type="expression" priority="51" id="{17D0A59E-8183-4894-8B27-C577FE9FBF8A}">
            <xm:f>$K2=FilterSpecs!$F$10</xm:f>
            <x14:dxf>
              <font>
                <b/>
                <i val="0"/>
                <color theme="0"/>
              </font>
              <fill>
                <patternFill>
                  <bgColor rgb="FF002060"/>
                </patternFill>
              </fill>
            </x14:dxf>
          </x14:cfRule>
          <x14:cfRule type="expression" priority="52" id="{ACEAF1E8-4326-450E-91D7-DDB864877974}">
            <xm:f>$K2=FilterSpecs!$F$8</xm:f>
            <x14:dxf>
              <font>
                <b/>
                <i val="0"/>
                <color theme="0"/>
              </font>
              <fill>
                <patternFill>
                  <bgColor rgb="FFFFC000"/>
                </patternFill>
              </fill>
            </x14:dxf>
          </x14:cfRule>
          <x14:cfRule type="expression" priority="53" id="{88CE02C0-84EE-446D-A8B2-22D38467FDE6}">
            <xm:f>$K2=FilterSpecs!$F$10</xm:f>
            <x14:dxf>
              <font>
                <b/>
                <i val="0"/>
                <color theme="0"/>
              </font>
              <fill>
                <patternFill>
                  <bgColor rgb="FF002060"/>
                </patternFill>
              </fill>
            </x14:dxf>
          </x14:cfRule>
          <x14:cfRule type="expression" priority="54" id="{0614A00B-D898-4DE1-91B7-13D03A56BA96}">
            <xm:f>$K2=FilterSpecs!$F$8</xm:f>
            <x14:dxf>
              <font>
                <b/>
                <i val="0"/>
                <color theme="0"/>
              </font>
              <fill>
                <patternFill>
                  <bgColor rgb="FFFFC000"/>
                </patternFill>
              </fill>
            </x14:dxf>
          </x14:cfRule>
          <x14:cfRule type="expression" priority="55" id="{A3776212-BE9F-4359-8D03-F174D2904B6F}">
            <xm:f>$K2=FilterSpecs!$F$7</xm:f>
            <x14:dxf>
              <font>
                <b/>
                <i val="0"/>
                <color theme="0"/>
              </font>
              <fill>
                <patternFill>
                  <bgColor rgb="FF00B0F0"/>
                </patternFill>
              </fill>
            </x14:dxf>
          </x14:cfRule>
          <xm:sqref>L2</xm:sqref>
        </x14:conditionalFormatting>
        <x14:conditionalFormatting xmlns:xm="http://schemas.microsoft.com/office/excel/2006/main">
          <x14:cfRule type="expression" priority="34" id="{27702E1D-1265-404B-919A-28A8FE4A64DA}">
            <xm:f>$K35=FilterSpecs!$F$13</xm:f>
            <x14:dxf>
              <font>
                <b/>
                <i val="0"/>
                <color theme="0"/>
              </font>
              <fill>
                <patternFill>
                  <bgColor theme="9" tint="-0.499984740745262"/>
                </patternFill>
              </fill>
            </x14:dxf>
          </x14:cfRule>
          <x14:cfRule type="expression" priority="35" id="{AE440CC4-BBB8-4CA8-A66B-DE350CD92173}">
            <xm:f>$K35=FilterSpecs!$E$13</xm:f>
            <x14:dxf>
              <font>
                <b/>
                <i val="0"/>
                <color theme="0"/>
              </font>
              <fill>
                <patternFill>
                  <bgColor theme="9" tint="-0.499984740745262"/>
                </patternFill>
              </fill>
            </x14:dxf>
          </x14:cfRule>
          <x14:cfRule type="expression" priority="36" id="{A7B55CED-A882-44AC-B4AD-DD1FA089CC80}">
            <xm:f>$K35=FilterSpecs!$F$12</xm:f>
            <x14:dxf>
              <font>
                <b/>
                <i val="0"/>
                <color theme="0"/>
              </font>
              <fill>
                <patternFill>
                  <bgColor rgb="FFFF4F4F"/>
                </patternFill>
              </fill>
            </x14:dxf>
          </x14:cfRule>
          <x14:cfRule type="expression" priority="37" id="{E62CE0DE-FFCC-45EF-AE27-7DE2DF83C62E}">
            <xm:f>$K35=FilterSpecs!$F$9</xm:f>
            <x14:dxf>
              <font>
                <b/>
                <i val="0"/>
                <color theme="0"/>
              </font>
              <fill>
                <patternFill>
                  <bgColor rgb="FFFF0000"/>
                </patternFill>
              </fill>
            </x14:dxf>
          </x14:cfRule>
          <x14:cfRule type="expression" priority="39" id="{C58400CD-D6D4-4AA8-8816-C357177C53AA}">
            <xm:f>$K35=FilterSpecs!$F$7</xm:f>
            <x14:dxf>
              <font>
                <b/>
                <i val="0"/>
                <color theme="0"/>
              </font>
              <fill>
                <patternFill>
                  <bgColor rgb="FF00B0F0"/>
                </patternFill>
              </fill>
            </x14:dxf>
          </x14:cfRule>
          <x14:cfRule type="expression" priority="40" id="{C9339FD1-D77B-40D7-A67D-E859122D141A}">
            <xm:f>$K35=FilterSpecs!$F$10</xm:f>
            <x14:dxf>
              <font>
                <b/>
                <i val="0"/>
                <color theme="0"/>
              </font>
              <fill>
                <patternFill>
                  <bgColor rgb="FF002060"/>
                </patternFill>
              </fill>
            </x14:dxf>
          </x14:cfRule>
          <x14:cfRule type="expression" priority="41" id="{EF5556F2-79C1-47CD-BE18-C601C4CF55C7}">
            <xm:f>$K35=FilterSpecs!$F$8</xm:f>
            <x14:dxf>
              <font>
                <b/>
                <i val="0"/>
                <color theme="0"/>
              </font>
              <fill>
                <patternFill>
                  <bgColor rgb="FFFFC000"/>
                </patternFill>
              </fill>
            </x14:dxf>
          </x14:cfRule>
          <x14:cfRule type="expression" priority="42" id="{F7AD45F7-4AC7-40F0-B4D0-85723B2CC152}">
            <xm:f>$K35=FilterSpecs!$F$10</xm:f>
            <x14:dxf>
              <font>
                <b/>
                <i val="0"/>
                <color theme="0"/>
              </font>
              <fill>
                <patternFill>
                  <bgColor rgb="FF002060"/>
                </patternFill>
              </fill>
            </x14:dxf>
          </x14:cfRule>
          <x14:cfRule type="expression" priority="43" id="{899A7DB0-B290-489B-9B03-59A3300B7496}">
            <xm:f>$K35=FilterSpecs!$F$8</xm:f>
            <x14:dxf>
              <font>
                <b/>
                <i val="0"/>
                <color theme="0"/>
              </font>
              <fill>
                <patternFill>
                  <bgColor rgb="FFFFC000"/>
                </patternFill>
              </fill>
            </x14:dxf>
          </x14:cfRule>
          <x14:cfRule type="expression" priority="44" id="{5A18264C-17FE-4CAE-83D4-08A111E3C17E}">
            <xm:f>$K35=FilterSpecs!$F$7</xm:f>
            <x14:dxf>
              <font>
                <b/>
                <i val="0"/>
                <color theme="0"/>
              </font>
              <fill>
                <patternFill>
                  <bgColor rgb="FF00B0F0"/>
                </patternFill>
              </fill>
            </x14:dxf>
          </x14:cfRule>
          <xm:sqref>D35:G35</xm:sqref>
        </x14:conditionalFormatting>
        <x14:conditionalFormatting xmlns:xm="http://schemas.microsoft.com/office/excel/2006/main">
          <x14:cfRule type="expression" priority="23" id="{310DAC3B-ED60-438E-976A-BA0DB903F9FD}">
            <xm:f>$K2=FilterSpecs!$F$13</xm:f>
            <x14:dxf>
              <font>
                <b/>
                <i val="0"/>
                <color theme="0"/>
              </font>
              <fill>
                <patternFill>
                  <bgColor theme="9" tint="-0.499984740745262"/>
                </patternFill>
              </fill>
            </x14:dxf>
          </x14:cfRule>
          <x14:cfRule type="expression" priority="24" id="{3A7E5181-F1BC-41C9-BCEB-F5770FC870AF}">
            <xm:f>$K2=FilterSpecs!$E$13</xm:f>
            <x14:dxf>
              <font>
                <b/>
                <i val="0"/>
                <color theme="0"/>
              </font>
              <fill>
                <patternFill>
                  <bgColor theme="9" tint="-0.499984740745262"/>
                </patternFill>
              </fill>
            </x14:dxf>
          </x14:cfRule>
          <x14:cfRule type="expression" priority="25" id="{675DB4EC-5048-429D-861A-4EB7654D2972}">
            <xm:f>$K2=FilterSpecs!$F$12</xm:f>
            <x14:dxf>
              <font>
                <b/>
                <i val="0"/>
                <color theme="0"/>
              </font>
              <fill>
                <patternFill>
                  <bgColor rgb="FFFF4F4F"/>
                </patternFill>
              </fill>
            </x14:dxf>
          </x14:cfRule>
          <x14:cfRule type="expression" priority="26" id="{5A402E83-D37F-4F04-A72B-775B79869074}">
            <xm:f>$K2=FilterSpecs!$F$9</xm:f>
            <x14:dxf>
              <font>
                <b/>
                <i val="0"/>
                <color theme="0"/>
              </font>
              <fill>
                <patternFill>
                  <bgColor rgb="FFFF0000"/>
                </patternFill>
              </fill>
            </x14:dxf>
          </x14:cfRule>
          <x14:cfRule type="expression" priority="28" id="{4177050A-84F7-45D0-A2F8-44E9F6D97839}">
            <xm:f>$K2=FilterSpecs!$F$7</xm:f>
            <x14:dxf>
              <font>
                <b/>
                <i val="0"/>
                <color theme="0"/>
              </font>
              <fill>
                <patternFill>
                  <bgColor rgb="FF00B0F0"/>
                </patternFill>
              </fill>
            </x14:dxf>
          </x14:cfRule>
          <x14:cfRule type="expression" priority="29" id="{235CEDA7-A912-470C-97D6-C6F7476D2A14}">
            <xm:f>$K2=FilterSpecs!$F$10</xm:f>
            <x14:dxf>
              <font>
                <b/>
                <i val="0"/>
                <color theme="0"/>
              </font>
              <fill>
                <patternFill>
                  <bgColor rgb="FF002060"/>
                </patternFill>
              </fill>
            </x14:dxf>
          </x14:cfRule>
          <x14:cfRule type="expression" priority="30" id="{44FC1B6B-30E8-4940-9298-8896ACDBAC1D}">
            <xm:f>$K2=FilterSpecs!$F$8</xm:f>
            <x14:dxf>
              <font>
                <b/>
                <i val="0"/>
                <color theme="0"/>
              </font>
              <fill>
                <patternFill>
                  <bgColor rgb="FFFFC000"/>
                </patternFill>
              </fill>
            </x14:dxf>
          </x14:cfRule>
          <x14:cfRule type="expression" priority="31" id="{1DB10A51-2CF2-422D-BA13-B4F55757CF32}">
            <xm:f>$K2=FilterSpecs!$F$10</xm:f>
            <x14:dxf>
              <font>
                <b/>
                <i val="0"/>
                <color theme="0"/>
              </font>
              <fill>
                <patternFill>
                  <bgColor rgb="FF002060"/>
                </patternFill>
              </fill>
            </x14:dxf>
          </x14:cfRule>
          <x14:cfRule type="expression" priority="32" id="{067C8408-924C-4152-8B85-15BB9577AF31}">
            <xm:f>$K2=FilterSpecs!$F$8</xm:f>
            <x14:dxf>
              <font>
                <b/>
                <i val="0"/>
                <color theme="0"/>
              </font>
              <fill>
                <patternFill>
                  <bgColor rgb="FFFFC000"/>
                </patternFill>
              </fill>
            </x14:dxf>
          </x14:cfRule>
          <x14:cfRule type="expression" priority="33" id="{D6F60E28-2EF3-4279-8D3A-755A595D1994}">
            <xm:f>$K2=FilterSpecs!$F$7</xm:f>
            <x14:dxf>
              <font>
                <b/>
                <i val="0"/>
                <color theme="0"/>
              </font>
              <fill>
                <patternFill>
                  <bgColor rgb="FF00B0F0"/>
                </patternFill>
              </fill>
            </x14:dxf>
          </x14:cfRule>
          <xm:sqref>O2</xm:sqref>
        </x14:conditionalFormatting>
        <x14:conditionalFormatting xmlns:xm="http://schemas.microsoft.com/office/excel/2006/main">
          <x14:cfRule type="expression" priority="12" id="{A5F14C4E-E1A3-44D8-AE95-2EA0EAFF259C}">
            <xm:f>$K2=FilterSpecs!$F$13</xm:f>
            <x14:dxf>
              <font>
                <b/>
                <i val="0"/>
                <color theme="0"/>
              </font>
              <fill>
                <patternFill>
                  <bgColor theme="9" tint="-0.499984740745262"/>
                </patternFill>
              </fill>
            </x14:dxf>
          </x14:cfRule>
          <x14:cfRule type="expression" priority="13" id="{7C318D4F-87DC-40AC-8F31-C26F4A333E69}">
            <xm:f>$K2=FilterSpecs!$E$13</xm:f>
            <x14:dxf>
              <font>
                <b/>
                <i val="0"/>
                <color theme="0"/>
              </font>
              <fill>
                <patternFill>
                  <bgColor theme="9" tint="-0.499984740745262"/>
                </patternFill>
              </fill>
            </x14:dxf>
          </x14:cfRule>
          <x14:cfRule type="expression" priority="14" id="{FCBDA2E1-9E18-43C2-914E-2A2A30506A59}">
            <xm:f>$K2=FilterSpecs!$F$12</xm:f>
            <x14:dxf>
              <font>
                <b/>
                <i val="0"/>
                <color theme="0"/>
              </font>
              <fill>
                <patternFill>
                  <bgColor rgb="FFFF4F4F"/>
                </patternFill>
              </fill>
            </x14:dxf>
          </x14:cfRule>
          <x14:cfRule type="expression" priority="15" id="{A3C37212-8FD2-44C8-AE24-D443C2377648}">
            <xm:f>$K2=FilterSpecs!$F$9</xm:f>
            <x14:dxf>
              <font>
                <b/>
                <i val="0"/>
                <color theme="0"/>
              </font>
              <fill>
                <patternFill>
                  <bgColor rgb="FFFF0000"/>
                </patternFill>
              </fill>
            </x14:dxf>
          </x14:cfRule>
          <x14:cfRule type="expression" priority="17" id="{93928085-11CC-4F36-B8DC-AB874E75DC41}">
            <xm:f>$K2=FilterSpecs!$F$7</xm:f>
            <x14:dxf>
              <font>
                <b/>
                <i val="0"/>
                <color theme="0"/>
              </font>
              <fill>
                <patternFill>
                  <bgColor rgb="FF00B0F0"/>
                </patternFill>
              </fill>
            </x14:dxf>
          </x14:cfRule>
          <x14:cfRule type="expression" priority="18" id="{75B71D5D-A2D3-4802-8CF0-B111EF1D258E}">
            <xm:f>$K2=FilterSpecs!$F$10</xm:f>
            <x14:dxf>
              <font>
                <b/>
                <i val="0"/>
                <color theme="0"/>
              </font>
              <fill>
                <patternFill>
                  <bgColor rgb="FF002060"/>
                </patternFill>
              </fill>
            </x14:dxf>
          </x14:cfRule>
          <x14:cfRule type="expression" priority="19" id="{B7347E50-1409-4F64-B085-1D1EC9BC2369}">
            <xm:f>$K2=FilterSpecs!$F$8</xm:f>
            <x14:dxf>
              <font>
                <b/>
                <i val="0"/>
                <color theme="0"/>
              </font>
              <fill>
                <patternFill>
                  <bgColor rgb="FFFFC000"/>
                </patternFill>
              </fill>
            </x14:dxf>
          </x14:cfRule>
          <x14:cfRule type="expression" priority="20" id="{3DDD8C28-C092-413F-A640-29FCB05E3374}">
            <xm:f>$K2=FilterSpecs!$F$10</xm:f>
            <x14:dxf>
              <font>
                <b/>
                <i val="0"/>
                <color theme="0"/>
              </font>
              <fill>
                <patternFill>
                  <bgColor rgb="FF002060"/>
                </patternFill>
              </fill>
            </x14:dxf>
          </x14:cfRule>
          <x14:cfRule type="expression" priority="21" id="{17DA5CBE-6AB9-4795-ACEB-23E3A882F880}">
            <xm:f>$K2=FilterSpecs!$F$8</xm:f>
            <x14:dxf>
              <font>
                <b/>
                <i val="0"/>
                <color theme="0"/>
              </font>
              <fill>
                <patternFill>
                  <bgColor rgb="FFFFC000"/>
                </patternFill>
              </fill>
            </x14:dxf>
          </x14:cfRule>
          <x14:cfRule type="expression" priority="22" id="{81A43008-D170-4589-9014-7EE2DA29E738}">
            <xm:f>$K2=FilterSpecs!$F$7</xm:f>
            <x14:dxf>
              <font>
                <b/>
                <i val="0"/>
                <color theme="0"/>
              </font>
              <fill>
                <patternFill>
                  <bgColor rgb="FF00B0F0"/>
                </patternFill>
              </fill>
            </x14:dxf>
          </x14:cfRule>
          <xm:sqref>N2</xm:sqref>
        </x14:conditionalFormatting>
        <x14:conditionalFormatting xmlns:xm="http://schemas.microsoft.com/office/excel/2006/main">
          <x14:cfRule type="expression" priority="1" id="{55B1BAB1-51BD-4086-827F-AF5AF1E29B04}">
            <xm:f>$K2=FilterSpecs!$F$13</xm:f>
            <x14:dxf>
              <font>
                <b/>
                <i val="0"/>
                <color theme="0"/>
              </font>
              <fill>
                <patternFill>
                  <bgColor theme="9" tint="-0.499984740745262"/>
                </patternFill>
              </fill>
            </x14:dxf>
          </x14:cfRule>
          <x14:cfRule type="expression" priority="2" id="{C6E9CD94-376C-49BB-A900-9AD21EDC155F}">
            <xm:f>$K2=FilterSpecs!$E$13</xm:f>
            <x14:dxf>
              <font>
                <b/>
                <i val="0"/>
                <color theme="0"/>
              </font>
              <fill>
                <patternFill>
                  <bgColor theme="9" tint="-0.499984740745262"/>
                </patternFill>
              </fill>
            </x14:dxf>
          </x14:cfRule>
          <x14:cfRule type="expression" priority="3" id="{C65B4243-6762-40D7-9AD3-91E6335F6E0B}">
            <xm:f>$K2=FilterSpecs!$F$12</xm:f>
            <x14:dxf>
              <font>
                <b/>
                <i val="0"/>
                <color theme="0"/>
              </font>
              <fill>
                <patternFill>
                  <bgColor rgb="FFFF4F4F"/>
                </patternFill>
              </fill>
            </x14:dxf>
          </x14:cfRule>
          <x14:cfRule type="expression" priority="4" id="{A2C361CE-9DA1-4991-A281-D2D9AC0BBB98}">
            <xm:f>$K2=FilterSpecs!$F$9</xm:f>
            <x14:dxf>
              <font>
                <b/>
                <i val="0"/>
                <color theme="0"/>
              </font>
              <fill>
                <patternFill>
                  <bgColor rgb="FFFF0000"/>
                </patternFill>
              </fill>
            </x14:dxf>
          </x14:cfRule>
          <x14:cfRule type="expression" priority="6" id="{3E1BB6D1-FFFF-4CC0-9FB3-83219AB6B88C}">
            <xm:f>$K2=FilterSpecs!$F$7</xm:f>
            <x14:dxf>
              <font>
                <b/>
                <i val="0"/>
                <color theme="0"/>
              </font>
              <fill>
                <patternFill>
                  <bgColor rgb="FF00B0F0"/>
                </patternFill>
              </fill>
            </x14:dxf>
          </x14:cfRule>
          <x14:cfRule type="expression" priority="7" id="{8D692616-6B71-4F97-818C-3E0A84FCCC3E}">
            <xm:f>$K2=FilterSpecs!$F$10</xm:f>
            <x14:dxf>
              <font>
                <b/>
                <i val="0"/>
                <color theme="0"/>
              </font>
              <fill>
                <patternFill>
                  <bgColor rgb="FF002060"/>
                </patternFill>
              </fill>
            </x14:dxf>
          </x14:cfRule>
          <x14:cfRule type="expression" priority="8" id="{DFCBECC9-92BB-420D-94DD-FB3D7DD7080D}">
            <xm:f>$K2=FilterSpecs!$F$8</xm:f>
            <x14:dxf>
              <font>
                <b/>
                <i val="0"/>
                <color theme="0"/>
              </font>
              <fill>
                <patternFill>
                  <bgColor rgb="FFFFC000"/>
                </patternFill>
              </fill>
            </x14:dxf>
          </x14:cfRule>
          <x14:cfRule type="expression" priority="9" id="{82C5F977-993C-4CA4-9A7B-836F33E5D07E}">
            <xm:f>$K2=FilterSpecs!$F$10</xm:f>
            <x14:dxf>
              <font>
                <b/>
                <i val="0"/>
                <color theme="0"/>
              </font>
              <fill>
                <patternFill>
                  <bgColor rgb="FF002060"/>
                </patternFill>
              </fill>
            </x14:dxf>
          </x14:cfRule>
          <x14:cfRule type="expression" priority="10" id="{13BD88BE-2CCC-43FD-BA4B-816B2EB0E8C8}">
            <xm:f>$K2=FilterSpecs!$F$8</xm:f>
            <x14:dxf>
              <font>
                <b/>
                <i val="0"/>
                <color theme="0"/>
              </font>
              <fill>
                <patternFill>
                  <bgColor rgb="FFFFC000"/>
                </patternFill>
              </fill>
            </x14:dxf>
          </x14:cfRule>
          <x14:cfRule type="expression" priority="11" id="{9B0AA41C-DBB1-43E4-BCBE-437FBC9B24C6}">
            <xm:f>$K2=FilterSpecs!$F$7</xm:f>
            <x14:dxf>
              <font>
                <b/>
                <i val="0"/>
                <color theme="0"/>
              </font>
              <fill>
                <patternFill>
                  <bgColor rgb="FF00B0F0"/>
                </patternFill>
              </fill>
            </x14:dxf>
          </x14:cfRule>
          <xm:sqref>B2:C2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62FECBB-BF62-4213-A881-E8A97D904C2A}">
          <x14:formula1>
            <xm:f>FilterSpecs!$C$6:$C$13</xm:f>
          </x14:formula1>
          <xm:sqref>M24</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AC446-75B8-4504-96A9-5D9F34C59B0A}">
  <sheetPr codeName="Sheet5">
    <tabColor theme="7"/>
  </sheetPr>
  <dimension ref="A1:S44"/>
  <sheetViews>
    <sheetView zoomScale="85" zoomScaleNormal="85" workbookViewId="0">
      <selection activeCell="C9" sqref="C9"/>
    </sheetView>
  </sheetViews>
  <sheetFormatPr defaultRowHeight="21" x14ac:dyDescent="0.3"/>
  <cols>
    <col min="1" max="1" width="12" customWidth="1"/>
    <col min="2" max="2" width="10" customWidth="1"/>
    <col min="3" max="3" width="86.77734375" customWidth="1"/>
    <col min="4" max="4" width="39.6640625" bestFit="1" customWidth="1"/>
    <col min="5" max="5" width="39.21875" customWidth="1"/>
    <col min="6" max="6" width="37.33203125" bestFit="1" customWidth="1"/>
    <col min="7" max="7" width="31.21875" bestFit="1" customWidth="1"/>
    <col min="8" max="8" width="19.6640625" style="43" customWidth="1"/>
    <col min="9" max="9" width="48.77734375" customWidth="1"/>
    <col min="10" max="10" width="110.5546875" customWidth="1"/>
  </cols>
  <sheetData>
    <row r="1" spans="1:10" x14ac:dyDescent="0.4">
      <c r="A1" s="44" t="s">
        <v>164</v>
      </c>
      <c r="B1" s="44" t="s">
        <v>2400</v>
      </c>
      <c r="C1" s="37" t="s">
        <v>190</v>
      </c>
      <c r="D1" s="37" t="s">
        <v>184</v>
      </c>
      <c r="E1" s="38" t="s">
        <v>185</v>
      </c>
      <c r="F1" s="37" t="s">
        <v>186</v>
      </c>
      <c r="G1" s="37" t="s">
        <v>229</v>
      </c>
      <c r="H1" s="37" t="s">
        <v>187</v>
      </c>
      <c r="I1" s="37" t="s">
        <v>192</v>
      </c>
      <c r="J1" s="37" t="s">
        <v>189</v>
      </c>
    </row>
    <row r="2" spans="1:10" x14ac:dyDescent="0.4">
      <c r="A2" s="46">
        <v>14.95</v>
      </c>
      <c r="B2" s="46" t="s">
        <v>2401</v>
      </c>
      <c r="C2" s="40" t="s">
        <v>83</v>
      </c>
      <c r="D2" s="40"/>
      <c r="E2" s="38" t="s">
        <v>165</v>
      </c>
      <c r="F2" s="39" t="s">
        <v>166</v>
      </c>
      <c r="G2" s="39"/>
      <c r="H2" s="37"/>
      <c r="I2" s="43"/>
      <c r="J2" s="43"/>
    </row>
    <row r="3" spans="1:10" x14ac:dyDescent="0.4">
      <c r="A3" s="45">
        <v>3.95</v>
      </c>
      <c r="B3" s="46" t="s">
        <v>2401</v>
      </c>
      <c r="C3" s="40" t="s">
        <v>87</v>
      </c>
      <c r="D3" s="40"/>
      <c r="E3" s="39" t="s">
        <v>167</v>
      </c>
      <c r="F3" s="38"/>
      <c r="G3" s="38" t="s">
        <v>2420</v>
      </c>
      <c r="H3" s="37" t="s">
        <v>168</v>
      </c>
      <c r="I3" s="43">
        <v>4</v>
      </c>
      <c r="J3" s="43"/>
    </row>
    <row r="4" spans="1:10" x14ac:dyDescent="0.4">
      <c r="A4" s="46">
        <v>1.95</v>
      </c>
      <c r="B4" s="46" t="s">
        <v>2401</v>
      </c>
      <c r="C4" s="40" t="s">
        <v>79</v>
      </c>
      <c r="D4" s="37"/>
      <c r="E4" s="39" t="s">
        <v>191</v>
      </c>
      <c r="F4" s="37" t="s">
        <v>182</v>
      </c>
      <c r="G4" s="37"/>
      <c r="H4" s="37"/>
      <c r="I4" s="43"/>
      <c r="J4" s="43"/>
    </row>
    <row r="5" spans="1:10" x14ac:dyDescent="0.4">
      <c r="A5" s="44">
        <v>0.95</v>
      </c>
      <c r="B5" s="46" t="s">
        <v>2401</v>
      </c>
      <c r="C5" s="40" t="s">
        <v>75</v>
      </c>
      <c r="D5" s="37"/>
      <c r="E5" s="39" t="s">
        <v>183</v>
      </c>
      <c r="F5" s="37"/>
      <c r="G5" s="37"/>
      <c r="H5" s="37"/>
      <c r="I5" s="43"/>
      <c r="J5" s="43"/>
    </row>
    <row r="6" spans="1:10" x14ac:dyDescent="0.4">
      <c r="A6" s="46">
        <v>24.95</v>
      </c>
      <c r="B6" s="46" t="s">
        <v>2401</v>
      </c>
      <c r="C6" s="40" t="s">
        <v>95</v>
      </c>
      <c r="D6" s="40" t="s">
        <v>169</v>
      </c>
      <c r="E6" s="41" t="s">
        <v>170</v>
      </c>
      <c r="F6" s="39" t="s">
        <v>188</v>
      </c>
      <c r="G6" s="39"/>
      <c r="H6" s="37"/>
      <c r="I6" s="43" t="s">
        <v>193</v>
      </c>
      <c r="J6" s="43"/>
    </row>
    <row r="7" spans="1:10" x14ac:dyDescent="0.4">
      <c r="A7" s="46"/>
      <c r="B7" s="46" t="s">
        <v>2401</v>
      </c>
      <c r="C7" s="40"/>
      <c r="D7" s="40" t="s">
        <v>171</v>
      </c>
      <c r="E7" s="41" t="s">
        <v>172</v>
      </c>
      <c r="F7" s="38"/>
      <c r="G7" s="38"/>
      <c r="H7" s="37"/>
      <c r="I7" s="43"/>
      <c r="J7" s="43"/>
    </row>
    <row r="8" spans="1:10" x14ac:dyDescent="0.4">
      <c r="A8" s="46">
        <v>14.95</v>
      </c>
      <c r="B8" s="46" t="s">
        <v>2401</v>
      </c>
      <c r="C8" s="40" t="s">
        <v>99</v>
      </c>
      <c r="D8" s="40"/>
      <c r="E8" s="39" t="s">
        <v>176</v>
      </c>
      <c r="F8" s="38"/>
      <c r="G8" s="38"/>
      <c r="H8" s="37"/>
      <c r="I8" s="43" t="s">
        <v>2418</v>
      </c>
      <c r="J8" s="43" t="s">
        <v>2404</v>
      </c>
    </row>
    <row r="9" spans="1:10" x14ac:dyDescent="0.4">
      <c r="A9" s="46">
        <v>24.95</v>
      </c>
      <c r="B9" s="46" t="s">
        <v>2401</v>
      </c>
      <c r="C9" s="40" t="s">
        <v>91</v>
      </c>
      <c r="D9" s="40"/>
      <c r="E9" s="39" t="s">
        <v>173</v>
      </c>
      <c r="F9" s="39" t="s">
        <v>174</v>
      </c>
      <c r="G9" s="39"/>
      <c r="H9" s="37"/>
      <c r="I9" s="43" t="s">
        <v>2418</v>
      </c>
      <c r="J9" s="43" t="s">
        <v>2404</v>
      </c>
    </row>
    <row r="10" spans="1:10" x14ac:dyDescent="0.4">
      <c r="A10" s="45">
        <v>14.95</v>
      </c>
      <c r="B10" s="46" t="s">
        <v>2401</v>
      </c>
      <c r="C10" s="40" t="s">
        <v>175</v>
      </c>
      <c r="D10" s="40"/>
      <c r="E10" s="39" t="s">
        <v>173</v>
      </c>
      <c r="F10" s="39" t="s">
        <v>174</v>
      </c>
      <c r="G10" s="39"/>
      <c r="H10" s="37"/>
      <c r="I10" s="43"/>
      <c r="J10" s="43"/>
    </row>
    <row r="11" spans="1:10" x14ac:dyDescent="0.4">
      <c r="A11" s="46">
        <v>14.95</v>
      </c>
      <c r="B11" s="46" t="s">
        <v>2402</v>
      </c>
      <c r="C11" s="40" t="s">
        <v>2321</v>
      </c>
      <c r="D11" s="40"/>
      <c r="E11" s="39" t="s">
        <v>2405</v>
      </c>
      <c r="F11" s="38" t="s">
        <v>2406</v>
      </c>
      <c r="G11" s="38" t="s">
        <v>2407</v>
      </c>
      <c r="H11" s="37" t="s">
        <v>168</v>
      </c>
      <c r="I11" s="43" t="s">
        <v>2409</v>
      </c>
      <c r="J11" s="43" t="s">
        <v>2404</v>
      </c>
    </row>
    <row r="12" spans="1:10" x14ac:dyDescent="0.4">
      <c r="A12" s="46">
        <v>13.95</v>
      </c>
      <c r="B12" s="46" t="s">
        <v>2402</v>
      </c>
      <c r="C12" s="40" t="s">
        <v>2323</v>
      </c>
      <c r="D12" s="40"/>
      <c r="E12" s="39" t="s">
        <v>2408</v>
      </c>
      <c r="F12" s="38" t="s">
        <v>2416</v>
      </c>
      <c r="G12" s="38" t="s">
        <v>2417</v>
      </c>
      <c r="H12" s="37" t="s">
        <v>168</v>
      </c>
      <c r="I12" s="43" t="s">
        <v>2418</v>
      </c>
      <c r="J12" s="43" t="s">
        <v>2404</v>
      </c>
    </row>
    <row r="13" spans="1:10" x14ac:dyDescent="0.4">
      <c r="A13" s="46">
        <v>19.95</v>
      </c>
      <c r="B13" s="46" t="s">
        <v>2401</v>
      </c>
      <c r="C13" s="40" t="s">
        <v>103</v>
      </c>
      <c r="E13" s="39" t="s">
        <v>227</v>
      </c>
      <c r="G13" s="37" t="s">
        <v>228</v>
      </c>
      <c r="H13" s="37"/>
      <c r="I13" s="43" t="s">
        <v>2419</v>
      </c>
    </row>
    <row r="14" spans="1:10" x14ac:dyDescent="0.4">
      <c r="A14" s="46">
        <v>13.95</v>
      </c>
      <c r="B14" s="46" t="s">
        <v>2401</v>
      </c>
      <c r="C14" s="40" t="s">
        <v>107</v>
      </c>
      <c r="D14" s="40"/>
      <c r="E14" s="39" t="s">
        <v>177</v>
      </c>
      <c r="F14" s="38"/>
      <c r="G14" s="38"/>
      <c r="H14" s="37"/>
      <c r="I14" s="43" t="s">
        <v>194</v>
      </c>
      <c r="J14" s="43" t="s">
        <v>2415</v>
      </c>
    </row>
    <row r="15" spans="1:10" x14ac:dyDescent="0.4">
      <c r="A15" s="46">
        <v>14.95</v>
      </c>
      <c r="B15" s="46" t="s">
        <v>2401</v>
      </c>
      <c r="C15" s="40" t="s">
        <v>178</v>
      </c>
      <c r="D15" s="40"/>
      <c r="E15" s="39" t="s">
        <v>179</v>
      </c>
      <c r="F15" s="38"/>
      <c r="G15" s="38"/>
      <c r="H15" s="37"/>
      <c r="I15" s="43" t="s">
        <v>194</v>
      </c>
      <c r="J15" s="43"/>
    </row>
    <row r="16" spans="1:10" x14ac:dyDescent="0.4">
      <c r="A16" s="46">
        <v>13.95</v>
      </c>
      <c r="B16" s="46" t="s">
        <v>2401</v>
      </c>
      <c r="C16" s="40" t="s">
        <v>180</v>
      </c>
      <c r="D16" s="40"/>
      <c r="E16" s="39" t="s">
        <v>181</v>
      </c>
      <c r="F16" s="38"/>
      <c r="G16" s="38"/>
      <c r="H16" s="37"/>
      <c r="I16" s="43" t="s">
        <v>194</v>
      </c>
      <c r="J16" s="43"/>
    </row>
    <row r="17" spans="1:19" x14ac:dyDescent="0.4">
      <c r="A17" s="46"/>
      <c r="B17" s="46" t="s">
        <v>2402</v>
      </c>
      <c r="C17" s="40" t="s">
        <v>2325</v>
      </c>
      <c r="D17" s="40"/>
      <c r="E17" s="39" t="s">
        <v>2410</v>
      </c>
      <c r="F17" s="38"/>
      <c r="G17" s="38"/>
      <c r="H17" s="37"/>
      <c r="I17" s="43" t="s">
        <v>194</v>
      </c>
      <c r="J17" s="43" t="s">
        <v>2411</v>
      </c>
      <c r="S17" s="39"/>
    </row>
    <row r="18" spans="1:19" x14ac:dyDescent="0.4">
      <c r="A18" s="46"/>
      <c r="B18" s="46" t="s">
        <v>2402</v>
      </c>
      <c r="C18" s="40" t="s">
        <v>2327</v>
      </c>
      <c r="D18" s="40"/>
      <c r="E18" s="39" t="s">
        <v>2403</v>
      </c>
      <c r="F18" s="38"/>
      <c r="G18" s="38"/>
      <c r="H18" s="37"/>
      <c r="I18" s="43" t="s">
        <v>194</v>
      </c>
      <c r="J18" s="43" t="s">
        <v>2413</v>
      </c>
    </row>
    <row r="19" spans="1:19" x14ac:dyDescent="0.4">
      <c r="A19" s="46"/>
      <c r="B19" s="46" t="s">
        <v>2402</v>
      </c>
      <c r="C19" s="40" t="s">
        <v>2329</v>
      </c>
      <c r="D19" s="40"/>
      <c r="E19" s="39" t="s">
        <v>2412</v>
      </c>
      <c r="F19" s="38"/>
      <c r="G19" s="109" t="s">
        <v>2414</v>
      </c>
      <c r="H19" s="37"/>
      <c r="I19" s="43" t="s">
        <v>194</v>
      </c>
      <c r="J19" s="43" t="s">
        <v>2413</v>
      </c>
    </row>
    <row r="20" spans="1:19" x14ac:dyDescent="0.3">
      <c r="B20" s="48"/>
    </row>
    <row r="21" spans="1:19" x14ac:dyDescent="0.3">
      <c r="C21" s="42" t="s">
        <v>199</v>
      </c>
      <c r="D21" s="42" t="s">
        <v>200</v>
      </c>
      <c r="E21" s="42" t="s">
        <v>196</v>
      </c>
      <c r="F21" s="42" t="s">
        <v>207</v>
      </c>
    </row>
    <row r="22" spans="1:19" x14ac:dyDescent="0.3">
      <c r="C22" s="47" t="s">
        <v>139</v>
      </c>
      <c r="D22" s="42" t="s">
        <v>195</v>
      </c>
      <c r="E22" s="42" t="s">
        <v>202</v>
      </c>
      <c r="F22" s="42"/>
    </row>
    <row r="23" spans="1:19" x14ac:dyDescent="0.3">
      <c r="C23" s="47" t="s">
        <v>147</v>
      </c>
      <c r="D23" s="42">
        <v>5</v>
      </c>
      <c r="E23" s="42" t="s">
        <v>202</v>
      </c>
      <c r="F23" s="42"/>
    </row>
    <row r="24" spans="1:19" x14ac:dyDescent="0.3">
      <c r="C24" s="47" t="s">
        <v>143</v>
      </c>
      <c r="D24" s="42">
        <v>6</v>
      </c>
      <c r="E24" s="42" t="s">
        <v>201</v>
      </c>
      <c r="F24" s="42" t="s">
        <v>206</v>
      </c>
    </row>
    <row r="25" spans="1:19" x14ac:dyDescent="0.3">
      <c r="C25" s="47" t="s">
        <v>198</v>
      </c>
      <c r="D25" s="42" t="s">
        <v>197</v>
      </c>
      <c r="E25" s="42" t="s">
        <v>202</v>
      </c>
      <c r="F25" s="42"/>
    </row>
    <row r="26" spans="1:19" x14ac:dyDescent="0.3">
      <c r="C26" s="47" t="s">
        <v>203</v>
      </c>
      <c r="D26" s="42">
        <v>10</v>
      </c>
      <c r="E26" s="42" t="s">
        <v>202</v>
      </c>
      <c r="F26" s="42"/>
    </row>
    <row r="27" spans="1:19" x14ac:dyDescent="0.3">
      <c r="C27" s="47" t="s">
        <v>204</v>
      </c>
      <c r="D27" s="42">
        <v>8</v>
      </c>
      <c r="E27" s="42" t="s">
        <v>202</v>
      </c>
      <c r="F27" s="42"/>
    </row>
    <row r="28" spans="1:19" x14ac:dyDescent="0.3">
      <c r="C28" s="47" t="s">
        <v>205</v>
      </c>
      <c r="D28" s="42">
        <v>8</v>
      </c>
      <c r="E28" s="42" t="s">
        <v>202</v>
      </c>
      <c r="F28" s="42"/>
    </row>
    <row r="29" spans="1:19" x14ac:dyDescent="0.3">
      <c r="C29" s="47" t="s">
        <v>91</v>
      </c>
      <c r="D29" s="42">
        <v>6</v>
      </c>
      <c r="E29" s="42" t="s">
        <v>202</v>
      </c>
      <c r="F29" s="42"/>
    </row>
    <row r="30" spans="1:19" x14ac:dyDescent="0.3">
      <c r="C30" s="47" t="s">
        <v>87</v>
      </c>
      <c r="D30" s="42">
        <v>4</v>
      </c>
      <c r="E30" s="42" t="s">
        <v>201</v>
      </c>
      <c r="F30" s="42" t="s">
        <v>206</v>
      </c>
    </row>
    <row r="31" spans="1:19" x14ac:dyDescent="0.3">
      <c r="C31" s="47" t="s">
        <v>208</v>
      </c>
      <c r="D31" s="42" t="s">
        <v>209</v>
      </c>
      <c r="E31" s="42" t="s">
        <v>202</v>
      </c>
      <c r="F31" s="42"/>
    </row>
    <row r="32" spans="1:19" x14ac:dyDescent="0.3">
      <c r="C32" s="47" t="s">
        <v>210</v>
      </c>
      <c r="D32" s="42" t="s">
        <v>211</v>
      </c>
      <c r="E32" s="42" t="s">
        <v>202</v>
      </c>
      <c r="F32" s="42"/>
    </row>
    <row r="33" spans="3:6" x14ac:dyDescent="0.3">
      <c r="C33" s="47" t="s">
        <v>212</v>
      </c>
      <c r="D33" s="42">
        <v>5</v>
      </c>
      <c r="E33" s="42"/>
      <c r="F33" s="42"/>
    </row>
    <row r="34" spans="3:6" x14ac:dyDescent="0.3">
      <c r="C34" s="47" t="s">
        <v>213</v>
      </c>
      <c r="D34" s="42">
        <v>6</v>
      </c>
      <c r="E34" s="42"/>
      <c r="F34" s="42"/>
    </row>
    <row r="35" spans="3:6" x14ac:dyDescent="0.3">
      <c r="C35" s="47" t="s">
        <v>214</v>
      </c>
      <c r="D35" s="42" t="s">
        <v>215</v>
      </c>
      <c r="E35" s="42"/>
      <c r="F35" s="42"/>
    </row>
    <row r="36" spans="3:6" x14ac:dyDescent="0.3">
      <c r="C36" s="47" t="s">
        <v>216</v>
      </c>
      <c r="D36" s="42" t="s">
        <v>217</v>
      </c>
      <c r="E36" s="42"/>
      <c r="F36" s="42"/>
    </row>
    <row r="37" spans="3:6" x14ac:dyDescent="0.3">
      <c r="C37" s="47" t="s">
        <v>218</v>
      </c>
      <c r="D37" s="42" t="s">
        <v>219</v>
      </c>
      <c r="E37" s="42"/>
      <c r="F37" s="42"/>
    </row>
    <row r="38" spans="3:6" x14ac:dyDescent="0.3">
      <c r="C38" s="47" t="s">
        <v>220</v>
      </c>
      <c r="D38" s="42">
        <v>3</v>
      </c>
      <c r="E38" s="42"/>
      <c r="F38" s="42"/>
    </row>
    <row r="39" spans="3:6" x14ac:dyDescent="0.3">
      <c r="C39" s="47" t="s">
        <v>221</v>
      </c>
      <c r="D39" s="42" t="s">
        <v>222</v>
      </c>
      <c r="E39" s="42"/>
      <c r="F39" s="42"/>
    </row>
    <row r="40" spans="3:6" x14ac:dyDescent="0.3">
      <c r="C40" s="47" t="s">
        <v>223</v>
      </c>
      <c r="D40" s="42">
        <v>7</v>
      </c>
      <c r="E40" s="42"/>
      <c r="F40" s="42"/>
    </row>
    <row r="41" spans="3:6" x14ac:dyDescent="0.3">
      <c r="C41" s="47" t="s">
        <v>224</v>
      </c>
      <c r="D41" s="42">
        <v>6</v>
      </c>
      <c r="E41" s="42" t="s">
        <v>201</v>
      </c>
      <c r="F41" s="42" t="s">
        <v>225</v>
      </c>
    </row>
    <row r="42" spans="3:6" x14ac:dyDescent="0.3">
      <c r="C42" s="47" t="s">
        <v>83</v>
      </c>
      <c r="D42" s="42" t="s">
        <v>226</v>
      </c>
      <c r="E42" s="42"/>
      <c r="F42" s="42"/>
    </row>
    <row r="44" spans="3:6" x14ac:dyDescent="0.3">
      <c r="C44" s="43" t="s">
        <v>2484</v>
      </c>
    </row>
  </sheetData>
  <hyperlinks>
    <hyperlink ref="C31" r:id="rId1" display="https://www.sparkfun.com/products/12009" xr:uid="{D804F47F-0385-48A2-9F7E-09641427A5F9}"/>
  </hyperlinks>
  <pageMargins left="0.7" right="0.7" top="0.75" bottom="0.75" header="0.3" footer="0.3"/>
  <tableParts count="2">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pageSetUpPr autoPageBreaks="0" fitToPage="1"/>
  </sheetPr>
  <dimension ref="A1:M39"/>
  <sheetViews>
    <sheetView showGridLines="0" topLeftCell="A3" zoomScale="85" zoomScaleNormal="85" workbookViewId="0">
      <selection activeCell="B26" sqref="B26"/>
    </sheetView>
  </sheetViews>
  <sheetFormatPr defaultRowHeight="30" customHeight="1" x14ac:dyDescent="0.3"/>
  <cols>
    <col min="1" max="1" width="8.109375" style="5" customWidth="1"/>
    <col min="2" max="2" width="9.109375" style="2" customWidth="1"/>
    <col min="3" max="3" width="10.5546875" style="2" customWidth="1"/>
    <col min="4" max="4" width="20.33203125" style="2" customWidth="1"/>
    <col min="5" max="5" width="34.44140625" style="2" customWidth="1"/>
    <col min="6" max="6" width="48.88671875" style="2" customWidth="1"/>
    <col min="7" max="7" width="15.5546875" style="2" customWidth="1"/>
    <col min="8" max="8" width="8.6640625" style="11" customWidth="1"/>
    <col min="9" max="9" width="8.88671875" style="2" customWidth="1"/>
    <col min="10" max="10" width="10.44140625" style="1" customWidth="1"/>
    <col min="11" max="11" width="1.109375" style="16" customWidth="1"/>
    <col min="12" max="12" width="14.33203125" bestFit="1" customWidth="1"/>
    <col min="13" max="13" width="43.33203125" customWidth="1"/>
  </cols>
  <sheetData>
    <row r="1" spans="1:13" ht="65.099999999999994" customHeight="1" thickBot="1" x14ac:dyDescent="0.35">
      <c r="A1" s="3"/>
      <c r="B1" s="180" t="s">
        <v>3</v>
      </c>
      <c r="C1" s="180"/>
      <c r="D1" s="180"/>
      <c r="E1" s="180"/>
      <c r="G1" s="4" t="s">
        <v>162</v>
      </c>
      <c r="H1" s="10"/>
      <c r="I1" s="3"/>
      <c r="J1" s="9"/>
      <c r="L1" s="17"/>
      <c r="M1" s="17"/>
    </row>
    <row r="2" spans="1:13" ht="30" customHeight="1" thickTop="1" thickBot="1" x14ac:dyDescent="0.35">
      <c r="A2" s="3"/>
      <c r="B2" s="190" t="s">
        <v>19</v>
      </c>
      <c r="C2" s="191"/>
      <c r="D2" s="31"/>
      <c r="E2" s="18">
        <f>SUM(Equipment[[#Totals],[Price]])</f>
        <v>64.650000000000006</v>
      </c>
      <c r="G2" s="190" t="s">
        <v>20</v>
      </c>
      <c r="H2" s="191"/>
      <c r="I2" s="192">
        <f ca="1">TODAY()</f>
        <v>43065</v>
      </c>
      <c r="J2" s="192"/>
      <c r="K2" s="192"/>
      <c r="L2" s="192"/>
    </row>
    <row r="3" spans="1:13" ht="81" customHeight="1" thickTop="1" x14ac:dyDescent="0.3">
      <c r="A3" s="3"/>
      <c r="B3" s="30" t="s">
        <v>2</v>
      </c>
      <c r="C3" s="3"/>
      <c r="D3" s="3"/>
      <c r="E3" s="3"/>
      <c r="F3" s="3"/>
      <c r="G3" s="3"/>
      <c r="H3" s="10"/>
      <c r="I3" s="3"/>
      <c r="J3" s="3"/>
    </row>
    <row r="4" spans="1:13" ht="69" customHeight="1" thickBot="1" x14ac:dyDescent="0.35">
      <c r="A4" s="3"/>
      <c r="B4" s="30"/>
      <c r="C4" s="3"/>
      <c r="D4" s="3"/>
      <c r="E4" s="3"/>
      <c r="F4" s="3"/>
      <c r="G4" s="3"/>
      <c r="H4" s="10"/>
      <c r="I4" s="3"/>
      <c r="J4" s="3"/>
    </row>
    <row r="5" spans="1:13" ht="6" customHeight="1" thickTop="1" x14ac:dyDescent="0.3">
      <c r="A5" s="3"/>
      <c r="B5" s="32"/>
      <c r="C5" s="36"/>
      <c r="D5" s="36"/>
      <c r="E5" s="36"/>
      <c r="F5" s="36"/>
      <c r="G5" s="36"/>
      <c r="H5" s="36"/>
      <c r="I5" s="36"/>
      <c r="J5" s="36"/>
      <c r="K5" s="36"/>
      <c r="L5" s="36"/>
      <c r="M5" s="36"/>
    </row>
    <row r="6" spans="1:13" ht="30" customHeight="1" x14ac:dyDescent="0.3">
      <c r="B6" s="33" t="s">
        <v>1</v>
      </c>
      <c r="C6" s="20" t="s">
        <v>7</v>
      </c>
      <c r="D6" s="20" t="s">
        <v>893</v>
      </c>
      <c r="E6" s="20" t="s">
        <v>23</v>
      </c>
      <c r="F6" s="20" t="s">
        <v>22</v>
      </c>
      <c r="G6" s="20" t="s">
        <v>161</v>
      </c>
      <c r="H6" s="21" t="s">
        <v>6</v>
      </c>
      <c r="I6" s="20" t="s">
        <v>4</v>
      </c>
      <c r="J6" s="20" t="s">
        <v>5</v>
      </c>
      <c r="K6" s="22" t="s">
        <v>160</v>
      </c>
      <c r="L6" s="20" t="s">
        <v>24</v>
      </c>
      <c r="M6" s="20" t="s">
        <v>21</v>
      </c>
    </row>
    <row r="7" spans="1:13" ht="49.95" hidden="1" customHeight="1" x14ac:dyDescent="0.3">
      <c r="B7" s="34">
        <f>ROW($A1)</f>
        <v>1</v>
      </c>
      <c r="C7" s="20" t="s">
        <v>8</v>
      </c>
      <c r="D7" s="20" t="s">
        <v>894</v>
      </c>
      <c r="E7" s="20" t="s">
        <v>10</v>
      </c>
      <c r="F7" s="12" t="s">
        <v>35</v>
      </c>
      <c r="G7" s="12" t="s">
        <v>32</v>
      </c>
      <c r="H7" s="12">
        <v>5</v>
      </c>
      <c r="I7" s="14">
        <v>45.95</v>
      </c>
      <c r="J7" s="23">
        <f>Equipment[[#This Row],[Unit
 Price]]*Equipment[[#This Row],[Units]]</f>
        <v>229.75</v>
      </c>
      <c r="K7" s="13" t="s">
        <v>34</v>
      </c>
      <c r="L7" s="20"/>
      <c r="M7" s="15" t="s">
        <v>33</v>
      </c>
    </row>
    <row r="8" spans="1:13" ht="49.95" hidden="1" customHeight="1" x14ac:dyDescent="0.3">
      <c r="B8" s="34">
        <f>ROW($A2)</f>
        <v>2</v>
      </c>
      <c r="C8" s="20" t="s">
        <v>8</v>
      </c>
      <c r="D8" s="20" t="s">
        <v>894</v>
      </c>
      <c r="E8" s="20" t="s">
        <v>900</v>
      </c>
      <c r="F8" s="12" t="s">
        <v>39</v>
      </c>
      <c r="G8" s="12" t="s">
        <v>36</v>
      </c>
      <c r="H8" s="12">
        <v>5</v>
      </c>
      <c r="I8" s="14">
        <v>29.95</v>
      </c>
      <c r="J8" s="23">
        <f>Equipment[[#This Row],[Unit
 Price]]*Equipment[[#This Row],[Units]]</f>
        <v>149.75</v>
      </c>
      <c r="K8" s="13" t="s">
        <v>38</v>
      </c>
      <c r="L8" s="20"/>
      <c r="M8" s="15" t="s">
        <v>37</v>
      </c>
    </row>
    <row r="9" spans="1:13" ht="49.95" hidden="1" customHeight="1" x14ac:dyDescent="0.3">
      <c r="A9"/>
      <c r="B9" s="34">
        <f>ROW($A3)</f>
        <v>3</v>
      </c>
      <c r="C9" s="20" t="s">
        <v>8</v>
      </c>
      <c r="D9" s="20" t="s">
        <v>894</v>
      </c>
      <c r="E9" s="20" t="s">
        <v>900</v>
      </c>
      <c r="F9" s="12" t="s">
        <v>43</v>
      </c>
      <c r="G9" s="12" t="s">
        <v>40</v>
      </c>
      <c r="H9" s="12">
        <v>5</v>
      </c>
      <c r="I9" s="14">
        <v>14.95</v>
      </c>
      <c r="J9" s="23">
        <f>Equipment[[#This Row],[Unit
 Price]]*Equipment[[#This Row],[Units]]</f>
        <v>74.75</v>
      </c>
      <c r="K9" s="13" t="s">
        <v>42</v>
      </c>
      <c r="L9" s="20"/>
      <c r="M9" s="15" t="s">
        <v>41</v>
      </c>
    </row>
    <row r="10" spans="1:13" ht="49.95" hidden="1" customHeight="1" x14ac:dyDescent="0.3">
      <c r="B10" s="34">
        <f>ROW($A5)</f>
        <v>5</v>
      </c>
      <c r="C10" s="20" t="s">
        <v>8</v>
      </c>
      <c r="D10" s="20" t="s">
        <v>894</v>
      </c>
      <c r="E10" s="20" t="s">
        <v>900</v>
      </c>
      <c r="F10" s="12" t="s">
        <v>47</v>
      </c>
      <c r="G10" s="12" t="s">
        <v>44</v>
      </c>
      <c r="H10" s="12">
        <v>5</v>
      </c>
      <c r="I10" s="14">
        <v>9.9499999999999993</v>
      </c>
      <c r="J10" s="23">
        <f>Equipment[[#This Row],[Unit
 Price]]*Equipment[[#This Row],[Units]]</f>
        <v>49.75</v>
      </c>
      <c r="K10" s="13" t="s">
        <v>46</v>
      </c>
      <c r="L10" s="20"/>
      <c r="M10" s="15" t="s">
        <v>45</v>
      </c>
    </row>
    <row r="11" spans="1:13" ht="49.95" hidden="1" customHeight="1" x14ac:dyDescent="0.3">
      <c r="B11" s="34">
        <f t="shared" ref="B11:B38" si="0">ROW($A6)</f>
        <v>6</v>
      </c>
      <c r="C11" s="20" t="s">
        <v>8</v>
      </c>
      <c r="D11" s="20" t="s">
        <v>894</v>
      </c>
      <c r="E11" s="20" t="s">
        <v>900</v>
      </c>
      <c r="F11" s="12" t="s">
        <v>51</v>
      </c>
      <c r="G11" s="12" t="s">
        <v>48</v>
      </c>
      <c r="H11" s="12">
        <v>1</v>
      </c>
      <c r="I11" s="14">
        <v>19.95</v>
      </c>
      <c r="J11" s="23">
        <f>Equipment[[#This Row],[Unit
 Price]]*Equipment[[#This Row],[Units]]</f>
        <v>19.95</v>
      </c>
      <c r="K11" s="13" t="s">
        <v>50</v>
      </c>
      <c r="L11" s="20"/>
      <c r="M11" s="15" t="s">
        <v>49</v>
      </c>
    </row>
    <row r="12" spans="1:13" ht="49.95" hidden="1" customHeight="1" x14ac:dyDescent="0.3">
      <c r="B12" s="34">
        <f t="shared" si="0"/>
        <v>7</v>
      </c>
      <c r="C12" s="20" t="s">
        <v>8</v>
      </c>
      <c r="D12" s="20" t="s">
        <v>894</v>
      </c>
      <c r="E12" s="20" t="s">
        <v>900</v>
      </c>
      <c r="F12" s="12" t="s">
        <v>55</v>
      </c>
      <c r="G12" s="12" t="s">
        <v>52</v>
      </c>
      <c r="H12" s="12">
        <v>10</v>
      </c>
      <c r="I12" s="14">
        <v>29.95</v>
      </c>
      <c r="J12" s="23">
        <f>Equipment[[#This Row],[Unit
 Price]]*Equipment[[#This Row],[Units]]</f>
        <v>299.5</v>
      </c>
      <c r="K12" s="13" t="s">
        <v>54</v>
      </c>
      <c r="L12" s="20"/>
      <c r="M12" s="15" t="s">
        <v>53</v>
      </c>
    </row>
    <row r="13" spans="1:13" ht="49.95" hidden="1" customHeight="1" x14ac:dyDescent="0.3">
      <c r="B13" s="34">
        <f t="shared" si="0"/>
        <v>8</v>
      </c>
      <c r="C13" s="20" t="s">
        <v>8</v>
      </c>
      <c r="D13" s="20" t="s">
        <v>894</v>
      </c>
      <c r="E13" s="20" t="s">
        <v>12</v>
      </c>
      <c r="F13" s="12" t="s">
        <v>59</v>
      </c>
      <c r="G13" s="12" t="s">
        <v>56</v>
      </c>
      <c r="H13" s="12">
        <v>5</v>
      </c>
      <c r="I13" s="14">
        <v>9.9499999999999993</v>
      </c>
      <c r="J13" s="24">
        <f>Equipment[[#This Row],[Unit
 Price]]*Equipment[[#This Row],[Units]]</f>
        <v>49.75</v>
      </c>
      <c r="K13" s="13" t="s">
        <v>58</v>
      </c>
      <c r="L13" s="20"/>
      <c r="M13" s="15" t="s">
        <v>57</v>
      </c>
    </row>
    <row r="14" spans="1:13" ht="49.95" hidden="1" customHeight="1" x14ac:dyDescent="0.3">
      <c r="B14" s="34">
        <f t="shared" si="0"/>
        <v>9</v>
      </c>
      <c r="C14" s="20" t="s">
        <v>8</v>
      </c>
      <c r="D14" s="20" t="s">
        <v>894</v>
      </c>
      <c r="E14" s="20" t="s">
        <v>12</v>
      </c>
      <c r="F14" s="12" t="s">
        <v>63</v>
      </c>
      <c r="G14" s="12" t="s">
        <v>60</v>
      </c>
      <c r="H14" s="12">
        <v>5</v>
      </c>
      <c r="I14" s="14">
        <v>24.95</v>
      </c>
      <c r="J14" s="24">
        <f>Equipment[[#This Row],[Unit
 Price]]*Equipment[[#This Row],[Units]]</f>
        <v>124.75</v>
      </c>
      <c r="K14" s="13" t="s">
        <v>62</v>
      </c>
      <c r="L14" s="20"/>
      <c r="M14" s="15" t="s">
        <v>61</v>
      </c>
    </row>
    <row r="15" spans="1:13" ht="49.95" hidden="1" customHeight="1" x14ac:dyDescent="0.3">
      <c r="B15" s="34">
        <f t="shared" si="0"/>
        <v>10</v>
      </c>
      <c r="C15" s="20" t="s">
        <v>8</v>
      </c>
      <c r="D15" s="20" t="s">
        <v>894</v>
      </c>
      <c r="E15" s="20" t="s">
        <v>12</v>
      </c>
      <c r="F15" s="12" t="s">
        <v>67</v>
      </c>
      <c r="G15" s="12" t="s">
        <v>64</v>
      </c>
      <c r="H15" s="12">
        <v>5</v>
      </c>
      <c r="I15" s="14">
        <v>10.95</v>
      </c>
      <c r="J15" s="24">
        <f>Equipment[[#This Row],[Unit
 Price]]*Equipment[[#This Row],[Units]]</f>
        <v>54.75</v>
      </c>
      <c r="K15" s="13" t="s">
        <v>66</v>
      </c>
      <c r="L15" s="20"/>
      <c r="M15" s="15" t="s">
        <v>65</v>
      </c>
    </row>
    <row r="16" spans="1:13" ht="49.95" hidden="1" customHeight="1" x14ac:dyDescent="0.3">
      <c r="B16" s="34">
        <f t="shared" si="0"/>
        <v>11</v>
      </c>
      <c r="C16" s="20" t="s">
        <v>8</v>
      </c>
      <c r="D16" s="20" t="s">
        <v>894</v>
      </c>
      <c r="E16" s="20" t="s">
        <v>12</v>
      </c>
      <c r="F16" s="12" t="s">
        <v>71</v>
      </c>
      <c r="G16" s="12" t="s">
        <v>68</v>
      </c>
      <c r="H16" s="12">
        <v>10</v>
      </c>
      <c r="I16" s="14">
        <v>24.95</v>
      </c>
      <c r="J16" s="24">
        <f>Equipment[[#This Row],[Unit
 Price]]*Equipment[[#This Row],[Units]]</f>
        <v>249.5</v>
      </c>
      <c r="K16" s="13" t="s">
        <v>70</v>
      </c>
      <c r="L16" s="20"/>
      <c r="M16" s="15" t="s">
        <v>69</v>
      </c>
    </row>
    <row r="17" spans="2:13" ht="49.95" hidden="1" customHeight="1" x14ac:dyDescent="0.3">
      <c r="B17" s="34">
        <f t="shared" si="0"/>
        <v>12</v>
      </c>
      <c r="C17" s="20" t="s">
        <v>8</v>
      </c>
      <c r="D17" s="20" t="s">
        <v>894</v>
      </c>
      <c r="E17" s="20" t="s">
        <v>14</v>
      </c>
      <c r="F17" s="12" t="s">
        <v>75</v>
      </c>
      <c r="G17" s="12" t="s">
        <v>72</v>
      </c>
      <c r="H17" s="12">
        <v>5</v>
      </c>
      <c r="I17" s="14">
        <v>0.95</v>
      </c>
      <c r="J17" s="24">
        <f>Equipment[[#This Row],[Unit
 Price]]*Equipment[[#This Row],[Units]]</f>
        <v>4.75</v>
      </c>
      <c r="K17" s="13" t="s">
        <v>74</v>
      </c>
      <c r="L17" s="20"/>
      <c r="M17" s="15" t="s">
        <v>73</v>
      </c>
    </row>
    <row r="18" spans="2:13" ht="49.95" hidden="1" customHeight="1" x14ac:dyDescent="0.3">
      <c r="B18" s="34">
        <f t="shared" si="0"/>
        <v>13</v>
      </c>
      <c r="C18" s="20" t="s">
        <v>8</v>
      </c>
      <c r="D18" s="20" t="s">
        <v>894</v>
      </c>
      <c r="E18" s="20" t="s">
        <v>14</v>
      </c>
      <c r="F18" s="12" t="s">
        <v>79</v>
      </c>
      <c r="G18" s="12" t="s">
        <v>76</v>
      </c>
      <c r="H18" s="12">
        <v>20</v>
      </c>
      <c r="I18" s="14">
        <v>1.95</v>
      </c>
      <c r="J18" s="24">
        <f>Equipment[[#This Row],[Unit
 Price]]*Equipment[[#This Row],[Units]]</f>
        <v>39</v>
      </c>
      <c r="K18" s="13" t="s">
        <v>78</v>
      </c>
      <c r="L18" s="20"/>
      <c r="M18" s="15" t="s">
        <v>77</v>
      </c>
    </row>
    <row r="19" spans="2:13" ht="49.95" hidden="1" customHeight="1" x14ac:dyDescent="0.3">
      <c r="B19" s="34">
        <f t="shared" si="0"/>
        <v>14</v>
      </c>
      <c r="C19" s="20" t="s">
        <v>8</v>
      </c>
      <c r="D19" s="20" t="s">
        <v>894</v>
      </c>
      <c r="E19" s="20" t="s">
        <v>14</v>
      </c>
      <c r="F19" s="12" t="s">
        <v>83</v>
      </c>
      <c r="G19" s="12" t="s">
        <v>80</v>
      </c>
      <c r="H19" s="12">
        <v>5</v>
      </c>
      <c r="I19" s="14">
        <v>14.95</v>
      </c>
      <c r="J19" s="24">
        <f>Equipment[[#This Row],[Unit
 Price]]*Equipment[[#This Row],[Units]]</f>
        <v>74.75</v>
      </c>
      <c r="K19" s="13" t="s">
        <v>82</v>
      </c>
      <c r="L19" s="20"/>
      <c r="M19" s="15" t="s">
        <v>81</v>
      </c>
    </row>
    <row r="20" spans="2:13" ht="49.95" hidden="1" customHeight="1" x14ac:dyDescent="0.3">
      <c r="B20" s="34">
        <f t="shared" si="0"/>
        <v>15</v>
      </c>
      <c r="C20" s="20" t="s">
        <v>8</v>
      </c>
      <c r="D20" s="20" t="s">
        <v>894</v>
      </c>
      <c r="E20" s="20" t="s">
        <v>14</v>
      </c>
      <c r="F20" s="12" t="s">
        <v>87</v>
      </c>
      <c r="G20" s="12" t="s">
        <v>84</v>
      </c>
      <c r="H20" s="12">
        <v>10</v>
      </c>
      <c r="I20" s="14">
        <v>3.95</v>
      </c>
      <c r="J20" s="24">
        <f>Equipment[[#This Row],[Unit
 Price]]*Equipment[[#This Row],[Units]]</f>
        <v>39.5</v>
      </c>
      <c r="K20" s="13" t="s">
        <v>86</v>
      </c>
      <c r="L20" s="20"/>
      <c r="M20" s="15" t="s">
        <v>85</v>
      </c>
    </row>
    <row r="21" spans="2:13" ht="49.95" hidden="1" customHeight="1" x14ac:dyDescent="0.3">
      <c r="B21" s="34">
        <f t="shared" si="0"/>
        <v>16</v>
      </c>
      <c r="C21" s="20" t="s">
        <v>8</v>
      </c>
      <c r="D21" s="20" t="s">
        <v>894</v>
      </c>
      <c r="E21" s="20" t="s">
        <v>14</v>
      </c>
      <c r="F21" s="12" t="s">
        <v>91</v>
      </c>
      <c r="G21" s="12" t="s">
        <v>88</v>
      </c>
      <c r="H21" s="12">
        <v>5</v>
      </c>
      <c r="I21" s="14">
        <v>24.95</v>
      </c>
      <c r="J21" s="24">
        <f>Equipment[[#This Row],[Unit
 Price]]*Equipment[[#This Row],[Units]]</f>
        <v>124.75</v>
      </c>
      <c r="K21" s="13" t="s">
        <v>90</v>
      </c>
      <c r="L21" s="20"/>
      <c r="M21" s="15" t="s">
        <v>89</v>
      </c>
    </row>
    <row r="22" spans="2:13" ht="49.95" hidden="1" customHeight="1" x14ac:dyDescent="0.3">
      <c r="B22" s="34">
        <f t="shared" si="0"/>
        <v>17</v>
      </c>
      <c r="C22" s="20" t="s">
        <v>8</v>
      </c>
      <c r="D22" s="20" t="s">
        <v>894</v>
      </c>
      <c r="E22" s="20" t="s">
        <v>14</v>
      </c>
      <c r="F22" s="12" t="s">
        <v>95</v>
      </c>
      <c r="G22" s="12" t="s">
        <v>92</v>
      </c>
      <c r="H22" s="12">
        <v>10</v>
      </c>
      <c r="I22" s="14">
        <v>23.7</v>
      </c>
      <c r="J22" s="24">
        <f>Equipment[[#This Row],[Unit
 Price]]*Equipment[[#This Row],[Units]]</f>
        <v>237</v>
      </c>
      <c r="K22" s="13" t="s">
        <v>94</v>
      </c>
      <c r="L22" s="20"/>
      <c r="M22" s="15" t="s">
        <v>93</v>
      </c>
    </row>
    <row r="23" spans="2:13" ht="49.95" hidden="1" customHeight="1" x14ac:dyDescent="0.3">
      <c r="B23" s="34">
        <f t="shared" si="0"/>
        <v>18</v>
      </c>
      <c r="C23" s="20" t="s">
        <v>8</v>
      </c>
      <c r="D23" s="20" t="s">
        <v>894</v>
      </c>
      <c r="E23" s="20" t="s">
        <v>14</v>
      </c>
      <c r="F23" s="12" t="s">
        <v>99</v>
      </c>
      <c r="G23" s="12" t="s">
        <v>96</v>
      </c>
      <c r="H23" s="12">
        <v>5</v>
      </c>
      <c r="I23" s="14">
        <v>14.95</v>
      </c>
      <c r="J23" s="24">
        <f>Equipment[[#This Row],[Unit
 Price]]*Equipment[[#This Row],[Units]]</f>
        <v>74.75</v>
      </c>
      <c r="K23" s="13" t="s">
        <v>98</v>
      </c>
      <c r="L23" s="20"/>
      <c r="M23" s="15" t="s">
        <v>97</v>
      </c>
    </row>
    <row r="24" spans="2:13" ht="49.95" hidden="1" customHeight="1" x14ac:dyDescent="0.3">
      <c r="B24" s="34">
        <f t="shared" si="0"/>
        <v>19</v>
      </c>
      <c r="C24" s="20" t="s">
        <v>8</v>
      </c>
      <c r="D24" s="20" t="s">
        <v>894</v>
      </c>
      <c r="E24" s="20" t="s">
        <v>14</v>
      </c>
      <c r="F24" s="12" t="s">
        <v>103</v>
      </c>
      <c r="G24" s="12" t="s">
        <v>100</v>
      </c>
      <c r="H24" s="12">
        <v>3</v>
      </c>
      <c r="I24" s="14">
        <v>19.95</v>
      </c>
      <c r="J24" s="24">
        <f>Equipment[[#This Row],[Unit
 Price]]*Equipment[[#This Row],[Units]]</f>
        <v>59.849999999999994</v>
      </c>
      <c r="K24" s="13" t="s">
        <v>102</v>
      </c>
      <c r="L24" s="20"/>
      <c r="M24" s="15" t="s">
        <v>101</v>
      </c>
    </row>
    <row r="25" spans="2:13" ht="49.95" hidden="1" customHeight="1" x14ac:dyDescent="0.3">
      <c r="B25" s="34">
        <f t="shared" si="0"/>
        <v>20</v>
      </c>
      <c r="C25" s="20" t="s">
        <v>8</v>
      </c>
      <c r="D25" s="20" t="s">
        <v>894</v>
      </c>
      <c r="E25" s="20" t="s">
        <v>14</v>
      </c>
      <c r="F25" s="12" t="s">
        <v>107</v>
      </c>
      <c r="G25" s="12" t="s">
        <v>104</v>
      </c>
      <c r="H25" s="12">
        <v>15</v>
      </c>
      <c r="I25" s="14">
        <v>13.95</v>
      </c>
      <c r="J25" s="24">
        <f>Equipment[[#This Row],[Unit
 Price]]*Equipment[[#This Row],[Units]]</f>
        <v>209.25</v>
      </c>
      <c r="K25" s="13" t="s">
        <v>106</v>
      </c>
      <c r="L25" s="20"/>
      <c r="M25" s="15" t="s">
        <v>105</v>
      </c>
    </row>
    <row r="26" spans="2:13" ht="49.95" customHeight="1" x14ac:dyDescent="0.3">
      <c r="B26" s="34">
        <f t="shared" si="0"/>
        <v>21</v>
      </c>
      <c r="C26" s="20" t="s">
        <v>8</v>
      </c>
      <c r="D26" s="20" t="s">
        <v>894</v>
      </c>
      <c r="E26" s="20" t="s">
        <v>15</v>
      </c>
      <c r="F26" s="12" t="s">
        <v>111</v>
      </c>
      <c r="G26" s="12" t="s">
        <v>108</v>
      </c>
      <c r="H26" s="12">
        <v>5</v>
      </c>
      <c r="I26" s="14">
        <v>2.95</v>
      </c>
      <c r="J26" s="24">
        <f>Equipment[[#This Row],[Unit
 Price]]*Equipment[[#This Row],[Units]]</f>
        <v>14.75</v>
      </c>
      <c r="K26" s="13" t="s">
        <v>110</v>
      </c>
      <c r="L26" s="20"/>
      <c r="M26" s="15" t="s">
        <v>109</v>
      </c>
    </row>
    <row r="27" spans="2:13" ht="49.95" customHeight="1" x14ac:dyDescent="0.3">
      <c r="B27" s="34">
        <f t="shared" si="0"/>
        <v>22</v>
      </c>
      <c r="C27" s="20" t="s">
        <v>8</v>
      </c>
      <c r="D27" s="20" t="s">
        <v>894</v>
      </c>
      <c r="E27" s="20" t="s">
        <v>15</v>
      </c>
      <c r="F27" s="12" t="s">
        <v>115</v>
      </c>
      <c r="G27" s="12" t="s">
        <v>112</v>
      </c>
      <c r="H27" s="12">
        <v>2</v>
      </c>
      <c r="I27" s="14">
        <v>24.95</v>
      </c>
      <c r="J27" s="24">
        <f>Equipment[[#This Row],[Unit
 Price]]*Equipment[[#This Row],[Units]]</f>
        <v>49.9</v>
      </c>
      <c r="K27" s="13" t="s">
        <v>114</v>
      </c>
      <c r="L27" s="20"/>
      <c r="M27" s="15" t="s">
        <v>113</v>
      </c>
    </row>
    <row r="28" spans="2:13" ht="49.95" hidden="1" customHeight="1" x14ac:dyDescent="0.3">
      <c r="B28" s="34">
        <f t="shared" si="0"/>
        <v>23</v>
      </c>
      <c r="C28" s="20" t="s">
        <v>8</v>
      </c>
      <c r="D28" s="20" t="s">
        <v>894</v>
      </c>
      <c r="E28" s="20" t="s">
        <v>887</v>
      </c>
      <c r="F28" s="12" t="s">
        <v>119</v>
      </c>
      <c r="G28" s="12" t="s">
        <v>116</v>
      </c>
      <c r="H28" s="12">
        <v>5</v>
      </c>
      <c r="I28" s="14">
        <v>12.95</v>
      </c>
      <c r="J28" s="24">
        <f>Equipment[[#This Row],[Unit
 Price]]*Equipment[[#This Row],[Units]]</f>
        <v>64.75</v>
      </c>
      <c r="K28" s="13" t="s">
        <v>118</v>
      </c>
      <c r="L28" s="20"/>
      <c r="M28" s="15" t="s">
        <v>117</v>
      </c>
    </row>
    <row r="29" spans="2:13" ht="49.95" hidden="1" customHeight="1" x14ac:dyDescent="0.3">
      <c r="B29" s="34">
        <f t="shared" si="0"/>
        <v>24</v>
      </c>
      <c r="C29" s="20" t="s">
        <v>8</v>
      </c>
      <c r="D29" s="20" t="s">
        <v>894</v>
      </c>
      <c r="E29" s="20" t="s">
        <v>887</v>
      </c>
      <c r="F29" s="12" t="s">
        <v>123</v>
      </c>
      <c r="G29" s="12" t="s">
        <v>120</v>
      </c>
      <c r="H29" s="12">
        <v>5</v>
      </c>
      <c r="I29" s="14">
        <v>5.95</v>
      </c>
      <c r="J29" s="24">
        <f>Equipment[[#This Row],[Unit
 Price]]*Equipment[[#This Row],[Units]]</f>
        <v>29.75</v>
      </c>
      <c r="K29" s="13" t="s">
        <v>122</v>
      </c>
      <c r="L29" s="20"/>
      <c r="M29" s="15" t="s">
        <v>121</v>
      </c>
    </row>
    <row r="30" spans="2:13" ht="49.95" hidden="1" customHeight="1" x14ac:dyDescent="0.3">
      <c r="B30" s="34">
        <f t="shared" si="0"/>
        <v>25</v>
      </c>
      <c r="C30" s="20" t="s">
        <v>8</v>
      </c>
      <c r="D30" s="20" t="s">
        <v>894</v>
      </c>
      <c r="E30" s="20" t="s">
        <v>887</v>
      </c>
      <c r="F30" s="12" t="s">
        <v>127</v>
      </c>
      <c r="G30" s="12" t="s">
        <v>124</v>
      </c>
      <c r="H30" s="12">
        <v>3</v>
      </c>
      <c r="I30" s="14">
        <v>4.95</v>
      </c>
      <c r="J30" s="24">
        <f>Equipment[[#This Row],[Unit
 Price]]*Equipment[[#This Row],[Units]]</f>
        <v>14.850000000000001</v>
      </c>
      <c r="K30" s="13" t="s">
        <v>126</v>
      </c>
      <c r="L30" s="20"/>
      <c r="M30" s="15" t="s">
        <v>125</v>
      </c>
    </row>
    <row r="31" spans="2:13" ht="49.95" hidden="1" customHeight="1" x14ac:dyDescent="0.3">
      <c r="B31" s="34">
        <f t="shared" si="0"/>
        <v>26</v>
      </c>
      <c r="C31" s="20" t="s">
        <v>8</v>
      </c>
      <c r="D31" s="20" t="s">
        <v>894</v>
      </c>
      <c r="E31" s="20" t="s">
        <v>887</v>
      </c>
      <c r="F31" s="12" t="s">
        <v>131</v>
      </c>
      <c r="G31" s="12" t="s">
        <v>128</v>
      </c>
      <c r="H31" s="12">
        <v>1</v>
      </c>
      <c r="I31" s="14">
        <v>14.95</v>
      </c>
      <c r="J31" s="24">
        <f>Equipment[[#This Row],[Unit
 Price]]*Equipment[[#This Row],[Units]]</f>
        <v>14.95</v>
      </c>
      <c r="K31" s="13" t="s">
        <v>130</v>
      </c>
      <c r="L31" s="20"/>
      <c r="M31" s="15" t="s">
        <v>129</v>
      </c>
    </row>
    <row r="32" spans="2:13" ht="49.95" hidden="1" customHeight="1" x14ac:dyDescent="0.3">
      <c r="B32" s="34">
        <f t="shared" si="0"/>
        <v>27</v>
      </c>
      <c r="C32" s="20" t="s">
        <v>8</v>
      </c>
      <c r="D32" s="20" t="s">
        <v>894</v>
      </c>
      <c r="E32" s="20" t="s">
        <v>887</v>
      </c>
      <c r="F32" s="12" t="s">
        <v>135</v>
      </c>
      <c r="G32" s="12" t="s">
        <v>132</v>
      </c>
      <c r="H32" s="12">
        <v>1</v>
      </c>
      <c r="I32" s="14">
        <v>0.1</v>
      </c>
      <c r="J32" s="24">
        <f>Equipment[[#This Row],[Unit
 Price]]*Equipment[[#This Row],[Units]]</f>
        <v>0.1</v>
      </c>
      <c r="K32" s="13" t="s">
        <v>134</v>
      </c>
      <c r="L32" s="20"/>
      <c r="M32" s="15" t="s">
        <v>133</v>
      </c>
    </row>
    <row r="33" spans="2:13" ht="49.95" hidden="1" customHeight="1" x14ac:dyDescent="0.3">
      <c r="B33" s="34">
        <f t="shared" si="0"/>
        <v>28</v>
      </c>
      <c r="C33" s="20" t="s">
        <v>8</v>
      </c>
      <c r="D33" s="20" t="s">
        <v>894</v>
      </c>
      <c r="E33" s="20" t="s">
        <v>888</v>
      </c>
      <c r="F33" s="12" t="s">
        <v>139</v>
      </c>
      <c r="G33" s="12" t="s">
        <v>136</v>
      </c>
      <c r="H33" s="12">
        <v>1</v>
      </c>
      <c r="I33" s="14">
        <v>49.95</v>
      </c>
      <c r="J33" s="24">
        <f>Equipment[[#This Row],[Unit
 Price]]*Equipment[[#This Row],[Units]]</f>
        <v>49.95</v>
      </c>
      <c r="K33" s="13" t="s">
        <v>138</v>
      </c>
      <c r="L33" s="20"/>
      <c r="M33" s="15" t="s">
        <v>137</v>
      </c>
    </row>
    <row r="34" spans="2:13" ht="49.95" hidden="1" customHeight="1" x14ac:dyDescent="0.3">
      <c r="B34" s="34">
        <f t="shared" si="0"/>
        <v>29</v>
      </c>
      <c r="C34" s="20" t="s">
        <v>8</v>
      </c>
      <c r="D34" s="20" t="s">
        <v>894</v>
      </c>
      <c r="E34" s="20" t="s">
        <v>888</v>
      </c>
      <c r="F34" s="12" t="s">
        <v>143</v>
      </c>
      <c r="G34" s="12" t="s">
        <v>140</v>
      </c>
      <c r="H34" s="12">
        <v>1</v>
      </c>
      <c r="I34" s="14">
        <v>59.95</v>
      </c>
      <c r="J34" s="24">
        <f>Equipment[[#This Row],[Unit
 Price]]*Equipment[[#This Row],[Units]]</f>
        <v>59.95</v>
      </c>
      <c r="K34" s="13" t="s">
        <v>142</v>
      </c>
      <c r="L34" s="20"/>
      <c r="M34" s="15" t="s">
        <v>141</v>
      </c>
    </row>
    <row r="35" spans="2:13" ht="49.95" hidden="1" customHeight="1" x14ac:dyDescent="0.3">
      <c r="B35" s="34">
        <f t="shared" si="0"/>
        <v>30</v>
      </c>
      <c r="C35" s="20" t="s">
        <v>8</v>
      </c>
      <c r="D35" s="20" t="s">
        <v>894</v>
      </c>
      <c r="E35" s="20" t="s">
        <v>888</v>
      </c>
      <c r="F35" s="12" t="s">
        <v>147</v>
      </c>
      <c r="G35" s="12" t="s">
        <v>144</v>
      </c>
      <c r="H35" s="12">
        <v>1</v>
      </c>
      <c r="I35" s="14">
        <v>10.95</v>
      </c>
      <c r="J35" s="24">
        <f>Equipment[[#This Row],[Unit
 Price]]*Equipment[[#This Row],[Units]]</f>
        <v>10.95</v>
      </c>
      <c r="K35" s="13" t="s">
        <v>146</v>
      </c>
      <c r="L35" s="20"/>
      <c r="M35" s="15" t="s">
        <v>145</v>
      </c>
    </row>
    <row r="36" spans="2:13" ht="49.95" hidden="1" customHeight="1" x14ac:dyDescent="0.3">
      <c r="B36" s="34">
        <f t="shared" si="0"/>
        <v>31</v>
      </c>
      <c r="C36" s="20" t="s">
        <v>8</v>
      </c>
      <c r="D36" s="20" t="s">
        <v>894</v>
      </c>
      <c r="E36" s="20" t="s">
        <v>888</v>
      </c>
      <c r="F36" s="12" t="s">
        <v>151</v>
      </c>
      <c r="G36" s="12" t="s">
        <v>148</v>
      </c>
      <c r="H36" s="12">
        <v>1</v>
      </c>
      <c r="I36" s="14">
        <v>4.95</v>
      </c>
      <c r="J36" s="24">
        <f>Equipment[[#This Row],[Unit
 Price]]*Equipment[[#This Row],[Units]]</f>
        <v>4.95</v>
      </c>
      <c r="K36" s="13" t="s">
        <v>150</v>
      </c>
      <c r="L36" s="20"/>
      <c r="M36" s="15" t="s">
        <v>149</v>
      </c>
    </row>
    <row r="37" spans="2:13" ht="49.95" hidden="1" customHeight="1" x14ac:dyDescent="0.3">
      <c r="B37" s="34">
        <f t="shared" si="0"/>
        <v>32</v>
      </c>
      <c r="C37" s="20" t="s">
        <v>8</v>
      </c>
      <c r="D37" s="20" t="s">
        <v>894</v>
      </c>
      <c r="E37" s="20" t="s">
        <v>888</v>
      </c>
      <c r="F37" s="12" t="s">
        <v>155</v>
      </c>
      <c r="G37" s="12" t="s">
        <v>152</v>
      </c>
      <c r="H37" s="12">
        <v>2</v>
      </c>
      <c r="I37" s="14">
        <v>1.95</v>
      </c>
      <c r="J37" s="24">
        <f>Equipment[[#This Row],[Unit
 Price]]*Equipment[[#This Row],[Units]]</f>
        <v>3.9</v>
      </c>
      <c r="K37" s="13" t="s">
        <v>154</v>
      </c>
      <c r="L37" s="20"/>
      <c r="M37" s="15" t="s">
        <v>153</v>
      </c>
    </row>
    <row r="38" spans="2:13" ht="49.95" hidden="1" customHeight="1" x14ac:dyDescent="0.3">
      <c r="B38" s="34">
        <f t="shared" si="0"/>
        <v>33</v>
      </c>
      <c r="C38" s="20" t="s">
        <v>8</v>
      </c>
      <c r="D38" s="20" t="s">
        <v>895</v>
      </c>
      <c r="E38" s="20" t="s">
        <v>888</v>
      </c>
      <c r="F38" s="12" t="s">
        <v>159</v>
      </c>
      <c r="G38" s="12" t="s">
        <v>156</v>
      </c>
      <c r="H38" s="12">
        <v>1</v>
      </c>
      <c r="I38" s="14">
        <v>0.75</v>
      </c>
      <c r="J38" s="24">
        <f>Equipment[[#This Row],[Unit
 Price]]*Equipment[[#This Row],[Units]]</f>
        <v>0.75</v>
      </c>
      <c r="K38" s="13" t="s">
        <v>158</v>
      </c>
      <c r="L38" s="20"/>
      <c r="M38" s="15" t="s">
        <v>157</v>
      </c>
    </row>
    <row r="39" spans="2:13" ht="30" customHeight="1" x14ac:dyDescent="0.3">
      <c r="B39" s="35" t="s">
        <v>0</v>
      </c>
      <c r="C39" s="25" t="str">
        <f>"PO ITEMS: "&amp;SUBTOTAL(103,Equipment[Equipment Category])</f>
        <v>PO ITEMS: 2</v>
      </c>
      <c r="D39" s="25"/>
      <c r="E39" s="25"/>
      <c r="F39" s="25"/>
      <c r="G39" s="25"/>
      <c r="H39" s="26"/>
      <c r="I39" s="27"/>
      <c r="J39" s="27">
        <f>SUBTOTAL(109,Equipment[Price])</f>
        <v>64.650000000000006</v>
      </c>
      <c r="K39" s="28"/>
      <c r="L39" s="25"/>
      <c r="M39" s="29"/>
    </row>
  </sheetData>
  <dataConsolidate/>
  <mergeCells count="4">
    <mergeCell ref="B2:C2"/>
    <mergeCell ref="G2:H2"/>
    <mergeCell ref="I2:L2"/>
    <mergeCell ref="B1:E1"/>
  </mergeCells>
  <phoneticPr fontId="1" type="noConversion"/>
  <conditionalFormatting sqref="J7:J38">
    <cfRule type="dataBar" priority="2">
      <dataBar>
        <cfvo type="min"/>
        <cfvo type="max"/>
        <color theme="5"/>
      </dataBar>
      <extLst>
        <ext xmlns:x14="http://schemas.microsoft.com/office/spreadsheetml/2009/9/main" uri="{B025F937-C7B1-47D3-B67F-A62EFF666E3E}">
          <x14:id>{DD2554B5-7481-4F06-9B0C-4C198BA00901}</x14:id>
        </ext>
      </extLst>
    </cfRule>
  </conditionalFormatting>
  <dataValidations xWindow="158" yWindow="529" count="22">
    <dataValidation allowBlank="1" showInputMessage="1" showErrorMessage="1" prompt="Title of this worksheet is in cells B1 through D1" sqref="B1" xr:uid="{00000000-0002-0000-0000-000000000000}"/>
    <dataValidation allowBlank="1" showInputMessage="1" showErrorMessage="1" prompt="Total Estimated Value of All Items is automatically calculated in cell at right. Enter Inventory Date in cell I2" sqref="B2" xr:uid="{00000000-0002-0000-0000-000001000000}"/>
    <dataValidation allowBlank="1" showInputMessage="1" showErrorMessage="1" prompt="Total Estimated Value of All Items is automatically calculated in this cell. Enter Inventory Date in cell I2" sqref="E2" xr:uid="{00000000-0002-0000-0000-000002000000}"/>
    <dataValidation allowBlank="1" showInputMessage="1" showErrorMessage="1" prompt="Enter Inventory Date in this cell" sqref="I2" xr:uid="{00000000-0002-0000-0000-000004000000}"/>
    <dataValidation allowBlank="1" showInputMessage="1" showErrorMessage="1" prompt="Create a Home inventory in this workbook. Enter owner, insurance, and inventory details in this worksheet. Total estimated value of all inventory items is automatically calculated" sqref="A1" xr:uid="{00000000-0002-0000-0000-00000F000000}"/>
    <dataValidation allowBlank="1" showInputMessage="1" showErrorMessage="1" prompt="Enter Item number in this column under this heading. Use heading filters to find specific entries" sqref="B6" xr:uid="{00000000-0002-0000-0000-000010000000}"/>
    <dataValidation allowBlank="1" showInputMessage="1" showErrorMessage="1" promptTitle="Item Name/Description:" prompt="Enter Item/description" sqref="F6" xr:uid="{00000000-0002-0000-0000-000011000000}"/>
    <dataValidation allowBlank="1" showInputMessage="1" showErrorMessage="1" promptTitle="Equipment Category:" prompt="Select category of equipment of this item" sqref="E6" xr:uid="{00000000-0002-0000-0000-000012000000}"/>
    <dataValidation allowBlank="1" showInputMessage="1" showErrorMessage="1" promptTitle="Item SKU:" prompt="Enter vendor's SKU for this item" sqref="G6" xr:uid="{00000000-0002-0000-0000-000014000000}"/>
    <dataValidation allowBlank="1" showInputMessage="1" showErrorMessage="1" prompt="Enter Where purchased in this column under this heading" sqref="C6:D6" xr:uid="{00000000-0002-0000-0000-000016000000}"/>
    <dataValidation allowBlank="1" showInputMessage="1" showErrorMessage="1" promptTitle="Price:" prompt="Total Calculated Price = # Items * Price_x000a_" sqref="J6" xr:uid="{00000000-0002-0000-0000-000018000000}"/>
    <dataValidation allowBlank="1" showInputMessage="1" showErrorMessage="1" promptTitle="Thumbnail URL:" prompt="Enter url link to equipment item thumbnail " sqref="K6" xr:uid="{00000000-0002-0000-0000-000019000000}"/>
    <dataValidation allowBlank="1" showInputMessage="1" showErrorMessage="1" promptTitle="Link:" prompt="Enter link to equipment item page" sqref="M6" xr:uid="{00000000-0002-0000-0000-00001A000000}"/>
    <dataValidation errorStyle="warning" allowBlank="1" showInputMessage="1" showErrorMessage="1" error="Select Yes or No from the list to indicate whether a photo of the item exists. Select CANCEL, then press ALT+DOWN ARROW for options, then DOWN ARROW and ENTER to make selection" sqref="M7:M38" xr:uid="{00000000-0002-0000-0000-00001C000000}"/>
    <dataValidation type="list" errorStyle="warning" allowBlank="1" showInputMessage="1" showErrorMessage="1" error="Select Room/area from the list. Enter new Room/Area in Room Lookup worksheet. Select CANCEL, then press ALT+DOWN ARROW for options, then DOWN ARROW and ENTER to make selection" sqref="E7:E38" xr:uid="{00000000-0002-0000-0000-00001D000000}">
      <formula1>RoomList</formula1>
    </dataValidation>
    <dataValidation allowBlank="1" showInputMessage="1" showErrorMessage="1" errorTitle="Invalid Data" error="Please select an entry from the list. To add or change items, use the Room/Area table on the Room Lookup worksheet. " sqref="C7:C38" xr:uid="{00000000-0002-0000-0000-00001E000000}"/>
    <dataValidation allowBlank="1" showInputMessage="1" showErrorMessage="1" prompt="Enter Inventory Date in cell at right" sqref="G2" xr:uid="{00000000-0002-0000-0000-000003000000}"/>
    <dataValidation allowBlank="1" showInputMessage="1" showErrorMessage="1" promptTitle="Units:" prompt="Enter # of units to purchase" sqref="H6" xr:uid="{00000000-0002-0000-0000-000017000000}"/>
    <dataValidation allowBlank="1" showInputMessage="1" showErrorMessage="1" promptTitle="Thumbnail:" prompt="Enter url link to equipment item thumbnail image in previous column" sqref="L6" xr:uid="{91A1ECCA-3F02-4706-82E8-3F599501042A}"/>
    <dataValidation allowBlank="1" showInputMessage="1" showErrorMessage="1" promptTitle="Unit Price:" prompt="Enter item price per unit" sqref="I6" xr:uid="{8A77B332-769F-4FC3-9D4D-2B9A5564E948}"/>
    <dataValidation allowBlank="1" showInputMessage="1" showErrorMessage="1" promptTitle="Vendor:" prompt="Enter vendor of this item" sqref="C6:D6" xr:uid="{7ABF8C16-A6D2-4C3C-B430-498018FD9056}"/>
    <dataValidation allowBlank="1" showInputMessage="1" showErrorMessage="1" errorTitle="Invalid Data" error="Please select an entry from the list. To add or change items, use the Room/Area table on the Room Lookup worksheet. " promptTitle="Item #:" prompt="Enter list item # of this entry" sqref="B7:B38" xr:uid="{FD5547EF-4DB9-45AE-A587-FA0DB68CDF9E}"/>
  </dataValidations>
  <hyperlinks>
    <hyperlink ref="M7" r:id="rId1" xr:uid="{F6ECFD8F-7470-4DAF-AB9C-08376487510A}"/>
    <hyperlink ref="M8" r:id="rId2" xr:uid="{D77A7A15-4D4B-46EE-A9A7-D0375F87431B}"/>
    <hyperlink ref="M9" r:id="rId3" xr:uid="{B4D75A37-2C55-467B-BB6D-0A0D9C70176A}"/>
    <hyperlink ref="M10" r:id="rId4" xr:uid="{F85C94F2-CC20-44A5-8E35-40D1C157D36E}"/>
    <hyperlink ref="M11" r:id="rId5" xr:uid="{5D2B45E8-BF62-47CD-8020-8B4CCCFBA85B}"/>
    <hyperlink ref="M12" r:id="rId6" xr:uid="{E3B387ED-A287-4E5C-86B4-D3338F3D6531}"/>
    <hyperlink ref="M13" r:id="rId7" xr:uid="{17392049-0599-4659-A83D-E55ACF18F83F}"/>
    <hyperlink ref="M14" r:id="rId8" xr:uid="{2E813502-00AA-4CE9-B851-58A1660812AF}"/>
    <hyperlink ref="M15" r:id="rId9" xr:uid="{3119932D-D822-4179-B551-E6533736A117}"/>
    <hyperlink ref="M16" r:id="rId10" xr:uid="{A3C6E8B3-9A3C-477D-B03A-E4B495727304}"/>
    <hyperlink ref="M17" r:id="rId11" xr:uid="{7A2C5F0C-76C1-44C2-986B-B977EDE549D0}"/>
    <hyperlink ref="M18" r:id="rId12" xr:uid="{45D43263-E9CC-4DDD-A16E-676E595849FF}"/>
    <hyperlink ref="M19" r:id="rId13" xr:uid="{D43BAF23-8D24-49A8-BEA7-23D155408866}"/>
    <hyperlink ref="M20" r:id="rId14" xr:uid="{85450119-0A62-4520-87DD-CDB93D22A11B}"/>
    <hyperlink ref="M21" r:id="rId15" xr:uid="{E694CEF5-2EE8-42F7-ABDE-6869A43C311C}"/>
    <hyperlink ref="M22" r:id="rId16" xr:uid="{456C3710-8BE5-4EB7-9DDD-EB6252D1F304}"/>
    <hyperlink ref="M23" r:id="rId17" xr:uid="{487CB49F-21B2-4A73-AACD-129F0C97E552}"/>
    <hyperlink ref="M24" r:id="rId18" xr:uid="{F397C6FC-9557-4258-B4DC-31A6915D07D0}"/>
    <hyperlink ref="M25" r:id="rId19" xr:uid="{0B4D5FFD-EBD2-485A-9B26-264E1D5E411E}"/>
    <hyperlink ref="M26" r:id="rId20" xr:uid="{5CFDE63D-0318-46E4-9457-5B223923C39F}"/>
    <hyperlink ref="M27" r:id="rId21" xr:uid="{9C31FFF8-43EC-4C20-A494-9CB3CFC024DC}"/>
    <hyperlink ref="M28" r:id="rId22" xr:uid="{FB7B76CA-FE02-4747-B59F-522DAC5A70F1}"/>
    <hyperlink ref="M29" r:id="rId23" xr:uid="{D5146CFC-B7F9-430D-82FC-78F7AD082EBB}"/>
    <hyperlink ref="M30" r:id="rId24" xr:uid="{8002E8ED-F65A-43F7-A1F2-FAB1F883E0AA}"/>
    <hyperlink ref="M31" r:id="rId25" xr:uid="{583B163D-3D84-465B-AE5A-8BED130E5CA0}"/>
    <hyperlink ref="M32" r:id="rId26" xr:uid="{D44C5181-85D6-43C0-90E2-39818BA6C623}"/>
    <hyperlink ref="M33" r:id="rId27" xr:uid="{A3C0881E-DC9E-4197-98D1-51684453E2E5}"/>
    <hyperlink ref="M34" r:id="rId28" xr:uid="{8B3F7190-C160-4058-89F4-B3D4D45ECD5D}"/>
    <hyperlink ref="M35" r:id="rId29" xr:uid="{9150EE89-B23D-4360-B735-78A72349AD4D}"/>
    <hyperlink ref="M36" r:id="rId30" xr:uid="{BC98F63C-4C66-44DE-8849-897209663CE0}"/>
    <hyperlink ref="M37" r:id="rId31" xr:uid="{001FDCA3-9FD0-4A9B-AA4E-AF51846489EA}"/>
    <hyperlink ref="M38" r:id="rId32" xr:uid="{424C864C-7821-4B30-A052-549910DA26EF}"/>
  </hyperlinks>
  <printOptions horizontalCentered="1"/>
  <pageMargins left="0.25" right="0.25" top="0.75" bottom="0.75" header="0.3" footer="0.3"/>
  <pageSetup scale="59" fitToHeight="0" orientation="landscape" r:id="rId33"/>
  <headerFooter differentFirst="1">
    <oddFooter>Page &amp;P of &amp;N</oddFooter>
  </headerFooter>
  <drawing r:id="rId34"/>
  <tableParts count="1">
    <tablePart r:id="rId35"/>
  </tableParts>
  <extLst>
    <ext xmlns:x14="http://schemas.microsoft.com/office/spreadsheetml/2009/9/main" uri="{78C0D931-6437-407d-A8EE-F0AAD7539E65}">
      <x14:conditionalFormattings>
        <x14:conditionalFormatting xmlns:xm="http://schemas.microsoft.com/office/excel/2006/main">
          <x14:cfRule type="dataBar" id="{DD2554B5-7481-4F06-9B0C-4C198BA00901}">
            <x14:dataBar minLength="0" maxLength="100">
              <x14:cfvo type="autoMin"/>
              <x14:cfvo type="autoMax"/>
              <x14:negativeFillColor rgb="FFFF0000"/>
              <x14:axisColor rgb="FF000000"/>
            </x14:dataBar>
          </x14:cfRule>
          <xm:sqref>J7:J38</xm:sqref>
        </x14:conditionalFormatting>
      </x14:conditionalFormattings>
    </ext>
    <ext xmlns:x14="http://schemas.microsoft.com/office/spreadsheetml/2009/9/main" uri="{CCE6A557-97BC-4b89-ADB6-D9C93CAAB3DF}">
      <x14:dataValidations xmlns:xm="http://schemas.microsoft.com/office/excel/2006/main" xWindow="158" yWindow="529" count="1">
        <x14:dataValidation type="list" allowBlank="1" showInputMessage="1" showErrorMessage="1" errorTitle="Invalid Data" error="Please select an entry from the list. To add or change items, use the Room/Area table on the Room Lookup worksheet. " xr:uid="{667DBAAD-6DB9-4CBC-941F-F21230EBD7E8}">
          <x14:formula1>
            <xm:f>'Category Lookup'!$C$4:$C$81</xm:f>
          </x14:formula1>
          <xm:sqref>D7:D38</xm:sqref>
        </x14:dataValidation>
      </x14:dataValidations>
    </ext>
    <ext xmlns:x15="http://schemas.microsoft.com/office/spreadsheetml/2010/11/main" uri="{3A4CF648-6AED-40f4-86FF-DC5316D8AED3}">
      <x14:slicerList xmlns:x14="http://schemas.microsoft.com/office/spreadsheetml/2009/9/main">
        <x14:slicer r:id="rId36"/>
      </x14:slicerList>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64072-D326-406E-9CB5-70BD69A3FB97}">
  <sheetPr codeName="Sheet15"/>
  <dimension ref="A1:D65"/>
  <sheetViews>
    <sheetView workbookViewId="0">
      <selection activeCell="A20" sqref="A20"/>
    </sheetView>
  </sheetViews>
  <sheetFormatPr defaultRowHeight="14.4" x14ac:dyDescent="0.3"/>
  <cols>
    <col min="1" max="1" width="51.6640625" customWidth="1"/>
    <col min="3" max="3" width="52.5546875" customWidth="1"/>
  </cols>
  <sheetData>
    <row r="1" spans="1:4" x14ac:dyDescent="0.3">
      <c r="A1" t="s">
        <v>994</v>
      </c>
      <c r="B1" t="b">
        <v>0</v>
      </c>
      <c r="C1" t="s">
        <v>1955</v>
      </c>
      <c r="D1">
        <v>5</v>
      </c>
    </row>
    <row r="2" spans="1:4" x14ac:dyDescent="0.3">
      <c r="A2" t="s">
        <v>891</v>
      </c>
      <c r="B2" t="b">
        <v>1</v>
      </c>
      <c r="C2" t="s">
        <v>1956</v>
      </c>
      <c r="D2">
        <v>5</v>
      </c>
    </row>
    <row r="3" spans="1:4" x14ac:dyDescent="0.3">
      <c r="A3" t="s">
        <v>1884</v>
      </c>
      <c r="B3" t="b">
        <v>0</v>
      </c>
      <c r="C3" t="s">
        <v>1957</v>
      </c>
      <c r="D3">
        <v>5</v>
      </c>
    </row>
    <row r="4" spans="1:4" x14ac:dyDescent="0.3">
      <c r="A4" t="s">
        <v>1886</v>
      </c>
      <c r="B4" t="b">
        <v>0</v>
      </c>
      <c r="C4" t="s">
        <v>1958</v>
      </c>
      <c r="D4">
        <v>5</v>
      </c>
    </row>
    <row r="5" spans="1:4" x14ac:dyDescent="0.3">
      <c r="A5" t="s">
        <v>1885</v>
      </c>
      <c r="B5" t="b">
        <v>0</v>
      </c>
      <c r="C5" t="s">
        <v>1959</v>
      </c>
      <c r="D5">
        <v>5</v>
      </c>
    </row>
    <row r="6" spans="1:4" x14ac:dyDescent="0.3">
      <c r="A6" t="s">
        <v>1888</v>
      </c>
      <c r="B6" t="b">
        <v>0</v>
      </c>
      <c r="C6" t="s">
        <v>1960</v>
      </c>
      <c r="D6">
        <v>5</v>
      </c>
    </row>
    <row r="7" spans="1:4" x14ac:dyDescent="0.3">
      <c r="A7" t="s">
        <v>1887</v>
      </c>
      <c r="B7" t="b">
        <v>0</v>
      </c>
      <c r="C7" t="s">
        <v>1961</v>
      </c>
      <c r="D7">
        <v>5</v>
      </c>
    </row>
    <row r="8" spans="1:4" x14ac:dyDescent="0.3">
      <c r="A8" t="s">
        <v>1889</v>
      </c>
      <c r="B8" t="b">
        <v>0</v>
      </c>
      <c r="C8" t="s">
        <v>1962</v>
      </c>
      <c r="D8">
        <v>5</v>
      </c>
    </row>
    <row r="9" spans="1:4" x14ac:dyDescent="0.3">
      <c r="A9" t="s">
        <v>1617</v>
      </c>
      <c r="B9" t="b">
        <v>1</v>
      </c>
      <c r="C9" t="s">
        <v>1963</v>
      </c>
      <c r="D9">
        <v>5</v>
      </c>
    </row>
    <row r="10" spans="1:4" x14ac:dyDescent="0.3">
      <c r="A10" t="s">
        <v>1301</v>
      </c>
      <c r="B10" t="b">
        <v>0</v>
      </c>
      <c r="C10" t="s">
        <v>1964</v>
      </c>
      <c r="D10">
        <v>5</v>
      </c>
    </row>
    <row r="11" spans="1:4" x14ac:dyDescent="0.3">
      <c r="A11" t="s">
        <v>1890</v>
      </c>
      <c r="B11" t="b">
        <v>0</v>
      </c>
      <c r="C11" t="s">
        <v>1965</v>
      </c>
      <c r="D11">
        <v>5</v>
      </c>
    </row>
    <row r="12" spans="1:4" x14ac:dyDescent="0.3">
      <c r="A12" t="s">
        <v>890</v>
      </c>
      <c r="B12" t="b">
        <v>0</v>
      </c>
      <c r="C12" t="s">
        <v>1966</v>
      </c>
      <c r="D12">
        <v>5</v>
      </c>
    </row>
    <row r="13" spans="1:4" x14ac:dyDescent="0.3">
      <c r="A13" t="s">
        <v>1892</v>
      </c>
      <c r="B13" t="b">
        <v>0</v>
      </c>
      <c r="C13" t="s">
        <v>1967</v>
      </c>
      <c r="D13">
        <v>5</v>
      </c>
    </row>
    <row r="14" spans="1:4" x14ac:dyDescent="0.3">
      <c r="A14" t="s">
        <v>1891</v>
      </c>
      <c r="B14" t="b">
        <v>1</v>
      </c>
      <c r="C14" t="s">
        <v>1968</v>
      </c>
      <c r="D14">
        <v>5</v>
      </c>
    </row>
    <row r="15" spans="1:4" x14ac:dyDescent="0.3">
      <c r="A15" t="s">
        <v>1893</v>
      </c>
      <c r="B15" t="b">
        <v>0</v>
      </c>
      <c r="C15" t="s">
        <v>1969</v>
      </c>
      <c r="D15">
        <v>5</v>
      </c>
    </row>
    <row r="16" spans="1:4" x14ac:dyDescent="0.3">
      <c r="A16" t="s">
        <v>1302</v>
      </c>
      <c r="B16" t="b">
        <v>0</v>
      </c>
      <c r="C16" t="s">
        <v>1970</v>
      </c>
      <c r="D16">
        <v>5</v>
      </c>
    </row>
    <row r="17" spans="1:4" x14ac:dyDescent="0.3">
      <c r="A17" t="s">
        <v>1609</v>
      </c>
      <c r="B17" t="b">
        <v>0</v>
      </c>
      <c r="C17" t="s">
        <v>1971</v>
      </c>
      <c r="D17">
        <v>5</v>
      </c>
    </row>
    <row r="18" spans="1:4" x14ac:dyDescent="0.3">
      <c r="A18" t="s">
        <v>1611</v>
      </c>
      <c r="B18" t="b">
        <v>0</v>
      </c>
      <c r="C18" t="s">
        <v>1972</v>
      </c>
      <c r="D18">
        <v>5</v>
      </c>
    </row>
    <row r="19" spans="1:4" x14ac:dyDescent="0.3">
      <c r="A19" t="s">
        <v>1883</v>
      </c>
      <c r="B19" t="b">
        <v>1</v>
      </c>
      <c r="C19" t="s">
        <v>1973</v>
      </c>
      <c r="D19">
        <v>5</v>
      </c>
    </row>
    <row r="20" spans="1:4" x14ac:dyDescent="0.3">
      <c r="A20" t="s">
        <v>1608</v>
      </c>
      <c r="B20" t="b">
        <v>0</v>
      </c>
      <c r="C20" t="s">
        <v>1974</v>
      </c>
      <c r="D20">
        <v>5</v>
      </c>
    </row>
    <row r="21" spans="1:4" x14ac:dyDescent="0.3">
      <c r="A21" t="s">
        <v>1012</v>
      </c>
      <c r="B21" t="b">
        <v>1</v>
      </c>
      <c r="C21" t="s">
        <v>1975</v>
      </c>
      <c r="D21">
        <v>5</v>
      </c>
    </row>
    <row r="22" spans="1:4" x14ac:dyDescent="0.3">
      <c r="A22" t="s">
        <v>1894</v>
      </c>
      <c r="B22" t="b">
        <v>0</v>
      </c>
      <c r="C22" t="s">
        <v>1976</v>
      </c>
      <c r="D22">
        <v>5</v>
      </c>
    </row>
    <row r="23" spans="1:4" x14ac:dyDescent="0.3">
      <c r="A23" t="s">
        <v>1895</v>
      </c>
      <c r="B23" t="b">
        <v>0</v>
      </c>
      <c r="C23" t="s">
        <v>1977</v>
      </c>
      <c r="D23">
        <v>5</v>
      </c>
    </row>
    <row r="24" spans="1:4" x14ac:dyDescent="0.3">
      <c r="A24" t="s">
        <v>1610</v>
      </c>
      <c r="B24" t="b">
        <v>0</v>
      </c>
      <c r="C24" t="s">
        <v>1978</v>
      </c>
      <c r="D24">
        <v>5</v>
      </c>
    </row>
    <row r="25" spans="1:4" x14ac:dyDescent="0.3">
      <c r="A25" t="s">
        <v>1612</v>
      </c>
      <c r="B25" t="b">
        <v>0</v>
      </c>
      <c r="C25" t="s">
        <v>1979</v>
      </c>
      <c r="D25">
        <v>5</v>
      </c>
    </row>
    <row r="26" spans="1:4" x14ac:dyDescent="0.3">
      <c r="A26" t="s">
        <v>995</v>
      </c>
      <c r="B26" t="b">
        <v>0</v>
      </c>
      <c r="C26" t="s">
        <v>1980</v>
      </c>
      <c r="D26">
        <v>5</v>
      </c>
    </row>
    <row r="27" spans="1:4" x14ac:dyDescent="0.3">
      <c r="A27" t="s">
        <v>1303</v>
      </c>
      <c r="B27" t="b">
        <v>0</v>
      </c>
      <c r="C27" t="s">
        <v>1981</v>
      </c>
      <c r="D27">
        <v>5</v>
      </c>
    </row>
    <row r="28" spans="1:4" x14ac:dyDescent="0.3">
      <c r="A28" t="s">
        <v>888</v>
      </c>
      <c r="B28" t="b">
        <v>0</v>
      </c>
      <c r="C28" t="s">
        <v>1982</v>
      </c>
      <c r="D28">
        <v>5</v>
      </c>
    </row>
    <row r="29" spans="1:4" x14ac:dyDescent="0.3">
      <c r="A29" t="s">
        <v>1606</v>
      </c>
      <c r="B29" t="b">
        <v>0</v>
      </c>
      <c r="C29" t="s">
        <v>1983</v>
      </c>
      <c r="D29">
        <v>5</v>
      </c>
    </row>
    <row r="30" spans="1:4" x14ac:dyDescent="0.3">
      <c r="A30" t="s">
        <v>1409</v>
      </c>
      <c r="B30" t="b">
        <v>0</v>
      </c>
      <c r="C30" t="s">
        <v>1984</v>
      </c>
      <c r="D30">
        <v>5</v>
      </c>
    </row>
    <row r="31" spans="1:4" x14ac:dyDescent="0.3">
      <c r="A31" t="s">
        <v>12</v>
      </c>
      <c r="B31" t="b">
        <v>0</v>
      </c>
      <c r="C31" t="s">
        <v>1985</v>
      </c>
      <c r="D31">
        <v>5</v>
      </c>
    </row>
    <row r="32" spans="1:4" x14ac:dyDescent="0.3">
      <c r="A32" t="s">
        <v>1605</v>
      </c>
      <c r="B32" t="b">
        <v>0</v>
      </c>
      <c r="C32" t="s">
        <v>1986</v>
      </c>
      <c r="D32">
        <v>5</v>
      </c>
    </row>
    <row r="33" spans="1:4" x14ac:dyDescent="0.3">
      <c r="A33" t="s">
        <v>1896</v>
      </c>
      <c r="B33" t="b">
        <v>0</v>
      </c>
      <c r="C33" t="s">
        <v>1987</v>
      </c>
      <c r="D33">
        <v>5</v>
      </c>
    </row>
    <row r="34" spans="1:4" x14ac:dyDescent="0.3">
      <c r="A34" t="s">
        <v>1603</v>
      </c>
      <c r="B34" t="b">
        <v>0</v>
      </c>
      <c r="C34" t="s">
        <v>1988</v>
      </c>
      <c r="D34">
        <v>5</v>
      </c>
    </row>
    <row r="35" spans="1:4" x14ac:dyDescent="0.3">
      <c r="A35" t="s">
        <v>1013</v>
      </c>
      <c r="B35" t="b">
        <v>0</v>
      </c>
      <c r="C35" t="s">
        <v>1989</v>
      </c>
      <c r="D35">
        <v>5</v>
      </c>
    </row>
    <row r="36" spans="1:4" x14ac:dyDescent="0.3">
      <c r="A36" t="s">
        <v>1613</v>
      </c>
      <c r="B36" t="b">
        <v>0</v>
      </c>
      <c r="C36" t="s">
        <v>1990</v>
      </c>
      <c r="D36">
        <v>5</v>
      </c>
    </row>
    <row r="37" spans="1:4" x14ac:dyDescent="0.3">
      <c r="A37" t="s">
        <v>1439</v>
      </c>
      <c r="B37" t="b">
        <v>0</v>
      </c>
      <c r="C37" t="s">
        <v>1991</v>
      </c>
      <c r="D37">
        <v>5</v>
      </c>
    </row>
    <row r="38" spans="1:4" x14ac:dyDescent="0.3">
      <c r="A38" t="s">
        <v>1043</v>
      </c>
      <c r="B38" t="b">
        <v>0</v>
      </c>
      <c r="C38" t="s">
        <v>1992</v>
      </c>
      <c r="D38">
        <v>5</v>
      </c>
    </row>
    <row r="39" spans="1:4" x14ac:dyDescent="0.3">
      <c r="A39" t="s">
        <v>16</v>
      </c>
      <c r="B39" t="b">
        <v>0</v>
      </c>
      <c r="C39" t="s">
        <v>1993</v>
      </c>
      <c r="D39">
        <v>5</v>
      </c>
    </row>
    <row r="40" spans="1:4" x14ac:dyDescent="0.3">
      <c r="A40" t="s">
        <v>1014</v>
      </c>
      <c r="B40" t="b">
        <v>0</v>
      </c>
      <c r="C40" t="s">
        <v>1994</v>
      </c>
      <c r="D40">
        <v>5</v>
      </c>
    </row>
    <row r="41" spans="1:4" x14ac:dyDescent="0.3">
      <c r="A41" t="s">
        <v>1068</v>
      </c>
      <c r="B41" t="b">
        <v>0</v>
      </c>
      <c r="C41" t="s">
        <v>1995</v>
      </c>
      <c r="D41">
        <v>5</v>
      </c>
    </row>
    <row r="42" spans="1:4" x14ac:dyDescent="0.3">
      <c r="A42" t="s">
        <v>1042</v>
      </c>
      <c r="B42" t="b">
        <v>0</v>
      </c>
      <c r="C42" t="s">
        <v>1996</v>
      </c>
      <c r="D42">
        <v>5</v>
      </c>
    </row>
    <row r="43" spans="1:4" x14ac:dyDescent="0.3">
      <c r="A43" t="s">
        <v>1616</v>
      </c>
      <c r="B43" t="b">
        <v>0</v>
      </c>
      <c r="C43" t="s">
        <v>1997</v>
      </c>
      <c r="D43">
        <v>5</v>
      </c>
    </row>
    <row r="44" spans="1:4" x14ac:dyDescent="0.3">
      <c r="A44" t="s">
        <v>1066</v>
      </c>
      <c r="B44" t="b">
        <v>0</v>
      </c>
      <c r="C44" t="s">
        <v>1998</v>
      </c>
      <c r="D44">
        <v>5</v>
      </c>
    </row>
    <row r="45" spans="1:4" x14ac:dyDescent="0.3">
      <c r="A45" t="s">
        <v>993</v>
      </c>
      <c r="B45" t="b">
        <v>0</v>
      </c>
      <c r="C45" t="s">
        <v>1999</v>
      </c>
      <c r="D45">
        <v>5</v>
      </c>
    </row>
    <row r="46" spans="1:4" x14ac:dyDescent="0.3">
      <c r="A46" t="s">
        <v>1180</v>
      </c>
      <c r="B46" t="b">
        <v>0</v>
      </c>
      <c r="C46" t="s">
        <v>2000</v>
      </c>
      <c r="D46">
        <v>5</v>
      </c>
    </row>
    <row r="47" spans="1:4" x14ac:dyDescent="0.3">
      <c r="A47" t="s">
        <v>1075</v>
      </c>
      <c r="B47" t="b">
        <v>0</v>
      </c>
      <c r="C47" t="s">
        <v>2001</v>
      </c>
      <c r="D47">
        <v>5</v>
      </c>
    </row>
    <row r="48" spans="1:4" x14ac:dyDescent="0.3">
      <c r="A48" t="s">
        <v>1615</v>
      </c>
      <c r="B48" t="b">
        <v>0</v>
      </c>
      <c r="C48" t="s">
        <v>2002</v>
      </c>
      <c r="D48">
        <v>5</v>
      </c>
    </row>
    <row r="49" spans="1:4" x14ac:dyDescent="0.3">
      <c r="A49" t="s">
        <v>1618</v>
      </c>
      <c r="B49" t="b">
        <v>0</v>
      </c>
      <c r="C49" t="s">
        <v>2003</v>
      </c>
      <c r="D49">
        <v>5</v>
      </c>
    </row>
    <row r="50" spans="1:4" x14ac:dyDescent="0.3">
      <c r="A50" t="s">
        <v>11</v>
      </c>
      <c r="B50" t="b">
        <v>0</v>
      </c>
      <c r="C50" t="s">
        <v>2004</v>
      </c>
      <c r="D50">
        <v>5</v>
      </c>
    </row>
    <row r="51" spans="1:4" x14ac:dyDescent="0.3">
      <c r="A51" t="s">
        <v>14</v>
      </c>
      <c r="B51" t="b">
        <v>0</v>
      </c>
      <c r="C51" t="s">
        <v>2005</v>
      </c>
      <c r="D51">
        <v>5</v>
      </c>
    </row>
    <row r="52" spans="1:4" x14ac:dyDescent="0.3">
      <c r="A52" t="s">
        <v>899</v>
      </c>
      <c r="B52" t="b">
        <v>0</v>
      </c>
      <c r="C52" t="s">
        <v>2006</v>
      </c>
      <c r="D52">
        <v>5</v>
      </c>
    </row>
    <row r="53" spans="1:4" x14ac:dyDescent="0.3">
      <c r="A53" t="s">
        <v>1067</v>
      </c>
      <c r="B53" t="b">
        <v>0</v>
      </c>
      <c r="C53" t="s">
        <v>2007</v>
      </c>
      <c r="D53">
        <v>5</v>
      </c>
    </row>
    <row r="54" spans="1:4" x14ac:dyDescent="0.3">
      <c r="A54" t="s">
        <v>1607</v>
      </c>
      <c r="B54" t="b">
        <v>0</v>
      </c>
      <c r="C54" t="s">
        <v>2008</v>
      </c>
      <c r="D54">
        <v>5</v>
      </c>
    </row>
    <row r="55" spans="1:4" x14ac:dyDescent="0.3">
      <c r="A55" t="s">
        <v>1614</v>
      </c>
      <c r="B55" t="b">
        <v>0</v>
      </c>
      <c r="C55" t="s">
        <v>2009</v>
      </c>
      <c r="D55">
        <v>5</v>
      </c>
    </row>
    <row r="56" spans="1:4" x14ac:dyDescent="0.3">
      <c r="A56" t="s">
        <v>1654</v>
      </c>
      <c r="B56" t="b">
        <v>0</v>
      </c>
      <c r="C56" t="s">
        <v>2010</v>
      </c>
      <c r="D56">
        <v>5</v>
      </c>
    </row>
    <row r="57" spans="1:4" x14ac:dyDescent="0.3">
      <c r="A57" t="s">
        <v>15</v>
      </c>
      <c r="B57" t="b">
        <v>0</v>
      </c>
      <c r="C57" t="s">
        <v>2011</v>
      </c>
      <c r="D57">
        <v>5</v>
      </c>
    </row>
    <row r="58" spans="1:4" x14ac:dyDescent="0.3">
      <c r="A58" t="s">
        <v>1438</v>
      </c>
      <c r="B58" t="b">
        <v>0</v>
      </c>
      <c r="C58" t="s">
        <v>2012</v>
      </c>
      <c r="D58">
        <v>5</v>
      </c>
    </row>
    <row r="59" spans="1:4" x14ac:dyDescent="0.3">
      <c r="A59" t="s">
        <v>1604</v>
      </c>
      <c r="B59" t="b">
        <v>0</v>
      </c>
      <c r="C59" t="s">
        <v>2013</v>
      </c>
      <c r="D59">
        <v>5</v>
      </c>
    </row>
    <row r="60" spans="1:4" x14ac:dyDescent="0.3">
      <c r="A60" t="s">
        <v>887</v>
      </c>
      <c r="B60" t="b">
        <v>0</v>
      </c>
      <c r="C60" t="s">
        <v>2014</v>
      </c>
      <c r="D60">
        <v>5</v>
      </c>
    </row>
    <row r="61" spans="1:4" x14ac:dyDescent="0.3">
      <c r="A61" t="s">
        <v>898</v>
      </c>
      <c r="B61" t="b">
        <v>0</v>
      </c>
      <c r="C61" t="s">
        <v>2015</v>
      </c>
      <c r="D61">
        <v>5</v>
      </c>
    </row>
    <row r="62" spans="1:4" x14ac:dyDescent="0.3">
      <c r="A62" t="s">
        <v>1071</v>
      </c>
      <c r="B62" t="b">
        <v>0</v>
      </c>
      <c r="C62" t="s">
        <v>2016</v>
      </c>
      <c r="D62">
        <v>5</v>
      </c>
    </row>
    <row r="63" spans="1:4" x14ac:dyDescent="0.3">
      <c r="A63" t="s">
        <v>1437</v>
      </c>
      <c r="B63" t="b">
        <v>0</v>
      </c>
      <c r="C63" t="s">
        <v>2017</v>
      </c>
      <c r="D63">
        <v>5</v>
      </c>
    </row>
    <row r="64" spans="1:4" x14ac:dyDescent="0.3">
      <c r="A64" t="s">
        <v>1410</v>
      </c>
      <c r="B64" t="b">
        <v>0</v>
      </c>
      <c r="C64" t="s">
        <v>2018</v>
      </c>
      <c r="D64">
        <v>5</v>
      </c>
    </row>
    <row r="65" spans="1:4" x14ac:dyDescent="0.3">
      <c r="A65" t="s">
        <v>13</v>
      </c>
      <c r="B65" t="b">
        <v>0</v>
      </c>
      <c r="C65" t="s">
        <v>2019</v>
      </c>
      <c r="D65">
        <v>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DE508-74B4-4567-99BF-917F280917A1}">
  <sheetPr codeName="Sheet7"/>
  <dimension ref="A1:G65"/>
  <sheetViews>
    <sheetView topLeftCell="C1" workbookViewId="0">
      <selection activeCell="F7" sqref="F7"/>
    </sheetView>
  </sheetViews>
  <sheetFormatPr defaultRowHeight="14.4" x14ac:dyDescent="0.3"/>
  <cols>
    <col min="1" max="1" width="31.109375" customWidth="1"/>
    <col min="2" max="2" width="43.6640625" bestFit="1" customWidth="1"/>
    <col min="3" max="3" width="27.109375" customWidth="1"/>
    <col min="4" max="4" width="22.21875" customWidth="1"/>
    <col min="5" max="5" width="12.33203125" customWidth="1"/>
    <col min="6" max="6" width="44.33203125" customWidth="1"/>
    <col min="7" max="7" width="25.44140625" customWidth="1"/>
  </cols>
  <sheetData>
    <row r="1" spans="1:7" ht="28.8" x14ac:dyDescent="0.3">
      <c r="A1" t="s">
        <v>994</v>
      </c>
      <c r="B1" t="s">
        <v>1954</v>
      </c>
      <c r="C1" t="s">
        <v>1955</v>
      </c>
      <c r="D1" t="s">
        <v>1950</v>
      </c>
      <c r="F1" s="3" t="e">
        <f ca="1">[1]!GetSelectedSlicerItems("Slicer_Type1")</f>
        <v>#NAME?</v>
      </c>
    </row>
    <row r="2" spans="1:7" ht="28.8" x14ac:dyDescent="0.3">
      <c r="A2" t="s">
        <v>891</v>
      </c>
      <c r="B2" t="b">
        <v>1</v>
      </c>
      <c r="C2" t="s">
        <v>1956</v>
      </c>
      <c r="D2" t="str">
        <f>"SplitAllFunc()"</f>
        <v>SplitAllFunc()</v>
      </c>
      <c r="F2" s="3" t="e">
        <f ca="1">[1]!GetSelectedSlicerItems("Slicer_____0_?_T_F")</f>
        <v>#NAME?</v>
      </c>
      <c r="G2" s="82"/>
    </row>
    <row r="3" spans="1:7" ht="28.8" x14ac:dyDescent="0.3">
      <c r="A3" t="s">
        <v>1884</v>
      </c>
      <c r="B3" t="b">
        <v>0</v>
      </c>
      <c r="C3" t="s">
        <v>1957</v>
      </c>
      <c r="D3" t="s">
        <v>891</v>
      </c>
      <c r="F3" s="3" t="e">
        <f ca="1">[1]!GetSelectedSlicerItems("Slicer_Room__area")</f>
        <v>#NAME?</v>
      </c>
    </row>
    <row r="4" spans="1:7" ht="43.2" x14ac:dyDescent="0.3">
      <c r="A4" t="s">
        <v>1886</v>
      </c>
      <c r="B4" t="b">
        <v>0</v>
      </c>
      <c r="C4" t="s">
        <v>1958</v>
      </c>
      <c r="D4" t="s">
        <v>1947</v>
      </c>
      <c r="F4" s="3" t="e">
        <f ca="1">[1]!GetSelectedSlicerItems("Slicer_Equipment_Category")</f>
        <v>#NAME?</v>
      </c>
    </row>
    <row r="5" spans="1:7" ht="43.2" x14ac:dyDescent="0.3">
      <c r="A5" t="s">
        <v>1885</v>
      </c>
      <c r="B5" t="b">
        <v>0</v>
      </c>
      <c r="C5" t="s">
        <v>1959</v>
      </c>
      <c r="D5" t="s">
        <v>1948</v>
      </c>
      <c r="F5" s="3" t="e">
        <f ca="1">CELL("contents",F4)</f>
        <v>#NAME?</v>
      </c>
    </row>
    <row r="6" spans="1:7" ht="43.2" x14ac:dyDescent="0.3">
      <c r="A6" t="s">
        <v>1888</v>
      </c>
      <c r="B6" t="b">
        <v>0</v>
      </c>
      <c r="C6" t="s">
        <v>1960</v>
      </c>
      <c r="D6" t="s">
        <v>1949</v>
      </c>
      <c r="F6" s="3" t="e">
        <f ca="1">CELL("contents",F4)</f>
        <v>#NAME?</v>
      </c>
    </row>
    <row r="7" spans="1:7" ht="43.2" x14ac:dyDescent="0.3">
      <c r="A7" t="s">
        <v>1887</v>
      </c>
      <c r="B7" t="b">
        <v>0</v>
      </c>
      <c r="C7" t="s">
        <v>1961</v>
      </c>
      <c r="D7" t="s">
        <v>1951</v>
      </c>
      <c r="F7" t="s">
        <v>2020</v>
      </c>
    </row>
    <row r="8" spans="1:7" ht="28.8" x14ac:dyDescent="0.3">
      <c r="A8" t="s">
        <v>1889</v>
      </c>
      <c r="B8" t="b">
        <v>0</v>
      </c>
      <c r="C8" t="s">
        <v>1962</v>
      </c>
      <c r="D8" t="s">
        <v>1952</v>
      </c>
      <c r="F8" s="82" t="e">
        <f ca="1">[1]!CSVitems(F7,", ")</f>
        <v>#NAME?</v>
      </c>
    </row>
    <row r="9" spans="1:7" ht="28.8" x14ac:dyDescent="0.3">
      <c r="A9" t="s">
        <v>1617</v>
      </c>
      <c r="B9" t="b">
        <v>1</v>
      </c>
      <c r="C9" t="s">
        <v>1963</v>
      </c>
      <c r="D9" t="s">
        <v>1953</v>
      </c>
    </row>
    <row r="10" spans="1:7" x14ac:dyDescent="0.3">
      <c r="A10" t="s">
        <v>1301</v>
      </c>
      <c r="B10" t="b">
        <v>0</v>
      </c>
      <c r="C10" t="s">
        <v>1964</v>
      </c>
    </row>
    <row r="11" spans="1:7" x14ac:dyDescent="0.3">
      <c r="A11" t="s">
        <v>1890</v>
      </c>
      <c r="B11" t="b">
        <v>0</v>
      </c>
      <c r="C11" t="s">
        <v>1965</v>
      </c>
    </row>
    <row r="12" spans="1:7" ht="28.8" x14ac:dyDescent="0.3">
      <c r="A12" t="s">
        <v>890</v>
      </c>
      <c r="B12" t="b">
        <v>0</v>
      </c>
      <c r="C12" t="s">
        <v>1966</v>
      </c>
    </row>
    <row r="13" spans="1:7" x14ac:dyDescent="0.3">
      <c r="A13" t="s">
        <v>1892</v>
      </c>
      <c r="B13" t="b">
        <v>0</v>
      </c>
      <c r="C13" t="s">
        <v>1967</v>
      </c>
    </row>
    <row r="14" spans="1:7" x14ac:dyDescent="0.3">
      <c r="A14" t="s">
        <v>1891</v>
      </c>
      <c r="B14" t="b">
        <v>1</v>
      </c>
      <c r="C14" t="s">
        <v>1968</v>
      </c>
    </row>
    <row r="15" spans="1:7" x14ac:dyDescent="0.3">
      <c r="A15" t="s">
        <v>1893</v>
      </c>
      <c r="B15" t="b">
        <v>0</v>
      </c>
      <c r="C15" t="s">
        <v>1969</v>
      </c>
    </row>
    <row r="16" spans="1:7" ht="28.8" x14ac:dyDescent="0.3">
      <c r="A16" t="s">
        <v>1302</v>
      </c>
      <c r="B16" t="b">
        <v>0</v>
      </c>
      <c r="C16" t="s">
        <v>1970</v>
      </c>
    </row>
    <row r="17" spans="1:3" x14ac:dyDescent="0.3">
      <c r="A17" t="s">
        <v>1609</v>
      </c>
      <c r="B17" t="b">
        <v>0</v>
      </c>
      <c r="C17" t="s">
        <v>1971</v>
      </c>
    </row>
    <row r="18" spans="1:3" x14ac:dyDescent="0.3">
      <c r="A18" t="s">
        <v>1611</v>
      </c>
      <c r="B18" t="b">
        <v>0</v>
      </c>
      <c r="C18" t="s">
        <v>1972</v>
      </c>
    </row>
    <row r="19" spans="1:3" x14ac:dyDescent="0.3">
      <c r="A19" t="s">
        <v>1883</v>
      </c>
      <c r="B19" t="b">
        <v>1</v>
      </c>
      <c r="C19" t="s">
        <v>1973</v>
      </c>
    </row>
    <row r="20" spans="1:3" x14ac:dyDescent="0.3">
      <c r="A20" t="s">
        <v>1608</v>
      </c>
      <c r="B20" t="b">
        <v>0</v>
      </c>
      <c r="C20" t="s">
        <v>1974</v>
      </c>
    </row>
    <row r="21" spans="1:3" x14ac:dyDescent="0.3">
      <c r="A21" s="50" t="s">
        <v>1012</v>
      </c>
      <c r="B21" t="b">
        <v>1</v>
      </c>
      <c r="C21" t="s">
        <v>1975</v>
      </c>
    </row>
    <row r="22" spans="1:3" ht="28.8" x14ac:dyDescent="0.3">
      <c r="A22" t="s">
        <v>1894</v>
      </c>
      <c r="B22" t="b">
        <v>0</v>
      </c>
      <c r="C22" t="s">
        <v>1976</v>
      </c>
    </row>
    <row r="23" spans="1:3" ht="28.8" x14ac:dyDescent="0.3">
      <c r="A23" t="s">
        <v>1895</v>
      </c>
      <c r="B23" t="b">
        <v>0</v>
      </c>
      <c r="C23" t="s">
        <v>1977</v>
      </c>
    </row>
    <row r="24" spans="1:3" x14ac:dyDescent="0.3">
      <c r="A24" t="s">
        <v>1610</v>
      </c>
      <c r="B24" t="b">
        <v>0</v>
      </c>
      <c r="C24" t="s">
        <v>1978</v>
      </c>
    </row>
    <row r="25" spans="1:3" ht="28.8" x14ac:dyDescent="0.3">
      <c r="A25" t="s">
        <v>1612</v>
      </c>
      <c r="B25" t="b">
        <v>0</v>
      </c>
      <c r="C25" t="s">
        <v>1979</v>
      </c>
    </row>
    <row r="26" spans="1:3" x14ac:dyDescent="0.3">
      <c r="A26" t="s">
        <v>995</v>
      </c>
      <c r="B26" t="b">
        <v>0</v>
      </c>
      <c r="C26" t="s">
        <v>1980</v>
      </c>
    </row>
    <row r="27" spans="1:3" ht="28.8" x14ac:dyDescent="0.3">
      <c r="A27" t="s">
        <v>1303</v>
      </c>
      <c r="B27" t="b">
        <v>0</v>
      </c>
      <c r="C27" t="s">
        <v>1981</v>
      </c>
    </row>
    <row r="28" spans="1:3" ht="28.8" x14ac:dyDescent="0.3">
      <c r="A28" t="s">
        <v>888</v>
      </c>
      <c r="B28" t="b">
        <v>0</v>
      </c>
      <c r="C28" t="s">
        <v>1982</v>
      </c>
    </row>
    <row r="29" spans="1:3" ht="28.8" x14ac:dyDescent="0.3">
      <c r="A29" t="s">
        <v>1606</v>
      </c>
      <c r="B29" t="b">
        <v>0</v>
      </c>
      <c r="C29" t="s">
        <v>1983</v>
      </c>
    </row>
    <row r="30" spans="1:3" ht="28.8" x14ac:dyDescent="0.3">
      <c r="A30" t="s">
        <v>1409</v>
      </c>
      <c r="B30" t="b">
        <v>0</v>
      </c>
      <c r="C30" t="s">
        <v>1984</v>
      </c>
    </row>
    <row r="31" spans="1:3" x14ac:dyDescent="0.3">
      <c r="A31" t="s">
        <v>12</v>
      </c>
      <c r="B31" t="b">
        <v>0</v>
      </c>
      <c r="C31" t="s">
        <v>1985</v>
      </c>
    </row>
    <row r="32" spans="1:3" ht="28.8" x14ac:dyDescent="0.3">
      <c r="A32" t="s">
        <v>1605</v>
      </c>
      <c r="B32" t="b">
        <v>0</v>
      </c>
      <c r="C32" t="s">
        <v>1986</v>
      </c>
    </row>
    <row r="33" spans="1:3" ht="28.8" x14ac:dyDescent="0.3">
      <c r="A33" t="s">
        <v>1896</v>
      </c>
      <c r="B33" t="b">
        <v>0</v>
      </c>
      <c r="C33" t="s">
        <v>1987</v>
      </c>
    </row>
    <row r="34" spans="1:3" x14ac:dyDescent="0.3">
      <c r="A34" t="s">
        <v>1603</v>
      </c>
      <c r="B34" t="b">
        <v>0</v>
      </c>
      <c r="C34" t="s">
        <v>1988</v>
      </c>
    </row>
    <row r="35" spans="1:3" x14ac:dyDescent="0.3">
      <c r="A35" t="s">
        <v>1013</v>
      </c>
      <c r="B35" t="b">
        <v>0</v>
      </c>
      <c r="C35" t="s">
        <v>1989</v>
      </c>
    </row>
    <row r="36" spans="1:3" x14ac:dyDescent="0.3">
      <c r="A36" t="s">
        <v>1613</v>
      </c>
      <c r="B36" t="b">
        <v>0</v>
      </c>
      <c r="C36" t="s">
        <v>1990</v>
      </c>
    </row>
    <row r="37" spans="1:3" ht="28.8" x14ac:dyDescent="0.3">
      <c r="A37" t="s">
        <v>1439</v>
      </c>
      <c r="B37" t="b">
        <v>0</v>
      </c>
      <c r="C37" t="s">
        <v>1991</v>
      </c>
    </row>
    <row r="38" spans="1:3" ht="28.8" x14ac:dyDescent="0.3">
      <c r="A38" t="s">
        <v>1043</v>
      </c>
      <c r="B38" t="b">
        <v>0</v>
      </c>
      <c r="C38" t="s">
        <v>1992</v>
      </c>
    </row>
    <row r="39" spans="1:3" ht="28.8" x14ac:dyDescent="0.3">
      <c r="A39" t="s">
        <v>16</v>
      </c>
      <c r="B39" t="b">
        <v>0</v>
      </c>
      <c r="C39" t="s">
        <v>1993</v>
      </c>
    </row>
    <row r="40" spans="1:3" x14ac:dyDescent="0.3">
      <c r="A40" t="s">
        <v>1014</v>
      </c>
      <c r="B40" t="b">
        <v>0</v>
      </c>
      <c r="C40" t="s">
        <v>1994</v>
      </c>
    </row>
    <row r="41" spans="1:3" ht="28.8" x14ac:dyDescent="0.3">
      <c r="A41" t="s">
        <v>1068</v>
      </c>
      <c r="B41" t="b">
        <v>0</v>
      </c>
      <c r="C41" t="s">
        <v>1995</v>
      </c>
    </row>
    <row r="42" spans="1:3" ht="28.8" x14ac:dyDescent="0.3">
      <c r="A42" t="s">
        <v>1042</v>
      </c>
      <c r="B42" t="b">
        <v>0</v>
      </c>
      <c r="C42" t="s">
        <v>1996</v>
      </c>
    </row>
    <row r="43" spans="1:3" ht="28.8" x14ac:dyDescent="0.3">
      <c r="A43" t="s">
        <v>1616</v>
      </c>
      <c r="B43" t="b">
        <v>0</v>
      </c>
      <c r="C43" t="s">
        <v>1997</v>
      </c>
    </row>
    <row r="44" spans="1:3" ht="28.8" x14ac:dyDescent="0.3">
      <c r="A44" t="s">
        <v>1066</v>
      </c>
      <c r="B44" t="b">
        <v>0</v>
      </c>
      <c r="C44" t="s">
        <v>1998</v>
      </c>
    </row>
    <row r="45" spans="1:3" x14ac:dyDescent="0.3">
      <c r="A45" t="s">
        <v>993</v>
      </c>
      <c r="B45" t="b">
        <v>0</v>
      </c>
      <c r="C45" t="s">
        <v>1999</v>
      </c>
    </row>
    <row r="46" spans="1:3" ht="28.8" x14ac:dyDescent="0.3">
      <c r="A46" t="s">
        <v>1180</v>
      </c>
      <c r="B46" t="b">
        <v>0</v>
      </c>
      <c r="C46" t="s">
        <v>2000</v>
      </c>
    </row>
    <row r="47" spans="1:3" ht="28.8" x14ac:dyDescent="0.3">
      <c r="A47" t="s">
        <v>1075</v>
      </c>
      <c r="B47" t="b">
        <v>0</v>
      </c>
      <c r="C47" t="s">
        <v>2001</v>
      </c>
    </row>
    <row r="48" spans="1:3" ht="28.8" x14ac:dyDescent="0.3">
      <c r="A48" t="s">
        <v>1615</v>
      </c>
      <c r="B48" t="b">
        <v>0</v>
      </c>
      <c r="C48" t="s">
        <v>2002</v>
      </c>
    </row>
    <row r="49" spans="1:3" ht="28.8" x14ac:dyDescent="0.3">
      <c r="A49" t="s">
        <v>1618</v>
      </c>
      <c r="B49" t="b">
        <v>0</v>
      </c>
      <c r="C49" t="s">
        <v>2003</v>
      </c>
    </row>
    <row r="50" spans="1:3" x14ac:dyDescent="0.3">
      <c r="A50" t="s">
        <v>11</v>
      </c>
      <c r="B50" t="b">
        <v>0</v>
      </c>
      <c r="C50" t="s">
        <v>2004</v>
      </c>
    </row>
    <row r="51" spans="1:3" x14ac:dyDescent="0.3">
      <c r="A51" t="s">
        <v>14</v>
      </c>
      <c r="B51" t="b">
        <v>0</v>
      </c>
      <c r="C51" t="s">
        <v>2005</v>
      </c>
    </row>
    <row r="52" spans="1:3" ht="28.8" x14ac:dyDescent="0.3">
      <c r="A52" t="s">
        <v>899</v>
      </c>
      <c r="B52" t="b">
        <v>0</v>
      </c>
      <c r="C52" t="s">
        <v>2006</v>
      </c>
    </row>
    <row r="53" spans="1:3" ht="28.8" x14ac:dyDescent="0.3">
      <c r="A53" t="s">
        <v>1067</v>
      </c>
      <c r="B53" t="b">
        <v>0</v>
      </c>
      <c r="C53" t="s">
        <v>2007</v>
      </c>
    </row>
    <row r="54" spans="1:3" ht="28.8" x14ac:dyDescent="0.3">
      <c r="A54" t="s">
        <v>1607</v>
      </c>
      <c r="B54" t="b">
        <v>0</v>
      </c>
      <c r="C54" t="s">
        <v>2008</v>
      </c>
    </row>
    <row r="55" spans="1:3" ht="28.8" x14ac:dyDescent="0.3">
      <c r="A55" t="s">
        <v>1614</v>
      </c>
      <c r="B55" t="b">
        <v>0</v>
      </c>
      <c r="C55" t="s">
        <v>2009</v>
      </c>
    </row>
    <row r="56" spans="1:3" x14ac:dyDescent="0.3">
      <c r="A56" t="s">
        <v>1654</v>
      </c>
      <c r="B56" t="b">
        <v>0</v>
      </c>
      <c r="C56" t="s">
        <v>2010</v>
      </c>
    </row>
    <row r="57" spans="1:3" x14ac:dyDescent="0.3">
      <c r="A57" t="s">
        <v>15</v>
      </c>
      <c r="B57" t="b">
        <v>0</v>
      </c>
      <c r="C57" t="s">
        <v>2011</v>
      </c>
    </row>
    <row r="58" spans="1:3" x14ac:dyDescent="0.3">
      <c r="A58" t="s">
        <v>1438</v>
      </c>
      <c r="B58" t="b">
        <v>0</v>
      </c>
      <c r="C58" t="s">
        <v>2012</v>
      </c>
    </row>
    <row r="59" spans="1:3" ht="28.8" x14ac:dyDescent="0.3">
      <c r="A59" t="s">
        <v>1604</v>
      </c>
      <c r="B59" t="b">
        <v>0</v>
      </c>
      <c r="C59" t="s">
        <v>2013</v>
      </c>
    </row>
    <row r="60" spans="1:3" ht="28.8" x14ac:dyDescent="0.3">
      <c r="A60" t="s">
        <v>887</v>
      </c>
      <c r="B60" t="b">
        <v>0</v>
      </c>
      <c r="C60" t="s">
        <v>2014</v>
      </c>
    </row>
    <row r="61" spans="1:3" ht="28.8" x14ac:dyDescent="0.3">
      <c r="A61" t="s">
        <v>898</v>
      </c>
      <c r="B61" t="b">
        <v>0</v>
      </c>
      <c r="C61" t="s">
        <v>2015</v>
      </c>
    </row>
    <row r="62" spans="1:3" ht="28.8" x14ac:dyDescent="0.3">
      <c r="A62" t="s">
        <v>1071</v>
      </c>
      <c r="B62" t="b">
        <v>0</v>
      </c>
      <c r="C62" t="s">
        <v>2016</v>
      </c>
    </row>
    <row r="63" spans="1:3" x14ac:dyDescent="0.3">
      <c r="A63" t="s">
        <v>1437</v>
      </c>
      <c r="B63" t="b">
        <v>0</v>
      </c>
      <c r="C63" t="s">
        <v>2017</v>
      </c>
    </row>
    <row r="64" spans="1:3" ht="28.8" x14ac:dyDescent="0.3">
      <c r="A64" t="s">
        <v>1410</v>
      </c>
      <c r="B64" t="b">
        <v>0</v>
      </c>
      <c r="C64" t="s">
        <v>2018</v>
      </c>
    </row>
    <row r="65" spans="1:3" x14ac:dyDescent="0.3">
      <c r="A65" t="s">
        <v>13</v>
      </c>
      <c r="B65" t="b">
        <v>0</v>
      </c>
      <c r="C65" t="s">
        <v>2019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5E3CE36A-B286-4582-8162-E50423BA0F57}">
  <ds:schemaRefs/>
</ds:datastoreItem>
</file>

<file path=customXml/itemProps2.xml><?xml version="1.0" encoding="utf-8"?>
<ds:datastoreItem xmlns:ds="http://schemas.openxmlformats.org/officeDocument/2006/customXml" ds:itemID="{9E74C1F1-40D0-4B9B-81CF-794290EA9CDE}">
  <ds:schemaRefs/>
</ds:datastoreItem>
</file>

<file path=customXml/itemProps3.xml><?xml version="1.0" encoding="utf-8"?>
<ds:datastoreItem xmlns:ds="http://schemas.openxmlformats.org/officeDocument/2006/customXml" ds:itemID="{899354A6-0500-4D51-BA0B-77A37C940623}">
  <ds:schemaRefs/>
</ds:datastoreItem>
</file>

<file path=customXml/itemProps4.xml><?xml version="1.0" encoding="utf-8"?>
<ds:datastoreItem xmlns:ds="http://schemas.openxmlformats.org/officeDocument/2006/customXml" ds:itemID="{D62FE9C6-5836-4D40-ABE6-DDEDC57718B6}">
  <ds:schemaRefs/>
</ds:datastoreItem>
</file>

<file path=customXml/itemProps5.xml><?xml version="1.0" encoding="utf-8"?>
<ds:datastoreItem xmlns:ds="http://schemas.openxmlformats.org/officeDocument/2006/customXml" ds:itemID="{03EDCD96-3B56-45F4-BC4A-349818B7E513}">
  <ds:schemaRefs/>
</ds:datastoreItem>
</file>

<file path=customXml/itemProps6.xml><?xml version="1.0" encoding="utf-8"?>
<ds:datastoreItem xmlns:ds="http://schemas.openxmlformats.org/officeDocument/2006/customXml" ds:itemID="{6AB4CEEF-A55A-4268-AA52-BAC1B741751B}">
  <ds:schemaRefs/>
</ds:datastoreItem>
</file>

<file path=customXml/itemProps7.xml><?xml version="1.0" encoding="utf-8"?>
<ds:datastoreItem xmlns:ds="http://schemas.openxmlformats.org/officeDocument/2006/customXml" ds:itemID="{7C9F5434-E1A0-4F70-A852-9FAA5C46E7FF}">
  <ds:schemaRefs/>
</ds:datastoreItem>
</file>

<file path=customXml/itemProps8.xml><?xml version="1.0" encoding="utf-8"?>
<ds:datastoreItem xmlns:ds="http://schemas.openxmlformats.org/officeDocument/2006/customXml" ds:itemID="{29A767D3-F3D8-4399-9884-0792B3ED1573}">
  <ds:schemaRefs/>
</ds:datastoreItem>
</file>

<file path=customXml/itemProps9.xml><?xml version="1.0" encoding="utf-8"?>
<ds:datastoreItem xmlns:ds="http://schemas.openxmlformats.org/officeDocument/2006/customXml" ds:itemID="{F728FA94-0762-4038-B8FB-2499F032DCA1}">
  <ds:schemaRefs/>
</ds:datastoreItem>
</file>

<file path=customXml/itemProps10.xml><?xml version="1.0" encoding="utf-8"?>
<ds:datastoreItem xmlns:ds="http://schemas.openxmlformats.org/officeDocument/2006/customXml" ds:itemID="{A97FBD7B-9360-4F89-AF8E-C5CF6EC8352C}">
  <ds:schemaRefs>
    <ds:schemaRef ds:uri="http://schemas.microsoft.com/DataMashup"/>
  </ds:schemaRefs>
</ds:datastoreItem>
</file>

<file path=customXml/itemProps11.xml><?xml version="1.0" encoding="utf-8"?>
<ds:datastoreItem xmlns:ds="http://schemas.openxmlformats.org/officeDocument/2006/customXml" ds:itemID="{836257B9-3D35-44BC-87C1-C93D26FC420B}">
  <ds:schemaRefs/>
</ds:datastoreItem>
</file>

<file path=customXml/itemProps12.xml><?xml version="1.0" encoding="utf-8"?>
<ds:datastoreItem xmlns:ds="http://schemas.openxmlformats.org/officeDocument/2006/customXml" ds:itemID="{6F1DCE29-DF47-4174-9865-6EC7CFA974B1}">
  <ds:schemaRefs/>
</ds:datastoreItem>
</file>

<file path=customXml/itemProps13.xml><?xml version="1.0" encoding="utf-8"?>
<ds:datastoreItem xmlns:ds="http://schemas.openxmlformats.org/officeDocument/2006/customXml" ds:itemID="{CA8754EB-95F3-4435-B4DF-1AF878F97B74}">
  <ds:schemaRefs/>
</ds:datastoreItem>
</file>

<file path=customXml/itemProps14.xml><?xml version="1.0" encoding="utf-8"?>
<ds:datastoreItem xmlns:ds="http://schemas.openxmlformats.org/officeDocument/2006/customXml" ds:itemID="{D636087D-64FF-47F6-9D28-70EBAEE37164}">
  <ds:schemaRefs/>
</ds:datastoreItem>
</file>

<file path=customXml/itemProps15.xml><?xml version="1.0" encoding="utf-8"?>
<ds:datastoreItem xmlns:ds="http://schemas.openxmlformats.org/officeDocument/2006/customXml" ds:itemID="{4EAED6BF-8D2B-43EA-9FD3-7E1E5DFE802D}">
  <ds:schemaRefs/>
</ds:datastoreItem>
</file>

<file path=customXml/itemProps16.xml><?xml version="1.0" encoding="utf-8"?>
<ds:datastoreItem xmlns:ds="http://schemas.openxmlformats.org/officeDocument/2006/customXml" ds:itemID="{3934DE86-7B7D-48B1-8B54-DCD0EA95FD36}">
  <ds:schemaRefs/>
</ds:datastoreItem>
</file>

<file path=customXml/itemProps17.xml><?xml version="1.0" encoding="utf-8"?>
<ds:datastoreItem xmlns:ds="http://schemas.openxmlformats.org/officeDocument/2006/customXml" ds:itemID="{5640F613-BCA2-4941-8C31-6081879D0F39}">
  <ds:schemaRefs/>
</ds:datastoreItem>
</file>

<file path=customXml/itemProps18.xml><?xml version="1.0" encoding="utf-8"?>
<ds:datastoreItem xmlns:ds="http://schemas.openxmlformats.org/officeDocument/2006/customXml" ds:itemID="{EF833792-AE7E-43F7-9893-0D3348178610}">
  <ds:schemaRefs/>
</ds:datastoreItem>
</file>

<file path=customXml/itemProps19.xml><?xml version="1.0" encoding="utf-8"?>
<ds:datastoreItem xmlns:ds="http://schemas.openxmlformats.org/officeDocument/2006/customXml" ds:itemID="{9291C032-4AE1-47CD-9D0D-C5BC17F1C62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44</vt:i4>
      </vt:variant>
    </vt:vector>
  </HeadingPairs>
  <TitlesOfParts>
    <vt:vector size="67" baseType="lpstr">
      <vt:lpstr>OrganizedList</vt:lpstr>
      <vt:lpstr>Category Lookup</vt:lpstr>
      <vt:lpstr>FilterSpecs</vt:lpstr>
      <vt:lpstr>Distance Priority</vt:lpstr>
      <vt:lpstr>RawList</vt:lpstr>
      <vt:lpstr>Mouser</vt:lpstr>
      <vt:lpstr>Order Form</vt:lpstr>
      <vt:lpstr>Initial Order (2)</vt:lpstr>
      <vt:lpstr>Primary</vt:lpstr>
      <vt:lpstr>Secondary</vt:lpstr>
      <vt:lpstr>Advanced&amp;Optional</vt:lpstr>
      <vt:lpstr>SmartHome&amp;IoT</vt:lpstr>
      <vt:lpstr>Hardware</vt:lpstr>
      <vt:lpstr>LowLevel</vt:lpstr>
      <vt:lpstr>Tools</vt:lpstr>
      <vt:lpstr>Sheet1</vt:lpstr>
      <vt:lpstr>Alternatives&amp;Extras</vt:lpstr>
      <vt:lpstr>ItemQty</vt:lpstr>
      <vt:lpstr>Connectors</vt:lpstr>
      <vt:lpstr>DesignSpecs</vt:lpstr>
      <vt:lpstr>PO List</vt:lpstr>
      <vt:lpstr>SlicerInfo</vt:lpstr>
      <vt:lpstr>SlicerInfoTable</vt:lpstr>
      <vt:lpstr>'Advanced&amp;Optional'!ColumnTitle1</vt:lpstr>
      <vt:lpstr>Hardware!ColumnTitle1</vt:lpstr>
      <vt:lpstr>'Initial Order (2)'!ColumnTitle1</vt:lpstr>
      <vt:lpstr>LowLevel!ColumnTitle1</vt:lpstr>
      <vt:lpstr>Mouser!ColumnTitle1</vt:lpstr>
      <vt:lpstr>'Order Form'!ColumnTitle1</vt:lpstr>
      <vt:lpstr>Primary!ColumnTitle1</vt:lpstr>
      <vt:lpstr>Tools!ColumnTitle1</vt:lpstr>
      <vt:lpstr>ColumnTitle1</vt:lpstr>
      <vt:lpstr>'Advanced&amp;Optional'!ColumnTitle2</vt:lpstr>
      <vt:lpstr>Hardware!ColumnTitle2</vt:lpstr>
      <vt:lpstr>'Initial Order (2)'!ColumnTitle2</vt:lpstr>
      <vt:lpstr>LowLevel!ColumnTitle2</vt:lpstr>
      <vt:lpstr>Mouser!ColumnTitle2</vt:lpstr>
      <vt:lpstr>'Order Form'!ColumnTitle2</vt:lpstr>
      <vt:lpstr>Primary!ColumnTitle2</vt:lpstr>
      <vt:lpstr>Tools!ColumnTitle2</vt:lpstr>
      <vt:lpstr>ColumnTitle2</vt:lpstr>
      <vt:lpstr>'Initial Order (2)'!EquipmentList</vt:lpstr>
      <vt:lpstr>Mouser!EquipmentList</vt:lpstr>
      <vt:lpstr>'Order Form'!EquipmentList</vt:lpstr>
      <vt:lpstr>EquipmentList</vt:lpstr>
      <vt:lpstr>'Initial Order (2)'!EquipmentLookupDescriptions</vt:lpstr>
      <vt:lpstr>Mouser!EquipmentLookupDescriptions</vt:lpstr>
      <vt:lpstr>'Order Form'!EquipmentLookupDescriptions</vt:lpstr>
      <vt:lpstr>EquipmentLookupDescriptions</vt:lpstr>
      <vt:lpstr>'Category Lookup'!Print_Titles</vt:lpstr>
      <vt:lpstr>'PO List'!Print_Titles</vt:lpstr>
      <vt:lpstr>'Advanced&amp;Optional'!RoomList</vt:lpstr>
      <vt:lpstr>Hardware!RoomList</vt:lpstr>
      <vt:lpstr>'Initial Order (2)'!RoomList</vt:lpstr>
      <vt:lpstr>LowLevel!RoomList</vt:lpstr>
      <vt:lpstr>Mouser!RoomList</vt:lpstr>
      <vt:lpstr>'Order Form'!RoomList</vt:lpstr>
      <vt:lpstr>Primary!RoomList</vt:lpstr>
      <vt:lpstr>Tools!RoomList</vt:lpstr>
      <vt:lpstr>RoomList</vt:lpstr>
      <vt:lpstr>RowTitleRegion1..E2</vt:lpstr>
      <vt:lpstr>Hardware!Separating</vt:lpstr>
      <vt:lpstr>'Initial Order (2)'!Separating</vt:lpstr>
      <vt:lpstr>LowLevel!Separating</vt:lpstr>
      <vt:lpstr>Mouser!Separating</vt:lpstr>
      <vt:lpstr>'Order Form'!Separating</vt:lpstr>
      <vt:lpstr>Separating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Blake</dc:creator>
  <cp:lastModifiedBy>Blake</cp:lastModifiedBy>
  <dcterms:created xsi:type="dcterms:W3CDTF">2017-07-30T14:13:04Z</dcterms:created>
  <dcterms:modified xsi:type="dcterms:W3CDTF">2017-11-27T00:22:41Z</dcterms:modified>
</cp:coreProperties>
</file>